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020B9ED-FE2F-4D2E-9C53-406A792EC6C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C119"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H655" i="1"/>
  <c r="H656" i="1"/>
  <c r="I170" i="1"/>
  <c r="H80" i="2" l="1"/>
  <c r="C112" i="2"/>
  <c r="G663" i="1"/>
  <c r="D6" i="13"/>
  <c r="C6" i="13" s="1"/>
  <c r="D15" i="13"/>
  <c r="C15" i="13" s="1"/>
  <c r="C120" i="2"/>
  <c r="C121" i="2"/>
  <c r="G62" i="2"/>
  <c r="E112" i="2"/>
  <c r="E125" i="2"/>
  <c r="H125" i="2" s="1"/>
  <c r="E124" i="2"/>
  <c r="C13" i="10"/>
  <c r="E120" i="2"/>
  <c r="E111" i="2"/>
  <c r="A40" i="12"/>
  <c r="J652" i="1"/>
  <c r="H25" i="2"/>
  <c r="F409" i="1"/>
  <c r="H644" i="1" s="1"/>
  <c r="G646" i="1"/>
  <c r="H76" i="2"/>
  <c r="J140" i="1"/>
  <c r="H140" i="1"/>
  <c r="H477" i="1"/>
  <c r="H625" i="1" s="1"/>
  <c r="J625" i="1" s="1"/>
  <c r="H22" i="2"/>
  <c r="H93" i="2"/>
  <c r="C12" i="10"/>
  <c r="I409" i="1"/>
  <c r="H101" i="2"/>
  <c r="H99" i="2"/>
  <c r="H97" i="2"/>
  <c r="H87" i="2"/>
  <c r="H26" i="2"/>
  <c r="H113" i="2"/>
  <c r="H132" i="2"/>
  <c r="D144" i="2"/>
  <c r="E121" i="2"/>
  <c r="G409" i="1"/>
  <c r="H646" i="1" s="1"/>
  <c r="H44" i="2"/>
  <c r="H69" i="2"/>
  <c r="E13" i="13"/>
  <c r="C13" i="13" s="1"/>
  <c r="H102" i="2"/>
  <c r="H100" i="2"/>
  <c r="H73" i="2"/>
  <c r="H143" i="2"/>
  <c r="H58" i="2"/>
  <c r="H96" i="2"/>
  <c r="H38" i="2"/>
  <c r="H79" i="2"/>
  <c r="H72" i="2"/>
  <c r="H43" i="2"/>
  <c r="H59" i="2"/>
  <c r="H36" i="2"/>
  <c r="H15" i="2"/>
  <c r="H98" i="2"/>
  <c r="H89" i="2"/>
  <c r="H61" i="2"/>
  <c r="H48" i="2"/>
  <c r="H47" i="2"/>
  <c r="H35" i="2"/>
  <c r="H34" i="2"/>
  <c r="H30" i="2"/>
  <c r="H29" i="2"/>
  <c r="H28" i="2"/>
  <c r="H27" i="2"/>
  <c r="H24" i="2"/>
  <c r="H23" i="2"/>
  <c r="H17" i="2"/>
  <c r="H13" i="2"/>
  <c r="H12" i="2"/>
  <c r="H11" i="2"/>
  <c r="H9" i="2"/>
  <c r="H8" i="2"/>
  <c r="G477" i="1"/>
  <c r="G662" i="1"/>
  <c r="D78" i="2"/>
  <c r="H77" i="2"/>
  <c r="E119" i="2"/>
  <c r="H119" i="2" s="1"/>
  <c r="H409" i="1"/>
  <c r="H645" i="1" s="1"/>
  <c r="J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2" i="2" l="1"/>
  <c r="L572" i="1"/>
  <c r="J646" i="1"/>
  <c r="H120" i="2"/>
  <c r="H121" i="2"/>
  <c r="I663" i="1"/>
  <c r="G24" i="14"/>
  <c r="H24" i="14" s="1"/>
  <c r="I24" i="14" s="1"/>
  <c r="H123" i="2"/>
  <c r="H122" i="2"/>
  <c r="E128" i="2"/>
  <c r="F661" i="1"/>
  <c r="F665" i="1" s="1"/>
  <c r="F668" i="1" s="1"/>
  <c r="H118" i="2"/>
  <c r="E115" i="2"/>
  <c r="H114" i="2"/>
  <c r="C81" i="2"/>
  <c r="H109" i="2"/>
  <c r="H134" i="2"/>
  <c r="H16" i="2"/>
  <c r="H131" i="2"/>
  <c r="H42" i="2"/>
  <c r="H21" i="2"/>
  <c r="H91" i="2"/>
  <c r="H85" i="2"/>
  <c r="H78" i="2"/>
  <c r="E62" i="2"/>
  <c r="E63" i="2" s="1"/>
  <c r="E104" i="2" s="1"/>
  <c r="H57" i="2"/>
  <c r="H103" i="2"/>
  <c r="F194" i="1"/>
  <c r="G628" i="1" s="1"/>
  <c r="J628" i="1" s="1"/>
  <c r="H50" i="2"/>
  <c r="E51" i="2"/>
  <c r="H18" i="2"/>
  <c r="D128" i="2"/>
  <c r="H127" i="2"/>
  <c r="D81" i="2"/>
  <c r="D63" i="2"/>
  <c r="D51" i="2"/>
  <c r="H31" i="2"/>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81" i="2"/>
  <c r="H115" i="2"/>
  <c r="E145" i="2"/>
  <c r="C144" i="2"/>
  <c r="H144" i="2" s="1"/>
  <c r="H141" i="2"/>
  <c r="H62" i="2"/>
  <c r="H63" i="2"/>
  <c r="H51" i="2"/>
  <c r="D145" i="2"/>
  <c r="H128" i="2"/>
  <c r="D104"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C145" i="2"/>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<sst xmlns="http://schemas.openxmlformats.org/spreadsheetml/2006/main" count="6536" uniqueCount="1808">
  <si>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</si>
  <si>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</si>
  <si>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</si>
  <si>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</si>
  <si>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</si>
  <si>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</si>
  <si>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</si>
  <si>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</si>
  <si>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</si>
  <si>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</si>
  <si>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</si>
  <si>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</si>
  <si>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</si>
  <si>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</si>
  <si>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</si>
  <si>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</si>
  <si>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</si>
  <si>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</si>
  <si>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</si>
  <si>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</si>
  <si>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</si>
  <si>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</si>
  <si>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</si>
  <si>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</si>
  <si>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</si>
  <si>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</si>
  <si>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</si>
  <si>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</si>
  <si>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</si>
  <si>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</si>
  <si>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</si>
  <si>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</si>
  <si>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</si>
  <si>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</si>
  <si>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</si>
  <si>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</si>
  <si>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</si>
  <si>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</si>
  <si>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</si>
  <si>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</si>
  <si>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</si>
  <si>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</si>
  <si>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</si>
  <si>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</si>
  <si>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</si>
  <si>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</si>
  <si>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</si>
  <si>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</si>
  <si>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</si>
  <si>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</si>
  <si>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</si>
  <si>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</si>
  <si>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</si>
  <si>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</si>
  <si>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</si>
  <si>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</si>
  <si>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</si>
  <si>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</si>
  <si>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</si>
  <si>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</si>
  <si>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</si>
  <si>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</si>
  <si>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</si>
  <si>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</si>
  <si>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</si>
  <si>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</si>
  <si>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</si>
  <si>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</si>
  <si>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</si>
  <si>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</si>
  <si>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</si>
  <si>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</si>
  <si>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</si>
  <si>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</si>
  <si>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</si>
  <si>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</si>
  <si>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</si>
  <si>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</si>
  <si>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</si>
  <si>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</si>
  <si>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</si>
  <si>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</si>
  <si>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</si>
  <si>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</si>
  <si>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</si>
  <si>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</si>
  <si>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</si>
  <si>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</si>
  <si>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</si>
  <si>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</si>
  <si>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</si>
  <si>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</si>
  <si>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</si>
  <si>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</si>
  <si>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</si>
  <si>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</si>
  <si>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</si>
  <si>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</si>
  <si>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</si>
  <si>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</si>
  <si>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</si>
  <si>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</si>
  <si>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</si>
  <si>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</si>
  <si>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</si>
  <si>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</si>
  <si>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</si>
  <si>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</si>
  <si>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</si>
  <si>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</si>
  <si>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</si>
  <si>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</si>
  <si>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</si>
  <si>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</si>
  <si>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</si>
  <si>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</si>
  <si>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</si>
  <si>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</si>
  <si>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</si>
  <si>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</si>
  <si>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</si>
  <si>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</si>
  <si>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</si>
  <si>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</si>
  <si>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</si>
  <si>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</si>
  <si>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</si>
  <si>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</si>
  <si>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</si>
  <si>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</si>
  <si>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</si>
  <si>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</si>
  <si>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</si>
  <si>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</si>
  <si>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</si>
  <si>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</si>
  <si>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</si>
  <si>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</si>
  <si>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</si>
  <si>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</si>
  <si>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</si>
  <si>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</si>
  <si>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</si>
  <si>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</si>
  <si>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</si>
  <si>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</si>
  <si>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</si>
  <si>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</si>
  <si>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</si>
  <si>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</si>
  <si>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</si>
  <si>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</si>
  <si>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</si>
  <si>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</si>
  <si>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</si>
  <si>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</si>
  <si>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</si>
  <si>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</si>
  <si>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</si>
  <si>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</si>
  <si>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</si>
  <si>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</si>
  <si>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</si>
  <si>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</si>
  <si>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</si>
  <si>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</si>
  <si>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</si>
  <si>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</si>
  <si>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</si>
  <si>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</si>
  <si>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</si>
  <si>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</si>
  <si>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</si>
  <si>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</si>
  <si>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</si>
  <si>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</si>
  <si>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</si>
  <si>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</si>
  <si>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</si>
  <si>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</si>
  <si>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</si>
  <si>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</si>
  <si>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</si>
  <si>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</si>
  <si>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</si>
  <si>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</si>
  <si>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</si>
  <si>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</si>
  <si>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</si>
  <si>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</si>
  <si>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</si>
  <si>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</si>
  <si>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</si>
  <si>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</si>
  <si>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</si>
  <si>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</si>
  <si>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</si>
  <si>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</si>
  <si>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</si>
  <si>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</si>
  <si>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</si>
  <si>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</si>
  <si>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</si>
  <si>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</si>
  <si>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</si>
  <si>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</si>
  <si>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</si>
  <si>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</si>
  <si>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</si>
  <si>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</si>
  <si>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</si>
  <si>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</si>
  <si>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</si>
  <si>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</si>
  <si>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</si>
  <si>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</si>
  <si>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</si>
  <si>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</si>
  <si>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</si>
  <si>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</si>
  <si>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</si>
  <si>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</si>
  <si>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</si>
  <si>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</si>
  <si>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</si>
  <si>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</si>
  <si>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</si>
  <si>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</si>
  <si>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</si>
  <si>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</si>
  <si>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</si>
  <si>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</si>
  <si>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</si>
  <si>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</si>
  <si>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</si>
  <si>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</si>
  <si>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</si>
  <si>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</si>
  <si>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</si>
  <si>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</si>
  <si>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</si>
  <si>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</si>
  <si>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</si>
  <si>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</si>
  <si>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</si>
  <si>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</si>
  <si>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</si>
  <si>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</si>
  <si>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</si>
  <si>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</si>
  <si>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</si>
  <si>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</si>
  <si>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</si>
  <si>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</si>
  <si>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</si>
  <si>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</si>
  <si>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</si>
  <si>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</si>
  <si>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</si>
  <si>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</si>
  <si>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</si>
  <si>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</si>
  <si>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</si>
  <si>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</si>
  <si>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</si>
  <si>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</si>
  <si>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</si>
  <si>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</si>
  <si>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</si>
  <si>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</si>
  <si>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</si>
  <si>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</si>
  <si>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</si>
  <si>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</si>
  <si>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</si>
  <si>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</si>
  <si>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</si>
  <si>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</si>
  <si>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</si>
  <si>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</si>
  <si>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</si>
  <si>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</si>
  <si>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</si>
  <si>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</si>
  <si>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</si>
  <si>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</si>
  <si>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</si>
  <si>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</si>
  <si>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</si>
  <si>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</si>
  <si>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</si>
  <si>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</si>
  <si>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</si>
  <si>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</si>
  <si>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</si>
  <si>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</si>
  <si>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</si>
  <si>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</si>
  <si>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</si>
  <si>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</si>
  <si>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</si>
  <si>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</si>
  <si>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</si>
  <si>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</si>
  <si>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</si>
  <si>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</si>
  <si>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</si>
  <si>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</si>
  <si>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</si>
  <si>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</si>
  <si>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</si>
  <si>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</si>
  <si>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</si>
  <si>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</si>
  <si>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</si>
  <si>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</si>
  <si>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</si>
  <si>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</si>
  <si>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</si>
  <si>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</si>
  <si>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</si>
  <si>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</si>
  <si>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</si>
  <si>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</si>
  <si>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</si>
  <si>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</si>
  <si>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</si>
  <si>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</si>
  <si>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</si>
  <si>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</si>
  <si>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</si>
  <si>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</si>
  <si>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</si>
  <si>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</si>
  <si>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</si>
  <si>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</si>
  <si>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</si>
  <si>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</si>
  <si>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</si>
  <si>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</si>
  <si>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</si>
  <si>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</si>
  <si>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</si>
  <si>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</si>
  <si>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</si>
  <si>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</si>
  <si>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</si>
  <si>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</si>
  <si>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</si>
  <si>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</si>
  <si>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</si>
  <si>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</si>
  <si>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</si>
  <si>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</si>
  <si>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</si>
  <si>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</si>
  <si>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</si>
  <si>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</si>
  <si>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</si>
  <si>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</si>
  <si>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</si>
  <si>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</si>
  <si>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</si>
  <si>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</si>
  <si>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</si>
  <si>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</si>
  <si>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</si>
  <si>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</si>
  <si>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</si>
  <si>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</si>
  <si>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</si>
  <si>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</si>
  <si>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</si>
  <si>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</si>
  <si>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</si>
  <si>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</si>
  <si>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</si>
  <si>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</si>
  <si>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</si>
  <si>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</si>
  <si>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</si>
  <si>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</si>
  <si>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</si>
  <si>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</si>
  <si>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</si>
  <si>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</si>
  <si>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</si>
  <si>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</si>
  <si>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</si>
  <si>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</si>
  <si>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</si>
  <si>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</si>
  <si>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</si>
  <si>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</si>
  <si>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</si>
  <si>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</si>
  <si>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</si>
  <si>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</si>
  <si>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</si>
  <si>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</si>
  <si>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</si>
  <si>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</si>
  <si>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</si>
  <si>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</si>
  <si>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</si>
  <si>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</si>
  <si>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</si>
  <si>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</si>
  <si>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</si>
  <si>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</si>
  <si>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</si>
  <si>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</si>
  <si>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</si>
  <si>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</si>
  <si>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</si>
  <si>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</si>
  <si>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</si>
  <si>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</si>
  <si>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</si>
  <si>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</si>
  <si>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</si>
  <si>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</si>
  <si>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</si>
  <si>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</si>
  <si>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</si>
  <si>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</si>
  <si>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</si>
  <si>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</si>
  <si>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</si>
  <si>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</si>
  <si>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</si>
  <si>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</si>
  <si>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</si>
  <si>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</si>
  <si>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</si>
  <si>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</si>
  <si>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</si>
  <si>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</si>
  <si>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</si>
  <si>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</si>
  <si>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</si>
  <si>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</si>
  <si>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</si>
  <si>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</si>
  <si>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</si>
  <si>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</si>
  <si>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</si>
  <si>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</si>
  <si>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</si>
  <si>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</si>
  <si>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</si>
  <si>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</si>
  <si>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</si>
  <si>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</si>
  <si>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</si>
  <si>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</si>
  <si>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</si>
  <si>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</si>
  <si>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</si>
  <si>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</si>
  <si>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</si>
  <si>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</si>
  <si>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</si>
  <si>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</si>
  <si>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</si>
  <si>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</si>
  <si>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</si>
  <si>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</si>
  <si>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</si>
  <si>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</si>
  <si>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</si>
  <si>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</si>
  <si>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</si>
  <si>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</si>
  <si>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</si>
  <si>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</si>
  <si>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</si>
  <si>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</si>
  <si>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</si>
  <si>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</si>
  <si>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</si>
  <si>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</si>
  <si>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</si>
  <si>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</si>
  <si>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</si>
  <si>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</si>
  <si>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</si>
  <si>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</si>
  <si>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</si>
  <si>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</si>
  <si>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</si>
  <si>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</si>
  <si>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</si>
  <si>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</si>
  <si>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</si>
  <si>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</si>
  <si>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</si>
  <si>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</si>
  <si>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</si>
  <si>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</si>
  <si>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</si>
  <si>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</si>
  <si>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</si>
  <si>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</si>
  <si>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</si>
  <si>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</si>
  <si>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</si>
  <si>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</si>
  <si>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</si>
  <si>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</si>
  <si>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</si>
  <si>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</si>
  <si>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</si>
  <si>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</si>
  <si>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</si>
  <si>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</si>
  <si>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</si>
  <si>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</si>
  <si>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</si>
  <si>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</si>
  <si>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</si>
  <si>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</si>
  <si>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</si>
  <si>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</si>
  <si>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</si>
  <si>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</si>
  <si>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</si>
  <si>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</si>
  <si>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</si>
  <si>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</si>
  <si>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</si>
  <si>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</si>
  <si>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</si>
  <si>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</si>
  <si>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</si>
  <si>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</si>
  <si>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</si>
  <si>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</si>
  <si>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</si>
  <si>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</si>
  <si>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</si>
  <si>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</si>
  <si>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</si>
  <si>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</si>
  <si>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</si>
  <si>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</si>
  <si>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</si>
  <si>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</si>
  <si>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</si>
  <si>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</si>
  <si>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</si>
  <si>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</si>
  <si>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</si>
  <si>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</si>
  <si>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</si>
  <si>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</si>
  <si>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</si>
  <si>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</si>
  <si>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</si>
  <si>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</si>
  <si>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</si>
  <si>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</si>
  <si>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</si>
  <si>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</si>
  <si>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</si>
  <si>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</si>
  <si>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</si>
  <si>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</si>
  <si>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</si>
  <si>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</si>
  <si>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</si>
  <si>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</si>
  <si>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</si>
  <si>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</si>
  <si>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</si>
  <si>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</si>
  <si>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</si>
  <si>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</si>
  <si>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</si>
  <si>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</si>
  <si>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</si>
  <si>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</si>
  <si>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</si>
  <si>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</si>
  <si>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</si>
  <si>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</si>
  <si>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</si>
  <si>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</si>
  <si>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</si>
  <si>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</si>
  <si>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</si>
  <si>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</si>
  <si>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</si>
  <si>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</si>
  <si>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</si>
  <si>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</si>
  <si>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</si>
  <si>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</si>
  <si>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</si>
  <si>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</si>
  <si>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</si>
  <si>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</si>
  <si>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</si>
  <si>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</si>
  <si>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</si>
  <si>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</si>
  <si>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</si>
  <si>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</si>
  <si>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</si>
  <si>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</si>
  <si>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</si>
  <si>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</si>
  <si>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</si>
  <si>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</si>
  <si>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</si>
  <si>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</si>
  <si>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</si>
  <si>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</si>
  <si>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</si>
  <si>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</si>
  <si>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</si>
  <si>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</si>
  <si>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</si>
  <si>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</si>
  <si>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</si>
  <si>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</si>
  <si>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</si>
  <si>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</si>
  <si>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</si>
  <si>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</si>
  <si>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</si>
  <si>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</si>
  <si>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</si>
  <si>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</si>
  <si>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</si>
  <si>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</si>
  <si>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</si>
  <si>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</si>
  <si>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</si>
  <si>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</si>
  <si>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</si>
  <si>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</si>
  <si>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</si>
  <si>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</si>
  <si>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</si>
  <si>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</si>
  <si>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</si>
  <si>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</si>
  <si>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</si>
  <si>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</si>
  <si>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</si>
  <si>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</si>
  <si>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</si>
  <si>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</si>
  <si>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</si>
  <si>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</si>
  <si>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</si>
  <si>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</si>
  <si>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</si>
  <si>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</si>
  <si>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</si>
  <si>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</si>
  <si>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</si>
  <si>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</si>
  <si>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</si>
  <si>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</si>
  <si>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</si>
  <si>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</si>
  <si>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</si>
  <si>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</si>
  <si>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</si>
  <si>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</si>
  <si>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</si>
  <si>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</si>
  <si>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</si>
  <si>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</si>
  <si>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</si>
  <si>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</si>
  <si>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</si>
  <si>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</si>
  <si>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</si>
  <si>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</si>
  <si>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</si>
  <si>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</si>
  <si>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</si>
  <si>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</si>
  <si>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</si>
  <si>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</si>
  <si>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</si>
  <si>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</si>
  <si>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</si>
  <si>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</si>
  <si>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</si>
  <si>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</si>
  <si>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</si>
  <si>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</si>
  <si>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</si>
  <si>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</si>
  <si>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</si>
  <si>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</si>
  <si>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</si>
  <si>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</si>
  <si>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</si>
  <si>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</si>
  <si>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</si>
  <si>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</si>
  <si>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</si>
  <si>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</si>
  <si>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</si>
  <si>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</si>
  <si>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</si>
  <si>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</si>
  <si>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</si>
  <si>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</si>
  <si>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</si>
  <si>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</si>
  <si>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</si>
  <si>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</si>
  <si>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</si>
  <si>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</si>
  <si>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</si>
  <si>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</si>
  <si>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</si>
  <si>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</si>
  <si>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</si>
  <si>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</si>
  <si>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</si>
  <si>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</si>
  <si>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</si>
  <si>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</si>
  <si>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</si>
  <si>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</si>
  <si>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</si>
  <si>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</si>
  <si>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</si>
  <si>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</si>
  <si>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</si>
  <si>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</si>
  <si>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</si>
  <si>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</si>
  <si>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</si>
  <si>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</si>
  <si>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</si>
  <si>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</si>
  <si>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</si>
  <si>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</si>
  <si>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</si>
  <si>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</si>
  <si>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</si>
  <si>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</si>
  <si>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</si>
  <si>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</si>
  <si>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</si>
  <si>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</si>
  <si>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</si>
  <si>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</si>
  <si>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</si>
  <si>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</si>
  <si>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</si>
  <si>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</si>
  <si>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</si>
  <si>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</si>
  <si>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</si>
  <si>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</si>
  <si>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</si>
  <si>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</si>
  <si>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</si>
  <si>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</si>
  <si>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</si>
  <si>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</si>
  <si>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</si>
  <si>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</si>
  <si>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</si>
  <si>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</si>
  <si>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</si>
  <si>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</si>
  <si>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</si>
  <si>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</si>
  <si>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</si>
  <si>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</si>
  <si>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</si>
  <si>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</si>
  <si>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</si>
  <si>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</si>
  <si>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</si>
  <si>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</si>
  <si>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</si>
  <si>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</si>
  <si>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</si>
  <si>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</si>
  <si>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</si>
  <si>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</si>
  <si>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</si>
  <si>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</si>
  <si>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</si>
  <si>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</si>
  <si>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</si>
  <si>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</si>
  <si>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</si>
  <si>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</si>
  <si>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</si>
  <si>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</si>
  <si>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</si>
  <si>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</si>
  <si>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</si>
  <si>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</si>
  <si>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</si>
  <si>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</si>
  <si>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</si>
  <si>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</si>
  <si>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</si>
  <si>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</si>
  <si>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</si>
  <si>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</si>
  <si>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</si>
  <si>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</si>
  <si>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</si>
  <si>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</si>
  <si>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</si>
  <si>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</si>
  <si>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</si>
  <si>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</si>
  <si>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</si>
  <si>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</si>
  <si>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</si>
  <si>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</si>
  <si>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</si>
  <si>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</si>
  <si>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</si>
  <si>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</si>
  <si>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</si>
  <si>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</si>
  <si>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</si>
  <si>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</si>
  <si>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</si>
  <si>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</si>
  <si>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</si>
  <si>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</si>
  <si>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</si>
  <si>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</si>
  <si>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</si>
  <si>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</si>
  <si>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</si>
  <si>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</si>
  <si>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</si>
  <si>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</si>
  <si>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</si>
  <si>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</si>
  <si>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</si>
  <si>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</si>
  <si>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</si>
  <si>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</si>
  <si>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</si>
  <si>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</si>
  <si>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</si>
  <si>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</si>
  <si>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</si>
  <si>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</si>
  <si>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</si>
  <si>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</si>
  <si>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</si>
  <si>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</si>
  <si>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</si>
  <si>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</si>
  <si>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</si>
  <si>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</si>
  <si>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</si>
  <si>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</si>
  <si>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</si>
  <si>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</si>
  <si>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</si>
  <si>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</si>
  <si>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</si>
  <si>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</si>
  <si>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</si>
  <si>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</si>
  <si>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</si>
  <si>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</si>
  <si>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</si>
  <si>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</si>
  <si>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</si>
  <si>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</si>
  <si>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</si>
  <si>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</si>
  <si>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</si>
  <si>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</si>
  <si>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</si>
  <si>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</si>
  <si>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</si>
  <si>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</si>
  <si>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</si>
  <si>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</si>
  <si>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</si>
  <si>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</si>
  <si>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</si>
  <si>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</si>
  <si>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</si>
  <si>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</si>
  <si>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</si>
  <si>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</si>
  <si>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</si>
  <si>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</si>
  <si>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</si>
  <si>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</si>
  <si>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</si>
  <si>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</si>
  <si>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</si>
  <si>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</si>
  <si>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</si>
  <si>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</si>
  <si>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</si>
  <si>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</si>
  <si>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</si>
  <si>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</si>
  <si>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</si>
  <si>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</si>
  <si>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</si>
  <si>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</si>
  <si>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</si>
  <si>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</si>
  <si>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</si>
  <si>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</si>
  <si>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</si>
  <si>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</si>
  <si>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</si>
  <si>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</si>
  <si>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</si>
  <si>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</si>
  <si>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</si>
  <si>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</si>
  <si>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</si>
  <si>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</si>
  <si>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</si>
  <si>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</si>
  <si>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</si>
  <si>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</si>
  <si>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</si>
  <si>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</si>
  <si>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</si>
  <si>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</si>
  <si>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</si>
  <si>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</si>
  <si>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</si>
  <si>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</si>
  <si>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</si>
  <si>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</si>
  <si>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</si>
  <si>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</si>
  <si>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</si>
  <si>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</si>
  <si>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</si>
  <si>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</si>
  <si>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</si>
  <si>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</si>
  <si>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</si>
  <si>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</si>
  <si>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</si>
  <si>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</si>
  <si>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</si>
  <si>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</si>
  <si>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</si>
  <si>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</si>
  <si>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</si>
  <si>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</si>
  <si>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</si>
  <si>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</si>
  <si>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</si>
  <si>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</si>
  <si>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</si>
  <si>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</si>
  <si>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</si>
  <si>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</si>
  <si>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</si>
  <si>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</si>
  <si>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</si>
  <si>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</si>
  <si>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</si>
  <si>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</si>
  <si>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</si>
  <si>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</si>
  <si>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</si>
  <si>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</si>
  <si>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</si>
  <si>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</si>
  <si>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</si>
  <si>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</si>
  <si>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</si>
  <si>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</si>
  <si>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</si>
  <si>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</si>
  <si>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</si>
  <si>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</si>
  <si>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</si>
  <si>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</si>
  <si>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</si>
  <si>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</si>
  <si>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</si>
  <si>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</si>
  <si>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</si>
  <si>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</si>
  <si>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</si>
  <si>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</si>
  <si>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</si>
  <si>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</si>
  <si>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</si>
  <si>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</si>
  <si>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</si>
  <si>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</si>
  <si>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</si>
  <si>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</si>
  <si>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</si>
  <si>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</si>
  <si>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</si>
  <si>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</si>
  <si>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</si>
  <si>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</si>
  <si>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</si>
  <si>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</si>
  <si>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</si>
  <si>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</si>
  <si>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</si>
  <si>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</si>
  <si>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</si>
  <si>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</si>
  <si>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</si>
  <si>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</si>
  <si>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</si>
  <si>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</si>
  <si>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</si>
  <si>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</si>
  <si>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</si>
  <si>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</si>
  <si>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</si>
  <si>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</si>
  <si>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</si>
  <si>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</si>
  <si>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</si>
  <si>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</si>
  <si>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</si>
  <si>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</si>
  <si>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</si>
  <si>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</si>
  <si>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</si>
  <si>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</si>
  <si>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</si>
  <si>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</si>
  <si>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</si>
  <si>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</si>
  <si>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</si>
  <si>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</si>
  <si>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</si>
  <si>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</si>
  <si>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</si>
  <si>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</si>
  <si>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</si>
  <si>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</si>
  <si>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</si>
  <si>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</si>
  <si>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</si>
  <si>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</si>
  <si>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</si>
  <si>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</si>
  <si>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</si>
  <si>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</si>
  <si>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</si>
  <si>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</si>
  <si>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</si>
  <si>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</si>
  <si>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</si>
  <si>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</si>
  <si>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</si>
  <si>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</si>
  <si>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</si>
  <si>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</si>
  <si>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</si>
  <si>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</si>
  <si>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</si>
  <si>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</si>
  <si>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</si>
  <si>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</si>
  <si>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</si>
  <si>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</si>
  <si>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</si>
  <si>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</si>
  <si>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</si>
  <si>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</si>
  <si>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</si>
  <si>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</si>
  <si>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</si>
  <si>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</si>
  <si>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</si>
  <si>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</si>
  <si>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</si>
  <si>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</si>
  <si>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</si>
  <si>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</si>
  <si>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</si>
  <si>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</si>
  <si>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</si>
  <si>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</si>
  <si>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</si>
  <si>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</si>
  <si>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</si>
  <si>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</si>
  <si>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</si>
  <si>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</si>
  <si>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</si>
  <si>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</si>
  <si>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</si>
  <si>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</si>
  <si>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</si>
  <si>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</si>
  <si>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</si>
  <si>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</si>
  <si>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</si>
  <si>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</si>
  <si>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</si>
  <si>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</si>
  <si>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</si>
  <si>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</si>
  <si>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</si>
  <si>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</si>
  <si>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</si>
  <si>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</si>
  <si>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</si>
  <si>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</si>
  <si>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</si>
  <si>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</si>
  <si>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</si>
  <si>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</si>
  <si>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</si>
  <si>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</si>
  <si>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</si>
  <si>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</si>
  <si>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</si>
  <si>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</si>
  <si>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</si>
  <si>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</si>
  <si>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</si>
  <si>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</si>
  <si>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</si>
  <si>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</si>
  <si>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</si>
  <si>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</si>
  <si>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</si>
  <si>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</si>
  <si>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</si>
  <si>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</si>
  <si>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</si>
  <si>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</si>
  <si>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</si>
  <si>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</si>
  <si>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</si>
  <si>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</si>
  <si>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</si>
  <si>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</si>
  <si>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</si>
  <si>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</si>
  <si>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</si>
  <si>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</si>
  <si>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</si>
  <si>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</si>
  <si>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</si>
  <si>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</si>
  <si>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</si>
  <si>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</si>
  <si>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</si>
  <si>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</si>
  <si>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</si>
  <si>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</si>
  <si>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</si>
  <si>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</si>
  <si>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</si>
  <si>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</si>
  <si>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</si>
  <si>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</si>
  <si>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</si>
  <si>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</si>
  <si>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</si>
  <si>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</si>
  <si>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</si>
  <si>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</si>
  <si>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</si>
  <si>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</si>
  <si>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</si>
  <si>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</si>
  <si>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</si>
  <si>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</si>
  <si>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</si>
  <si>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</si>
  <si>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</si>
  <si>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</si>
  <si>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</si>
  <si>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</si>
  <si>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</si>
  <si>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</si>
  <si>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</si>
  <si>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</si>
  <si>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</si>
  <si>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</si>
  <si>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</si>
  <si>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</si>
  <si>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</si>
  <si>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</si>
  <si>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</si>
  <si>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</si>
  <si>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</si>
  <si>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</si>
  <si>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</si>
  <si>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</si>
  <si>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</si>
  <si>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</si>
  <si>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</si>
  <si>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</si>
  <si>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</si>
  <si>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</si>
  <si>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</si>
  <si>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</si>
  <si>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</si>
  <si>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</si>
  <si>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</si>
  <si>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</si>
  <si>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</si>
  <si>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</si>
  <si>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</si>
  <si>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</si>
  <si>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</si>
  <si>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</si>
  <si>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</si>
  <si>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</si>
  <si>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</si>
  <si>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</si>
  <si>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</si>
  <si>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</si>
  <si>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</si>
  <si>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</si>
  <si>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</si>
  <si>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</si>
  <si>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</si>
  <si>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</si>
  <si>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</si>
  <si>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</si>
  <si>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</si>
  <si>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</si>
  <si>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</si>
  <si>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</si>
  <si>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</si>
  <si>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</si>
  <si>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</si>
  <si>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</si>
  <si>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</si>
  <si>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</si>
  <si>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</si>
  <si>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</si>
  <si>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</si>
  <si>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</si>
  <si>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</si>
  <si>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</si>
  <si>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</si>
  <si>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</si>
  <si>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</si>
  <si>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</si>
  <si>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</si>
  <si>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</si>
  <si>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</si>
  <si>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</si>
  <si>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</si>
  <si>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</si>
  <si>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</si>
  <si>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</si>
  <si>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</si>
  <si>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</si>
  <si>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</si>
  <si>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</si>
  <si>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</si>
  <si>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</si>
  <si>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</si>
  <si>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</si>
  <si>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</si>
  <si>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</si>
  <si>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</si>
  <si>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</si>
  <si>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</si>
  <si>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</si>
  <si>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</si>
  <si>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</si>
  <si>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</si>
  <si>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</si>
  <si>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</si>
  <si>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</si>
  <si>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</si>
  <si>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</si>
  <si>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</si>
  <si>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</si>
  <si>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</si>
  <si>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</si>
  <si>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</si>
  <si>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</si>
  <si>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</si>
  <si>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</si>
  <si>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</si>
  <si>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</si>
  <si>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</si>
  <si>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</si>
  <si>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</si>
  <si>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</si>
  <si>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</si>
  <si>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</si>
  <si>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</si>
  <si>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</si>
  <si>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</si>
  <si>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</si>
  <si>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</si>
  <si>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</si>
  <si>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</si>
  <si>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</si>
  <si>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</si>
  <si>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</si>
  <si>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</si>
  <si>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</si>
  <si>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</si>
  <si>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</si>
  <si>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</si>
  <si>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</si>
  <si>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</si>
  <si>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</si>
  <si>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</si>
  <si>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</si>
  <si>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</si>
  <si>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</si>
  <si>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</si>
  <si>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</si>
  <si>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</si>
  <si>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</si>
  <si>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</si>
  <si>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</si>
  <si>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</si>
  <si>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</si>
  <si>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</si>
  <si>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</si>
  <si>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</si>
  <si>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</si>
  <si>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</si>
  <si>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</si>
  <si>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</si>
  <si>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</si>
  <si>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</si>
  <si>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</si>
  <si>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</si>
  <si>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</si>
  <si>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</si>
  <si>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</si>
  <si>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</si>
  <si>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</si>
  <si>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</si>
  <si>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</si>
  <si>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</si>
  <si>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</si>
  <si>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</si>
  <si>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</si>
  <si>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</si>
  <si>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</si>
  <si>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</si>
  <si>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</si>
  <si>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</si>
  <si>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</si>
  <si>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</si>
  <si>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</si>
  <si>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</si>
  <si>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</si>
  <si>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</si>
  <si>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</si>
  <si>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</si>
  <si>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</si>
  <si>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</si>
  <si>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</si>
  <si>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</si>
  <si>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</si>
  <si>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</si>
  <si>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</si>
  <si>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</si>
  <si>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</si>
  <si>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</si>
  <si>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</si>
  <si>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</si>
  <si>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</si>
  <si>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</si>
  <si>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</si>
  <si>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</si>
  <si>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</si>
  <si>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</si>
  <si>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</si>
  <si>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</si>
  <si>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</si>
  <si>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</si>
  <si>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</si>
  <si>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</si>
  <si>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</si>
  <si>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</si>
  <si>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</si>
  <si>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</si>
  <si>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</si>
  <si>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</si>
  <si>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</si>
  <si>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</si>
  <si>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</si>
  <si>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</si>
  <si>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</si>
  <si>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</si>
  <si>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</si>
  <si>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</si>
  <si>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</si>
  <si>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</si>
  <si>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</si>
  <si>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</si>
  <si>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</si>
  <si>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</si>
  <si>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</si>
  <si>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</si>
  <si>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</si>
  <si>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</si>
  <si>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</si>
  <si>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</si>
  <si>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</si>
  <si>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</si>
  <si>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</si>
  <si>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</si>
  <si>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</si>
  <si>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</si>
  <si>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</si>
  <si>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</si>
  <si>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</si>
  <si>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</si>
  <si>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</si>
  <si>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</si>
  <si>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</si>
  <si>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</si>
  <si>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</si>
  <si>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</si>
  <si>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</si>
  <si>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</si>
  <si>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</si>
  <si>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</si>
  <si>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</si>
  <si>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</si>
  <si>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</si>
  <si>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</si>
  <si>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</si>
  <si>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</si>
  <si>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</si>
  <si>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</si>
  <si>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</si>
  <si>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</si>
  <si>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</si>
  <si>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</si>
  <si>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</si>
  <si>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</si>
  <si>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</si>
  <si>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</si>
  <si>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</si>
  <si>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</si>
  <si>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</si>
  <si>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</si>
  <si>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</si>
  <si>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</si>
  <si>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</si>
  <si>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</si>
  <si>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</si>
  <si>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</si>
  <si>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</si>
  <si>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</si>
  <si>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</si>
  <si>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</si>
  <si>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</si>
  <si>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</si>
  <si>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</si>
  <si>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</si>
  <si>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</si>
  <si>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</si>
  <si>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</si>
  <si>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</si>
  <si>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</si>
  <si>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</si>
  <si>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</si>
  <si>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</si>
  <si>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</si>
  <si>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</si>
  <si>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</si>
  <si>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</si>
  <si>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</si>
  <si>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</si>
  <si>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</si>
  <si>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</si>
  <si>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</si>
  <si>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</si>
  <si>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</si>
  <si>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</si>
  <si>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</si>
  <si>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</si>
  <si>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</si>
  <si>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</si>
  <si>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</si>
  <si>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</si>
  <si>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</si>
  <si>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</si>
  <si>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</si>
  <si>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</si>
  <si>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</si>
  <si>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</si>
  <si>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</si>
  <si>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</si>
  <si>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</si>
  <si>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</si>
  <si>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</si>
  <si>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</si>
  <si>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</si>
  <si>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</si>
  <si>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</si>
  <si>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</si>
  <si>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</si>
  <si>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</si>
  <si>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</si>
  <si>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</si>
  <si>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</si>
  <si>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</si>
  <si>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</si>
  <si>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</si>
  <si>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</si>
  <si>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</si>
  <si>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</si>
  <si>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</si>
  <si>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</si>
  <si>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</si>
  <si>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</si>
  <si>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</si>
  <si>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</si>
  <si>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</si>
  <si>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</si>
  <si>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</si>
  <si>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</si>
  <si>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</si>
  <si>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</si>
  <si>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</si>
  <si>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</si>
  <si>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</si>
  <si>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</si>
  <si>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</si>
  <si>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</si>
  <si>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</si>
  <si>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</si>
  <si>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</si>
  <si>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</si>
  <si>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</si>
  <si>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</si>
  <si>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</si>
  <si>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</si>
  <si>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</si>
  <si>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</si>
  <si>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</si>
  <si>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</si>
  <si>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</si>
  <si>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</si>
  <si>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</si>
  <si>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</si>
  <si>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</si>
  <si>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</si>
  <si>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</si>
  <si>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</si>
  <si>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</si>
  <si>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</si>
  <si>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</si>
  <si>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</si>
  <si>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</si>
  <si>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</si>
  <si>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</si>
  <si>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</si>
  <si>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</si>
  <si>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</si>
  <si>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</si>
  <si>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</si>
  <si>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</si>
  <si>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</si>
  <si>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</si>
  <si>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</si>
  <si>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</si>
  <si>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</si>
  <si>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</si>
  <si>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</si>
  <si>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</si>
  <si>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</si>
  <si>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</si>
  <si>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</si>
  <si>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</si>
  <si>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</si>
  <si>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</si>
  <si>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</si>
  <si>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</si>
  <si>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</si>
  <si>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</si>
  <si>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</si>
  <si>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</si>
  <si>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</si>
  <si>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</si>
  <si>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</si>
  <si>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</si>
  <si>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</si>
  <si>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</si>
  <si>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</si>
  <si>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</si>
  <si>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</si>
  <si>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</si>
  <si>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</si>
  <si>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</si>
  <si>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</si>
  <si>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</si>
  <si>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</si>
  <si>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</si>
  <si>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</si>
  <si>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</si>
  <si>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</si>
  <si>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</si>
  <si>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</si>
  <si>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</si>
  <si>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</si>
  <si>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</si>
  <si>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</si>
  <si>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</si>
  <si>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</si>
  <si>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</si>
  <si>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</si>
  <si>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</si>
  <si>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</si>
  <si>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</si>
  <si>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</si>
  <si>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</si>
  <si>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</si>
  <si>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</si>
  <si>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</si>
  <si>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</si>
  <si>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</si>
  <si>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</si>
  <si>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</si>
  <si>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</si>
  <si>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</si>
  <si>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</si>
  <si>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</si>
  <si>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</si>
  <si>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</si>
  <si>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</si>
  <si>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</si>
  <si>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</si>
  <si>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</si>
  <si>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</si>
  <si>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</si>
  <si>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</si>
  <si>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</si>
  <si>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</si>
  <si>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</si>
  <si>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</si>
  <si>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</si>
  <si>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</si>
  <si>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</si>
  <si>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</si>
  <si>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</si>
  <si>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</si>
  <si>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</si>
  <si>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</si>
  <si>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</si>
  <si>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</si>
  <si>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</si>
  <si>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</si>
  <si>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</si>
  <si>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</si>
  <si>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</si>
  <si>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</si>
  <si>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</si>
  <si>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</si>
  <si>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</si>
  <si>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</si>
  <si>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</si>
  <si>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</si>
  <si>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</si>
  <si>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</si>
  <si>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</si>
  <si>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</si>
  <si>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</si>
  <si>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</si>
  <si>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</si>
  <si>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</si>
  <si>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</si>
  <si>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</si>
  <si>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</si>
  <si>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</si>
  <si>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</si>
  <si>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</si>
  <si>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</si>
  <si>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</si>
  <si>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</si>
  <si>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</si>
  <si>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</si>
  <si>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</si>
  <si>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</si>
  <si>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</si>
  <si>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</si>
  <si>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</si>
  <si>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</si>
  <si>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</si>
  <si>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</si>
  <si>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</si>
  <si>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</si>
  <si>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</si>
  <si>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</si>
  <si>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</si>
  <si>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</si>
  <si>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</si>
  <si>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</si>
  <si>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</si>
  <si>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</si>
  <si>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</si>
  <si>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</si>
  <si>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</si>
  <si>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</si>
  <si>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</si>
  <si>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</si>
  <si>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</si>
  <si>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</si>
  <si>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</si>
  <si>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</si>
  <si>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</si>
  <si>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</si>
  <si>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</si>
  <si>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</si>
  <si>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</si>
  <si>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</si>
  <si>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</si>
  <si>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</si>
  <si>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</si>
  <si>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</si>
  <si>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</si>
  <si>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</si>
  <si>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</si>
  <si>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</si>
  <si>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</si>
  <si>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</si>
  <si>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</si>
  <si>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</si>
  <si>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</si>
  <si>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</si>
  <si>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</si>
  <si>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</si>
  <si>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</si>
  <si>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</si>
  <si>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</si>
  <si>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</si>
  <si>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</si>
  <si>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</si>
  <si>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</si>
  <si>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</si>
  <si>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</si>
  <si>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</si>
  <si>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</si>
  <si>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</si>
  <si>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</si>
  <si>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</si>
  <si>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</si>
  <si>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</si>
  <si>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</si>
  <si>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</si>
  <si>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</si>
  <si>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</si>
  <si>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</si>
  <si>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</si>
  <si>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</si>
  <si>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</si>
  <si>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</si>
  <si>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</si>
  <si>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</si>
  <si>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</si>
  <si>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</si>
  <si>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</si>
  <si>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</si>
  <si>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</si>
  <si>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</si>
  <si>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</si>
  <si>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</si>
  <si>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</si>
  <si>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</si>
  <si>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</si>
  <si>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</si>
  <si>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</si>
  <si>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</si>
  <si>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</si>
  <si>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</si>
  <si>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</si>
  <si>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</si>
  <si>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</si>
  <si>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</si>
  <si>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</si>
  <si>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</si>
  <si>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</si>
  <si>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</si>
  <si>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</si>
  <si>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02/15/2013</t>
  </si>
  <si>
    <t>05/15/2018</t>
  </si>
  <si>
    <t>02/15/2023</t>
  </si>
  <si>
    <t>08/15/2023</t>
  </si>
  <si>
    <t xml:space="preserve">Vocation Tuition Aid - My records show $4590 more than what you listed on the schedule of state aid.  I can adjust </t>
  </si>
  <si>
    <t>amount to agree with your report, but am not sure where to put the difference of $4590.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</si>
</sst>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2" zoomScale="146" zoomScaleNormal="146"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977</v>
      </c>
      <c r="B2" s="126">
        <f>INDEX('School Tables'!$AH$3:$AH$208,MATCH('DOE25'!A2,'School Tables'!$AJ$3:$AJ$208,0))</f>
        <v>112</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4721747</v>
      </c>
      <c r="G9" s="18">
        <v>0</v>
      </c>
      <c r="H9" s="18">
        <v>0</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6227</v>
      </c>
      <c r="G10" s="18">
        <v>0</v>
      </c>
      <c r="H10" s="18">
        <v>0</v>
      </c>
      <c r="I10" s="18">
        <v>0</v>
      </c>
      <c r="J10" s="67">
        <f>SUM(I441)</f>
        <v>4691620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672038</v>
      </c>
      <c r="G12" s="18">
        <v>175628</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140490</v>
      </c>
      <c r="G13" s="18">
        <v>249989</v>
      </c>
      <c r="H13" s="18">
        <v>606067</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65847</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7235</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5613584</v>
      </c>
      <c r="G19" s="41">
        <f>SUM(G9:G18)</f>
        <v>425617</v>
      </c>
      <c r="H19" s="41">
        <f>SUM(H9:H18)</f>
        <v>606067</v>
      </c>
      <c r="I19" s="41">
        <f>SUM(I9:I18)</f>
        <v>0</v>
      </c>
      <c r="J19" s="41">
        <f>SUM(J9:J18)</f>
        <v>4691620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599839</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462426</v>
      </c>
      <c r="G24" s="18">
        <v>0</v>
      </c>
      <c r="H24" s="18">
        <v>1397</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334632</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v>0</v>
      </c>
      <c r="G28" s="18">
        <v>0</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30429</v>
      </c>
      <c r="H30" s="18">
        <v>4831</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462426</v>
      </c>
      <c r="G32" s="41">
        <f>SUM(G22:G31)</f>
        <v>365061</v>
      </c>
      <c r="H32" s="41">
        <f>SUM(H22:H31)</f>
        <v>606067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60556</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900000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886903</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602433</v>
      </c>
      <c r="G48" s="18">
        <v>0</v>
      </c>
      <c r="H48" s="18">
        <v>0</v>
      </c>
      <c r="I48" s="18">
        <v>0</v>
      </c>
      <c r="J48" s="13">
        <f>SUM(I460)</f>
        <v>4691620</v>
      </c>
      <c r="K48" s="24" t="s">
        <v>288</v>
      </c>
      <c r="L48" s="24" t="s">
        <v>288</v>
      </c>
      <c r="M48" s="8"/>
      <c r="N48" s="265"/>
    </row>
    <row r="49" spans="1:14" s="3" customFormat="1" ht="12.2" customHeight="1" x14ac:dyDescent="0.15">
      <c r="A49" s="1" t="s">
        <v>859</v>
      </c>
      <c r="B49" s="2" t="s">
        <v>289</v>
      </c>
      <c r="C49" s="6">
        <v>34</v>
      </c>
      <c r="D49" s="2"/>
      <c r="E49" s="6">
        <v>753</v>
      </c>
      <c r="F49" s="18">
        <v>0</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2761822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5151158</v>
      </c>
      <c r="G51" s="41">
        <f>SUM(G35:G50)</f>
        <v>60556</v>
      </c>
      <c r="H51" s="41">
        <f>SUM(H35:H50)</f>
        <v>0</v>
      </c>
      <c r="I51" s="41">
        <f>SUM(I35:I50)</f>
        <v>0</v>
      </c>
      <c r="J51" s="41">
        <f>SUM(J35:J50)</f>
        <v>4691620</v>
      </c>
      <c r="K51" s="45" t="s">
        <v>288</v>
      </c>
      <c r="L51" s="45" t="s">
        <v>288</v>
      </c>
      <c r="N51" s="263"/>
    </row>
    <row r="52" spans="1:14" s="3" customFormat="1" ht="12.2" customHeight="1" thickTop="1" x14ac:dyDescent="0.15">
      <c r="A52" s="38" t="s">
        <v>455</v>
      </c>
      <c r="B52" s="39" t="s">
        <v>289</v>
      </c>
      <c r="C52" s="6">
        <v>37</v>
      </c>
      <c r="D52" s="39" t="s">
        <v>653</v>
      </c>
      <c r="E52" s="39"/>
      <c r="F52" s="41">
        <f>F51+F32</f>
        <v>5613584</v>
      </c>
      <c r="G52" s="41">
        <f>G51+G32</f>
        <v>425617</v>
      </c>
      <c r="H52" s="41">
        <f>H51+H32</f>
        <v>606067</v>
      </c>
      <c r="I52" s="41">
        <f>I51+I32</f>
        <v>0</v>
      </c>
      <c r="J52" s="41">
        <f>J51+J32</f>
        <v>4691620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33836240</v>
      </c>
      <c r="G57" s="18">
        <v>0</v>
      </c>
      <c r="H57" s="18">
        <v>0</v>
      </c>
      <c r="I57" s="18">
        <v>0</v>
      </c>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33836240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81728</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95542</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10020</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187290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17235</v>
      </c>
      <c r="G96" s="18">
        <v>57</v>
      </c>
      <c r="H96" s="18">
        <v>0</v>
      </c>
      <c r="I96" s="18">
        <v>0</v>
      </c>
      <c r="J96" s="18">
        <v>7611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56237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51620</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7495</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471420</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179832</v>
      </c>
      <c r="G110" s="18">
        <v>0</v>
      </c>
      <c r="H110" s="18">
        <v>10964</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727602</v>
      </c>
      <c r="G111" s="41">
        <f>SUM(G96:G110)</f>
        <v>56294</v>
      </c>
      <c r="H111" s="41">
        <f>SUM(H96:H110)</f>
        <v>10964</v>
      </c>
      <c r="I111" s="41">
        <f>SUM(I96:I110)</f>
        <v>0</v>
      </c>
      <c r="J111" s="41">
        <f>SUM(J96:J110)</f>
        <v>7611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34751132</v>
      </c>
      <c r="G112" s="41">
        <f>G60+G111</f>
        <v>56294</v>
      </c>
      <c r="H112" s="41">
        <f>H60+H79+H94+H111</f>
        <v>10964</v>
      </c>
      <c r="I112" s="41">
        <f>I60+I111</f>
        <v>0</v>
      </c>
      <c r="J112" s="41">
        <f>J60+J111</f>
        <v>7611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8500601</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4259724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12760325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117045</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59001</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4590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22804</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4">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14152</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93524</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180636</v>
      </c>
      <c r="G136" s="41">
        <f>SUM(G123:G135)</f>
        <v>14152</v>
      </c>
      <c r="H136" s="41">
        <f>SUM(H123:H135)</f>
        <v>116328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12940961</v>
      </c>
      <c r="G140" s="41">
        <f>G121+SUM(G136:G137)</f>
        <v>14152</v>
      </c>
      <c r="H140" s="41">
        <f>H121+SUM(H136:H139)</f>
        <v>116328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74743</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74743</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478885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117976</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193572</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34048</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1365245</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629102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242434</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969353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242434</v>
      </c>
      <c r="G163" s="41">
        <f>SUM(G150:G162)</f>
        <v>1365245</v>
      </c>
      <c r="H163" s="41">
        <f>SUM(H150:H162)</f>
        <v>2422936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242434</v>
      </c>
      <c r="G170" s="41">
        <f>G147+G163+SUM(G164:G169)</f>
        <v>1365245</v>
      </c>
      <c r="H170" s="41">
        <f>H147+H163+SUM(H164:H169)</f>
        <v>2497679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700000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32850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32850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32850</v>
      </c>
      <c r="G193" s="41">
        <f>G184+SUM(G189:G192)</f>
        <v>0</v>
      </c>
      <c r="H193" s="41">
        <f>+H184+SUM(H189:H192)</f>
        <v>0</v>
      </c>
      <c r="I193" s="41">
        <f>I178+I184+SUM(I189:I192)</f>
        <v>0</v>
      </c>
      <c r="J193" s="41">
        <f>J184</f>
        <v>700000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47967377</v>
      </c>
      <c r="G194" s="47">
        <f>G112+G140+G170+G193</f>
        <v>1435691</v>
      </c>
      <c r="H194" s="47">
        <f>H112+H140+H170+H193</f>
        <v>2624971</v>
      </c>
      <c r="I194" s="47">
        <f>I112+I140+I170+I193</f>
        <v>0</v>
      </c>
      <c r="J194" s="47">
        <f>J112+J140+J193</f>
        <v>707611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4304415</v>
      </c>
      <c r="G198" s="18">
        <v>2065324</v>
      </c>
      <c r="H198" s="18">
        <v>52852</v>
      </c>
      <c r="I198" s="18">
        <v>126570</v>
      </c>
      <c r="J198" s="18">
        <v>85539</v>
      </c>
      <c r="K198" s="18">
        <v>0</v>
      </c>
      <c r="L198" s="19">
        <f>SUM(F198:K198)</f>
        <v>6634700</v>
      </c>
      <c r="M198" s="8"/>
      <c r="N198" s="265"/>
    </row>
    <row r="199" spans="1:14" s="3" customFormat="1" ht="12.2" customHeight="1" x14ac:dyDescent="0.15">
      <c r="A199" s="1" t="s">
        <v>439</v>
      </c>
      <c r="B199" s="2" t="s">
        <v>341</v>
      </c>
      <c r="C199" s="2" t="s">
        <v>291</v>
      </c>
      <c r="D199" s="2" t="s">
        <v>431</v>
      </c>
      <c r="E199" s="6">
        <v>1200</v>
      </c>
      <c r="F199" s="18">
        <v>2964997</v>
      </c>
      <c r="G199" s="18">
        <v>1490947</v>
      </c>
      <c r="H199" s="18">
        <v>580812</v>
      </c>
      <c r="I199" s="18">
        <v>13747</v>
      </c>
      <c r="J199" s="18">
        <v>16400</v>
      </c>
      <c r="K199" s="18">
        <v>3027</v>
      </c>
      <c r="L199" s="19">
        <f>SUM(F199:K199)</f>
        <v>5069930</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0</v>
      </c>
      <c r="G201" s="18">
        <v>0</v>
      </c>
      <c r="H201" s="18">
        <v>306</v>
      </c>
      <c r="I201" s="18">
        <v>0</v>
      </c>
      <c r="J201" s="18">
        <v>0</v>
      </c>
      <c r="K201" s="18">
        <v>0</v>
      </c>
      <c r="L201" s="19">
        <f>SUM(F201:K201)</f>
        <v>306</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663282</v>
      </c>
      <c r="G203" s="18">
        <v>297728</v>
      </c>
      <c r="H203" s="18">
        <v>22903</v>
      </c>
      <c r="I203" s="18">
        <v>4510</v>
      </c>
      <c r="J203" s="18">
        <v>1166</v>
      </c>
      <c r="K203" s="18">
        <v>602</v>
      </c>
      <c r="L203" s="19">
        <f t="shared" ref="L203:L209" si="0">SUM(F203:K203)</f>
        <v>990191</v>
      </c>
      <c r="M203" s="8"/>
      <c r="N203" s="265"/>
    </row>
    <row r="204" spans="1:14" s="3" customFormat="1" ht="12.2" customHeight="1" x14ac:dyDescent="0.15">
      <c r="A204" s="1" t="s">
        <v>443</v>
      </c>
      <c r="B204" s="2" t="s">
        <v>341</v>
      </c>
      <c r="C204" s="2" t="s">
        <v>295</v>
      </c>
      <c r="D204" s="2" t="s">
        <v>431</v>
      </c>
      <c r="E204" s="6">
        <v>2200</v>
      </c>
      <c r="F204" s="18">
        <v>267944</v>
      </c>
      <c r="G204" s="18">
        <v>123320</v>
      </c>
      <c r="H204" s="18">
        <v>85848</v>
      </c>
      <c r="I204" s="18">
        <v>45236</v>
      </c>
      <c r="J204" s="18">
        <v>2614</v>
      </c>
      <c r="K204" s="18">
        <v>0</v>
      </c>
      <c r="L204" s="19">
        <f t="shared" si="0"/>
        <v>524962</v>
      </c>
      <c r="M204" s="8"/>
      <c r="N204" s="265"/>
    </row>
    <row r="205" spans="1:14" s="3" customFormat="1" ht="12.2" customHeight="1" x14ac:dyDescent="0.15">
      <c r="A205" s="1" t="s">
        <v>444</v>
      </c>
      <c r="B205" s="2" t="s">
        <v>341</v>
      </c>
      <c r="C205" s="2" t="s">
        <v>296</v>
      </c>
      <c r="D205" s="2" t="s">
        <v>431</v>
      </c>
      <c r="E205" s="6">
        <v>2300</v>
      </c>
      <c r="F205" s="18">
        <v>478986</v>
      </c>
      <c r="G205" s="18">
        <v>314202</v>
      </c>
      <c r="H205" s="18">
        <v>342086</v>
      </c>
      <c r="I205" s="18">
        <v>104060</v>
      </c>
      <c r="J205" s="18">
        <v>0</v>
      </c>
      <c r="K205" s="18">
        <v>8374</v>
      </c>
      <c r="L205" s="19">
        <f t="shared" si="0"/>
        <v>1247708</v>
      </c>
      <c r="M205" s="8"/>
      <c r="N205" s="265"/>
    </row>
    <row r="206" spans="1:14" s="3" customFormat="1" ht="12.2" customHeight="1" x14ac:dyDescent="0.15">
      <c r="A206" s="1" t="s">
        <v>445</v>
      </c>
      <c r="B206" s="2" t="s">
        <v>341</v>
      </c>
      <c r="C206" s="2" t="s">
        <v>297</v>
      </c>
      <c r="D206" s="2" t="s">
        <v>431</v>
      </c>
      <c r="E206" s="6">
        <v>2400</v>
      </c>
      <c r="F206" s="18">
        <v>1012707</v>
      </c>
      <c r="G206" s="18">
        <v>522790</v>
      </c>
      <c r="H206" s="18">
        <v>175634</v>
      </c>
      <c r="I206" s="18">
        <v>1625</v>
      </c>
      <c r="J206" s="18">
        <v>0</v>
      </c>
      <c r="K206" s="18">
        <v>17090</v>
      </c>
      <c r="L206" s="19">
        <f t="shared" si="0"/>
        <v>1729846</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223823</v>
      </c>
      <c r="G208" s="18">
        <v>77891</v>
      </c>
      <c r="H208" s="18">
        <v>820385</v>
      </c>
      <c r="I208" s="18">
        <v>458982</v>
      </c>
      <c r="J208" s="18">
        <v>50290</v>
      </c>
      <c r="K208" s="18">
        <v>0</v>
      </c>
      <c r="L208" s="19">
        <f t="shared" si="0"/>
        <v>1631371</v>
      </c>
      <c r="M208" s="8"/>
      <c r="N208" s="265"/>
    </row>
    <row r="209" spans="1:14" s="3" customFormat="1" ht="12.2" customHeight="1" x14ac:dyDescent="0.15">
      <c r="A209" s="1" t="s">
        <v>448</v>
      </c>
      <c r="B209" s="2" t="s">
        <v>341</v>
      </c>
      <c r="C209" s="2" t="s">
        <v>300</v>
      </c>
      <c r="D209" s="2" t="s">
        <v>431</v>
      </c>
      <c r="E209" s="6">
        <v>2700</v>
      </c>
      <c r="F209" s="18">
        <v>0</v>
      </c>
      <c r="G209" s="18">
        <v>0</v>
      </c>
      <c r="H209" s="18">
        <v>735212</v>
      </c>
      <c r="I209" s="18">
        <v>0</v>
      </c>
      <c r="J209" s="18">
        <v>0</v>
      </c>
      <c r="K209" s="18">
        <v>0</v>
      </c>
      <c r="L209" s="19">
        <f t="shared" si="0"/>
        <v>735212</v>
      </c>
      <c r="M209" s="8"/>
      <c r="N209" s="2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9916154</v>
      </c>
      <c r="G212" s="41">
        <f t="shared" si="1"/>
        <v>4892202</v>
      </c>
      <c r="H212" s="41">
        <f t="shared" si="1"/>
        <v>2816038</v>
      </c>
      <c r="I212" s="41">
        <f t="shared" si="1"/>
        <v>754730</v>
      </c>
      <c r="J212" s="41">
        <f t="shared" si="1"/>
        <v>156009</v>
      </c>
      <c r="K212" s="41">
        <f t="shared" si="1"/>
        <v>29093</v>
      </c>
      <c r="L212" s="41">
        <f t="shared" si="1"/>
        <v>18564226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3584458</v>
      </c>
      <c r="G216" s="18">
        <v>1782198</v>
      </c>
      <c r="H216" s="18">
        <v>42123</v>
      </c>
      <c r="I216" s="18">
        <v>114216</v>
      </c>
      <c r="J216" s="18">
        <v>83755</v>
      </c>
      <c r="K216" s="18">
        <v>135</v>
      </c>
      <c r="L216" s="19">
        <f>SUM(F216:K216)</f>
        <v>5606885</v>
      </c>
      <c r="M216" s="8"/>
      <c r="N216" s="265"/>
    </row>
    <row r="217" spans="1:14" s="3" customFormat="1" ht="12.2" customHeight="1" x14ac:dyDescent="0.15">
      <c r="A217" s="1" t="s">
        <v>439</v>
      </c>
      <c r="B217" s="2" t="s">
        <v>346</v>
      </c>
      <c r="C217" s="2" t="s">
        <v>291</v>
      </c>
      <c r="D217" s="2" t="s">
        <v>431</v>
      </c>
      <c r="E217" s="6">
        <v>1200</v>
      </c>
      <c r="F217" s="18">
        <v>1444928</v>
      </c>
      <c r="G217" s="18">
        <v>779057</v>
      </c>
      <c r="H217" s="18">
        <v>440379</v>
      </c>
      <c r="I217" s="18">
        <v>8143</v>
      </c>
      <c r="J217" s="18">
        <v>3701</v>
      </c>
      <c r="K217" s="18">
        <v>2295</v>
      </c>
      <c r="L217" s="19">
        <f>SUM(F217:K217)</f>
        <v>2678503</v>
      </c>
      <c r="M217" s="8"/>
      <c r="N217" s="265"/>
    </row>
    <row r="218" spans="1:14" s="3" customFormat="1" ht="12.2" customHeight="1" x14ac:dyDescent="0.15">
      <c r="A218" s="1" t="s">
        <v>440</v>
      </c>
      <c r="B218" s="2" t="s">
        <v>346</v>
      </c>
      <c r="C218" s="2" t="s">
        <v>292</v>
      </c>
      <c r="D218" s="2" t="s">
        <v>431</v>
      </c>
      <c r="E218" s="6">
        <v>1300</v>
      </c>
      <c r="F218" s="18">
        <v>261301</v>
      </c>
      <c r="G218" s="18">
        <v>117109</v>
      </c>
      <c r="H218" s="18">
        <v>2634</v>
      </c>
      <c r="I218" s="18">
        <v>12580</v>
      </c>
      <c r="J218" s="18">
        <v>674</v>
      </c>
      <c r="K218" s="18">
        <v>0</v>
      </c>
      <c r="L218" s="19">
        <f>SUM(F218:K218)</f>
        <v>394298</v>
      </c>
      <c r="M218" s="8"/>
      <c r="N218" s="265"/>
    </row>
    <row r="219" spans="1:14" s="3" customFormat="1" ht="12.2" customHeight="1" x14ac:dyDescent="0.15">
      <c r="A219" s="1" t="s">
        <v>441</v>
      </c>
      <c r="B219" s="2" t="s">
        <v>346</v>
      </c>
      <c r="C219" s="2" t="s">
        <v>293</v>
      </c>
      <c r="D219" s="2" t="s">
        <v>431</v>
      </c>
      <c r="E219" s="6">
        <v>1400</v>
      </c>
      <c r="F219" s="18">
        <v>99110</v>
      </c>
      <c r="G219" s="18">
        <v>25464</v>
      </c>
      <c r="H219" s="18">
        <v>12540</v>
      </c>
      <c r="I219" s="18">
        <v>17687</v>
      </c>
      <c r="J219" s="18">
        <v>367</v>
      </c>
      <c r="K219" s="18">
        <v>4430</v>
      </c>
      <c r="L219" s="19">
        <f>SUM(F219:K219)</f>
        <v>159598</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421731</v>
      </c>
      <c r="G221" s="18">
        <v>228683</v>
      </c>
      <c r="H221" s="18">
        <v>16239</v>
      </c>
      <c r="I221" s="18">
        <v>2979</v>
      </c>
      <c r="J221" s="18">
        <v>175</v>
      </c>
      <c r="K221" s="18">
        <v>0</v>
      </c>
      <c r="L221" s="19">
        <f t="shared" ref="L221:L227" si="2">SUM(F221:K221)</f>
        <v>669807</v>
      </c>
      <c r="M221" s="8"/>
      <c r="N221" s="265"/>
    </row>
    <row r="222" spans="1:14" s="3" customFormat="1" ht="12.2" customHeight="1" x14ac:dyDescent="0.15">
      <c r="A222" s="1" t="s">
        <v>443</v>
      </c>
      <c r="B222" s="2" t="s">
        <v>346</v>
      </c>
      <c r="C222" s="2" t="s">
        <v>295</v>
      </c>
      <c r="D222" s="2" t="s">
        <v>431</v>
      </c>
      <c r="E222" s="6">
        <v>2200</v>
      </c>
      <c r="F222" s="18">
        <v>153456</v>
      </c>
      <c r="G222" s="18">
        <v>68613</v>
      </c>
      <c r="H222" s="18">
        <v>65490</v>
      </c>
      <c r="I222" s="18">
        <v>42209</v>
      </c>
      <c r="J222" s="18">
        <v>3753</v>
      </c>
      <c r="K222" s="18">
        <v>457</v>
      </c>
      <c r="L222" s="19">
        <f t="shared" si="2"/>
        <v>333978</v>
      </c>
      <c r="M222" s="8"/>
      <c r="N222" s="265"/>
    </row>
    <row r="223" spans="1:14" s="3" customFormat="1" ht="12.2" customHeight="1" x14ac:dyDescent="0.15">
      <c r="A223" s="1" t="s">
        <v>444</v>
      </c>
      <c r="B223" s="2" t="s">
        <v>346</v>
      </c>
      <c r="C223" s="2" t="s">
        <v>296</v>
      </c>
      <c r="D223" s="2" t="s">
        <v>431</v>
      </c>
      <c r="E223" s="6">
        <v>2300</v>
      </c>
      <c r="F223" s="18">
        <v>363173</v>
      </c>
      <c r="G223" s="18">
        <v>238232</v>
      </c>
      <c r="H223" s="18">
        <v>260174</v>
      </c>
      <c r="I223" s="18">
        <v>78900</v>
      </c>
      <c r="J223" s="18">
        <v>0</v>
      </c>
      <c r="K223" s="18">
        <v>6349</v>
      </c>
      <c r="L223" s="19">
        <f t="shared" si="2"/>
        <v>946828</v>
      </c>
      <c r="M223" s="8"/>
      <c r="N223" s="265"/>
    </row>
    <row r="224" spans="1:14" s="3" customFormat="1" ht="12.2" customHeight="1" x14ac:dyDescent="0.15">
      <c r="A224" s="1" t="s">
        <v>445</v>
      </c>
      <c r="B224" s="2" t="s">
        <v>346</v>
      </c>
      <c r="C224" s="2" t="s">
        <v>297</v>
      </c>
      <c r="D224" s="2" t="s">
        <v>431</v>
      </c>
      <c r="E224" s="6">
        <v>2400</v>
      </c>
      <c r="F224" s="18">
        <v>563898</v>
      </c>
      <c r="G224" s="18">
        <v>287826</v>
      </c>
      <c r="H224" s="18">
        <v>60134</v>
      </c>
      <c r="I224" s="18">
        <v>2042</v>
      </c>
      <c r="J224" s="18">
        <v>0</v>
      </c>
      <c r="K224" s="18">
        <v>9384</v>
      </c>
      <c r="L224" s="19">
        <f t="shared" si="2"/>
        <v>923284</v>
      </c>
      <c r="M224" s="8"/>
      <c r="N224" s="2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5"/>
    </row>
    <row r="226" spans="1:14" s="3" customFormat="1" ht="12.2" customHeight="1" x14ac:dyDescent="0.15">
      <c r="A226" s="1" t="s">
        <v>447</v>
      </c>
      <c r="B226" s="2" t="s">
        <v>346</v>
      </c>
      <c r="C226" s="2" t="s">
        <v>299</v>
      </c>
      <c r="D226" s="2" t="s">
        <v>431</v>
      </c>
      <c r="E226" s="6">
        <v>2600</v>
      </c>
      <c r="F226" s="18">
        <v>238719</v>
      </c>
      <c r="G226" s="18">
        <v>89275</v>
      </c>
      <c r="H226" s="18">
        <v>625218</v>
      </c>
      <c r="I226" s="18">
        <v>321730</v>
      </c>
      <c r="J226" s="18">
        <v>38131</v>
      </c>
      <c r="K226" s="18">
        <v>0</v>
      </c>
      <c r="L226" s="19">
        <f t="shared" si="2"/>
        <v>1313073</v>
      </c>
      <c r="M226" s="8"/>
      <c r="N226" s="265"/>
    </row>
    <row r="227" spans="1:14" s="3" customFormat="1" ht="12.2" customHeight="1" x14ac:dyDescent="0.15">
      <c r="A227" s="1" t="s">
        <v>448</v>
      </c>
      <c r="B227" s="2" t="s">
        <v>346</v>
      </c>
      <c r="C227" s="2" t="s">
        <v>300</v>
      </c>
      <c r="D227" s="2" t="s">
        <v>431</v>
      </c>
      <c r="E227" s="6">
        <v>2700</v>
      </c>
      <c r="F227" s="18">
        <v>0</v>
      </c>
      <c r="G227" s="18">
        <v>0</v>
      </c>
      <c r="H227" s="18">
        <v>593777</v>
      </c>
      <c r="I227" s="18">
        <v>0</v>
      </c>
      <c r="J227" s="18">
        <v>0</v>
      </c>
      <c r="K227" s="18">
        <v>0</v>
      </c>
      <c r="L227" s="19">
        <f t="shared" si="2"/>
        <v>593777</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7130774</v>
      </c>
      <c r="G230" s="41">
        <f>SUM(G216:G229)</f>
        <v>3616457</v>
      </c>
      <c r="H230" s="41">
        <f>SUM(H216:H229)</f>
        <v>2118708</v>
      </c>
      <c r="I230" s="41">
        <f>SUM(I216:I229)</f>
        <v>600486</v>
      </c>
      <c r="J230" s="41">
        <f>SUM(J216:J229)</f>
        <v>130556</v>
      </c>
      <c r="K230" s="41">
        <f t="shared" si="3"/>
        <v>23050</v>
      </c>
      <c r="L230" s="41">
        <f t="shared" si="3"/>
        <v>13620031</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2999275</v>
      </c>
      <c r="G234" s="18">
        <v>1371457</v>
      </c>
      <c r="H234" s="18">
        <v>52090</v>
      </c>
      <c r="I234" s="18">
        <v>104587</v>
      </c>
      <c r="J234" s="18">
        <v>130294</v>
      </c>
      <c r="K234" s="18">
        <v>2400</v>
      </c>
      <c r="L234" s="19">
        <f>SUM(F234:K234)</f>
        <v>4660103</v>
      </c>
      <c r="M234" s="8"/>
      <c r="N234" s="265"/>
    </row>
    <row r="235" spans="1:14" s="3" customFormat="1" ht="12.2" customHeight="1" x14ac:dyDescent="0.15">
      <c r="A235" s="1" t="s">
        <v>439</v>
      </c>
      <c r="B235" s="2" t="s">
        <v>350</v>
      </c>
      <c r="C235" s="2" t="s">
        <v>291</v>
      </c>
      <c r="D235" s="2" t="s">
        <v>431</v>
      </c>
      <c r="E235" s="6">
        <v>1200</v>
      </c>
      <c r="F235" s="18">
        <v>2165911</v>
      </c>
      <c r="G235" s="18">
        <v>1068389</v>
      </c>
      <c r="H235" s="18">
        <v>507801</v>
      </c>
      <c r="I235" s="18">
        <v>14711</v>
      </c>
      <c r="J235" s="18">
        <v>4845</v>
      </c>
      <c r="K235" s="18">
        <v>2646</v>
      </c>
      <c r="L235" s="19">
        <f>SUM(F235:K235)</f>
        <v>3764303</v>
      </c>
      <c r="M235" s="8"/>
      <c r="N235" s="265"/>
    </row>
    <row r="236" spans="1:14" s="3" customFormat="1" ht="12.2" customHeight="1" x14ac:dyDescent="0.15">
      <c r="A236" s="1" t="s">
        <v>440</v>
      </c>
      <c r="B236" s="2" t="s">
        <v>350</v>
      </c>
      <c r="C236" s="2" t="s">
        <v>292</v>
      </c>
      <c r="D236" s="2" t="s">
        <v>431</v>
      </c>
      <c r="E236" s="6">
        <v>1300</v>
      </c>
      <c r="F236" s="18">
        <v>460327</v>
      </c>
      <c r="G236" s="18">
        <v>218134</v>
      </c>
      <c r="H236" s="18">
        <v>74747</v>
      </c>
      <c r="I236" s="18">
        <v>31299</v>
      </c>
      <c r="J236" s="18">
        <v>4212</v>
      </c>
      <c r="K236" s="18">
        <v>0</v>
      </c>
      <c r="L236" s="19">
        <f>SUM(F236:K236)</f>
        <v>788719</v>
      </c>
      <c r="M236" s="8"/>
      <c r="N236" s="265"/>
    </row>
    <row r="237" spans="1:14" s="3" customFormat="1" ht="12.2" customHeight="1" x14ac:dyDescent="0.15">
      <c r="A237" s="1" t="s">
        <v>441</v>
      </c>
      <c r="B237" s="2" t="s">
        <v>350</v>
      </c>
      <c r="C237" s="2" t="s">
        <v>293</v>
      </c>
      <c r="D237" s="2" t="s">
        <v>431</v>
      </c>
      <c r="E237" s="6">
        <v>1400</v>
      </c>
      <c r="F237" s="18">
        <v>369308</v>
      </c>
      <c r="G237" s="18">
        <v>99307</v>
      </c>
      <c r="H237" s="18">
        <v>136322</v>
      </c>
      <c r="I237" s="18">
        <v>14753</v>
      </c>
      <c r="J237" s="18">
        <v>12887</v>
      </c>
      <c r="K237" s="18">
        <v>29743</v>
      </c>
      <c r="L237" s="19">
        <f>SUM(F237:K237)</f>
        <v>662320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694244</v>
      </c>
      <c r="G239" s="18">
        <v>353497</v>
      </c>
      <c r="H239" s="18">
        <v>19444</v>
      </c>
      <c r="I239" s="18">
        <v>11331</v>
      </c>
      <c r="J239" s="18">
        <v>0</v>
      </c>
      <c r="K239" s="18">
        <v>19350</v>
      </c>
      <c r="L239" s="19">
        <f t="shared" ref="L239:L245" si="4">SUM(F239:K239)</f>
        <v>1097866</v>
      </c>
      <c r="M239" s="8"/>
      <c r="N239" s="265"/>
    </row>
    <row r="240" spans="1:14" s="3" customFormat="1" ht="12.2" customHeight="1" x14ac:dyDescent="0.15">
      <c r="A240" s="1" t="s">
        <v>443</v>
      </c>
      <c r="B240" s="2" t="s">
        <v>350</v>
      </c>
      <c r="C240" s="2" t="s">
        <v>295</v>
      </c>
      <c r="D240" s="2" t="s">
        <v>431</v>
      </c>
      <c r="E240" s="6">
        <v>2200</v>
      </c>
      <c r="F240" s="18">
        <v>147000</v>
      </c>
      <c r="G240" s="18">
        <v>49537</v>
      </c>
      <c r="H240" s="18">
        <v>75043</v>
      </c>
      <c r="I240" s="18">
        <v>51570</v>
      </c>
      <c r="J240" s="18">
        <v>5908</v>
      </c>
      <c r="K240" s="18">
        <v>526</v>
      </c>
      <c r="L240" s="19">
        <f t="shared" si="4"/>
        <v>329584</v>
      </c>
      <c r="M240" s="8"/>
      <c r="N240" s="265"/>
    </row>
    <row r="241" spans="1:14" s="3" customFormat="1" ht="12.2" customHeight="1" x14ac:dyDescent="0.15">
      <c r="A241" s="1" t="s">
        <v>444</v>
      </c>
      <c r="B241" s="2" t="s">
        <v>350</v>
      </c>
      <c r="C241" s="2" t="s">
        <v>296</v>
      </c>
      <c r="D241" s="2" t="s">
        <v>431</v>
      </c>
      <c r="E241" s="6">
        <v>2300</v>
      </c>
      <c r="F241" s="18">
        <v>418703</v>
      </c>
      <c r="G241" s="18">
        <v>274657</v>
      </c>
      <c r="H241" s="18">
        <v>297901</v>
      </c>
      <c r="I241" s="18">
        <v>90964</v>
      </c>
      <c r="J241" s="18">
        <v>0</v>
      </c>
      <c r="K241" s="18">
        <v>7320</v>
      </c>
      <c r="L241" s="19">
        <f t="shared" si="4"/>
        <v>1089545</v>
      </c>
      <c r="M241" s="8"/>
      <c r="N241" s="265"/>
    </row>
    <row r="242" spans="1:14" s="3" customFormat="1" ht="12.2" customHeight="1" x14ac:dyDescent="0.15">
      <c r="A242" s="1" t="s">
        <v>445</v>
      </c>
      <c r="B242" s="2" t="s">
        <v>350</v>
      </c>
      <c r="C242" s="2" t="s">
        <v>297</v>
      </c>
      <c r="D242" s="2" t="s">
        <v>431</v>
      </c>
      <c r="E242" s="6">
        <v>2400</v>
      </c>
      <c r="F242" s="18">
        <v>601861</v>
      </c>
      <c r="G242" s="18">
        <v>301321</v>
      </c>
      <c r="H242" s="18">
        <v>70507</v>
      </c>
      <c r="I242" s="18">
        <v>11700</v>
      </c>
      <c r="J242" s="18">
        <v>0</v>
      </c>
      <c r="K242" s="18">
        <v>65082</v>
      </c>
      <c r="L242" s="19">
        <f t="shared" si="4"/>
        <v>1050471</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280040</v>
      </c>
      <c r="G244" s="18">
        <v>112684</v>
      </c>
      <c r="H244" s="18">
        <v>422932</v>
      </c>
      <c r="I244" s="18">
        <v>406093</v>
      </c>
      <c r="J244" s="18">
        <v>43960</v>
      </c>
      <c r="K244" s="18">
        <v>0</v>
      </c>
      <c r="L244" s="19">
        <f t="shared" si="4"/>
        <v>1265709</v>
      </c>
      <c r="M244" s="8"/>
      <c r="N244" s="265"/>
    </row>
    <row r="245" spans="1:14" s="3" customFormat="1" ht="12.2" customHeight="1" x14ac:dyDescent="0.15">
      <c r="A245" s="1" t="s">
        <v>448</v>
      </c>
      <c r="B245" s="2" t="s">
        <v>350</v>
      </c>
      <c r="C245" s="2" t="s">
        <v>300</v>
      </c>
      <c r="D245" s="2" t="s">
        <v>431</v>
      </c>
      <c r="E245" s="6">
        <v>2700</v>
      </c>
      <c r="F245" s="18">
        <v>0</v>
      </c>
      <c r="G245" s="18">
        <v>0</v>
      </c>
      <c r="H245" s="18">
        <v>756271</v>
      </c>
      <c r="I245" s="18">
        <v>0</v>
      </c>
      <c r="J245" s="18">
        <v>0</v>
      </c>
      <c r="K245" s="18">
        <v>0</v>
      </c>
      <c r="L245" s="19">
        <f t="shared" si="4"/>
        <v>756271</v>
      </c>
      <c r="M245" s="8"/>
      <c r="N245" s="265"/>
    </row>
    <row r="246" spans="1:14" s="3" customFormat="1" ht="12.2" customHeight="1" x14ac:dyDescent="0.15">
      <c r="A246" s="1" t="s">
        <v>449</v>
      </c>
      <c r="B246" s="2" t="s">
        <v>350</v>
      </c>
      <c r="C246" s="2" t="s">
        <v>343</v>
      </c>
      <c r="D246" s="2" t="s">
        <v>431</v>
      </c>
      <c r="E246" s="6">
        <v>2800</v>
      </c>
      <c r="F246" s="18">
        <v>0</v>
      </c>
      <c r="G246" s="18">
        <v>0</v>
      </c>
      <c r="H246" s="18">
        <v>4375</v>
      </c>
      <c r="I246" s="18">
        <v>0</v>
      </c>
      <c r="J246" s="18">
        <v>0</v>
      </c>
      <c r="K246" s="18">
        <v>0</v>
      </c>
      <c r="L246" s="19">
        <f>SUM(F246:K246)</f>
        <v>4375</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8136669</v>
      </c>
      <c r="G248" s="41">
        <f t="shared" si="5"/>
        <v>3848983</v>
      </c>
      <c r="H248" s="41">
        <f t="shared" si="5"/>
        <v>2417433</v>
      </c>
      <c r="I248" s="41">
        <f t="shared" si="5"/>
        <v>737008</v>
      </c>
      <c r="J248" s="41">
        <f t="shared" si="5"/>
        <v>202106</v>
      </c>
      <c r="K248" s="41">
        <f t="shared" si="5"/>
        <v>127067</v>
      </c>
      <c r="L248" s="41">
        <f t="shared" si="5"/>
        <v>15469266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25183597</v>
      </c>
      <c r="G258" s="41">
        <f t="shared" si="8"/>
        <v>12357642</v>
      </c>
      <c r="H258" s="41">
        <f t="shared" si="8"/>
        <v>7352179</v>
      </c>
      <c r="I258" s="41">
        <f t="shared" si="8"/>
        <v>2092224</v>
      </c>
      <c r="J258" s="41">
        <f t="shared" si="8"/>
        <v>488671</v>
      </c>
      <c r="K258" s="41">
        <f t="shared" si="8"/>
        <v>179210</v>
      </c>
      <c r="L258" s="41">
        <f t="shared" si="8"/>
        <v>47653523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540000</v>
      </c>
      <c r="L261" s="19">
        <f>SUM(F261:K261)</f>
        <v>540000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55993</v>
      </c>
      <c r="L262" s="19">
        <f>SUM(F262:K262)</f>
        <v>55993</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700000</v>
      </c>
      <c r="L267" s="19">
        <f t="shared" si="9"/>
        <v>700000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1295993</v>
      </c>
      <c r="L271" s="41">
        <f t="shared" si="9"/>
        <v>1295993</v>
      </c>
      <c r="M271" s="8"/>
      <c r="N271" s="265"/>
    </row>
    <row r="272" spans="1:14" s="34" customFormat="1" ht="12.2" customHeight="1" thickTop="1" x14ac:dyDescent="0.2">
      <c r="A272" s="43" t="s">
        <v>464</v>
      </c>
      <c r="B272" s="40">
        <v>10</v>
      </c>
      <c r="C272" s="40">
        <v>18</v>
      </c>
      <c r="D272" s="39" t="s">
        <v>431</v>
      </c>
      <c r="E272" s="40"/>
      <c r="F272" s="42">
        <f t="shared" ref="F272:L272" si="11">F258+F271</f>
        <v>25183597</v>
      </c>
      <c r="G272" s="42">
        <f t="shared" si="11"/>
        <v>12357642</v>
      </c>
      <c r="H272" s="42">
        <f t="shared" si="11"/>
        <v>7352179</v>
      </c>
      <c r="I272" s="42">
        <f t="shared" si="11"/>
        <v>2092224</v>
      </c>
      <c r="J272" s="42">
        <f t="shared" si="11"/>
        <v>488671</v>
      </c>
      <c r="K272" s="42">
        <f t="shared" si="11"/>
        <v>1475203</v>
      </c>
      <c r="L272" s="42">
        <f t="shared" si="11"/>
        <v>48949516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456345</v>
      </c>
      <c r="G277" s="18">
        <v>191696</v>
      </c>
      <c r="H277" s="18">
        <v>42003</v>
      </c>
      <c r="I277" s="18">
        <v>16359</v>
      </c>
      <c r="J277" s="18">
        <v>34941</v>
      </c>
      <c r="K277" s="18">
        <v>9122</v>
      </c>
      <c r="L277" s="19">
        <f>SUM(F277:K277)</f>
        <v>750466</v>
      </c>
      <c r="M277" s="8"/>
      <c r="N277" s="265"/>
    </row>
    <row r="278" spans="1:14" s="3" customFormat="1" ht="12.2" customHeight="1" x14ac:dyDescent="0.15">
      <c r="A278" s="1" t="s">
        <v>439</v>
      </c>
      <c r="B278" s="2" t="s">
        <v>357</v>
      </c>
      <c r="C278" s="2" t="s">
        <v>291</v>
      </c>
      <c r="D278" s="2" t="s">
        <v>431</v>
      </c>
      <c r="E278" s="6">
        <v>1200</v>
      </c>
      <c r="F278" s="18">
        <v>112396</v>
      </c>
      <c r="G278" s="18">
        <v>80783</v>
      </c>
      <c r="H278" s="18">
        <v>430534</v>
      </c>
      <c r="I278" s="18">
        <v>4523</v>
      </c>
      <c r="J278" s="18">
        <v>866</v>
      </c>
      <c r="K278" s="18">
        <v>0</v>
      </c>
      <c r="L278" s="19">
        <f>SUM(F278:K278)</f>
        <v>629102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35338</v>
      </c>
      <c r="G280" s="18">
        <v>10132</v>
      </c>
      <c r="H280" s="18">
        <v>0</v>
      </c>
      <c r="I280" s="18">
        <v>262</v>
      </c>
      <c r="J280" s="18">
        <v>0</v>
      </c>
      <c r="K280" s="18">
        <v>0</v>
      </c>
      <c r="L280" s="19">
        <f>SUM(F280:K280)</f>
        <v>45732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56601</v>
      </c>
      <c r="I282" s="18">
        <v>0</v>
      </c>
      <c r="J282" s="18">
        <v>0</v>
      </c>
      <c r="K282" s="18">
        <v>264</v>
      </c>
      <c r="L282" s="19">
        <f t="shared" ref="L282:L288" si="12">SUM(F282:K282)</f>
        <v>56865</v>
      </c>
      <c r="M282" s="8"/>
      <c r="N282" s="265"/>
    </row>
    <row r="283" spans="1:14" s="3" customFormat="1" ht="12.2" customHeight="1" x14ac:dyDescent="0.15">
      <c r="A283" s="1" t="s">
        <v>443</v>
      </c>
      <c r="B283" s="2" t="s">
        <v>357</v>
      </c>
      <c r="C283" s="2" t="s">
        <v>295</v>
      </c>
      <c r="D283" s="2" t="s">
        <v>431</v>
      </c>
      <c r="E283" s="6">
        <v>2200</v>
      </c>
      <c r="F283" s="18">
        <v>24263</v>
      </c>
      <c r="G283" s="18">
        <v>6956</v>
      </c>
      <c r="H283" s="18">
        <v>33874</v>
      </c>
      <c r="I283" s="18">
        <v>10435</v>
      </c>
      <c r="J283" s="18">
        <v>0</v>
      </c>
      <c r="K283" s="18">
        <v>354</v>
      </c>
      <c r="L283" s="19">
        <f t="shared" si="12"/>
        <v>75882</v>
      </c>
      <c r="M283" s="8"/>
      <c r="N283" s="265"/>
    </row>
    <row r="284" spans="1:14" s="3" customFormat="1" ht="12.2" customHeight="1" x14ac:dyDescent="0.15">
      <c r="A284" s="1" t="s">
        <v>444</v>
      </c>
      <c r="B284" s="2" t="s">
        <v>357</v>
      </c>
      <c r="C284" s="2" t="s">
        <v>296</v>
      </c>
      <c r="D284" s="2" t="s">
        <v>431</v>
      </c>
      <c r="E284" s="6">
        <v>2300</v>
      </c>
      <c r="F284" s="18">
        <v>0</v>
      </c>
      <c r="G284" s="18">
        <v>0</v>
      </c>
      <c r="H284" s="18">
        <v>13925</v>
      </c>
      <c r="I284" s="18">
        <v>1235</v>
      </c>
      <c r="J284" s="18">
        <v>0</v>
      </c>
      <c r="K284" s="18">
        <v>0</v>
      </c>
      <c r="L284" s="19">
        <f t="shared" si="12"/>
        <v>15160</v>
      </c>
      <c r="M284" s="8"/>
      <c r="N284" s="265"/>
    </row>
    <row r="285" spans="1:14" s="3" customFormat="1" ht="12.2" customHeight="1" x14ac:dyDescent="0.15">
      <c r="A285" s="1" t="s">
        <v>445</v>
      </c>
      <c r="B285" s="2" t="s">
        <v>357</v>
      </c>
      <c r="C285" s="2" t="s">
        <v>297</v>
      </c>
      <c r="D285" s="2" t="s">
        <v>431</v>
      </c>
      <c r="E285" s="6">
        <v>2400</v>
      </c>
      <c r="F285" s="18">
        <v>11688</v>
      </c>
      <c r="G285" s="18">
        <v>3322</v>
      </c>
      <c r="H285" s="18">
        <v>746</v>
      </c>
      <c r="I285" s="18">
        <v>0</v>
      </c>
      <c r="J285" s="18">
        <v>0</v>
      </c>
      <c r="K285" s="18">
        <v>0</v>
      </c>
      <c r="L285" s="19">
        <f t="shared" si="12"/>
        <v>15756</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28320</v>
      </c>
      <c r="I287" s="18">
        <v>0</v>
      </c>
      <c r="J287" s="18">
        <v>0</v>
      </c>
      <c r="K287" s="18">
        <v>0</v>
      </c>
      <c r="L287" s="19">
        <f t="shared" si="12"/>
        <v>28320</v>
      </c>
      <c r="M287" s="8"/>
      <c r="N287" s="265"/>
    </row>
    <row r="288" spans="1:14" s="3" customFormat="1" ht="12.2" customHeight="1" x14ac:dyDescent="0.15">
      <c r="A288" s="1" t="s">
        <v>448</v>
      </c>
      <c r="B288" s="2" t="s">
        <v>357</v>
      </c>
      <c r="C288" s="2" t="s">
        <v>300</v>
      </c>
      <c r="D288" s="2" t="s">
        <v>431</v>
      </c>
      <c r="E288" s="6">
        <v>2700</v>
      </c>
      <c r="F288" s="18">
        <v>0</v>
      </c>
      <c r="G288" s="18">
        <v>0</v>
      </c>
      <c r="H288" s="18">
        <v>4517</v>
      </c>
      <c r="I288" s="18">
        <v>1036</v>
      </c>
      <c r="J288" s="18">
        <v>0</v>
      </c>
      <c r="K288" s="18">
        <v>0</v>
      </c>
      <c r="L288" s="19">
        <f t="shared" si="12"/>
        <v>5553</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640030</v>
      </c>
      <c r="G291" s="42">
        <f t="shared" si="13"/>
        <v>292889</v>
      </c>
      <c r="H291" s="42">
        <f t="shared" si="13"/>
        <v>610520</v>
      </c>
      <c r="I291" s="42">
        <f t="shared" si="13"/>
        <v>33850</v>
      </c>
      <c r="J291" s="42">
        <f t="shared" si="13"/>
        <v>35807</v>
      </c>
      <c r="K291" s="42">
        <f t="shared" si="13"/>
        <v>9740</v>
      </c>
      <c r="L291" s="41">
        <f t="shared" si="13"/>
        <v>1622836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163882</v>
      </c>
      <c r="G296" s="18">
        <v>69153</v>
      </c>
      <c r="H296" s="18">
        <v>37066</v>
      </c>
      <c r="I296" s="18">
        <v>4244</v>
      </c>
      <c r="J296" s="18">
        <v>727</v>
      </c>
      <c r="K296" s="18">
        <v>0</v>
      </c>
      <c r="L296" s="19">
        <f>SUM(F296:K296)</f>
        <v>275072</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3108</v>
      </c>
      <c r="G299" s="18">
        <v>891</v>
      </c>
      <c r="H299" s="18">
        <v>900</v>
      </c>
      <c r="I299" s="18">
        <v>12004</v>
      </c>
      <c r="J299" s="18">
        <v>5552</v>
      </c>
      <c r="K299" s="18">
        <v>350</v>
      </c>
      <c r="L299" s="19">
        <f>SUM(F299:K299)</f>
        <v>22805</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37222</v>
      </c>
      <c r="I302" s="18">
        <v>0</v>
      </c>
      <c r="J302" s="18">
        <v>0</v>
      </c>
      <c r="K302" s="18">
        <v>268</v>
      </c>
      <c r="L302" s="19">
        <f t="shared" si="14"/>
        <v>37490</v>
      </c>
      <c r="M302" s="8"/>
      <c r="N302" s="265"/>
    </row>
    <row r="303" spans="1:14" s="3" customFormat="1" ht="12.2" customHeight="1" x14ac:dyDescent="0.15">
      <c r="A303" s="1" t="s">
        <v>444</v>
      </c>
      <c r="B303" s="2" t="s">
        <v>358</v>
      </c>
      <c r="C303" s="2" t="s">
        <v>296</v>
      </c>
      <c r="D303" s="2" t="s">
        <v>431</v>
      </c>
      <c r="E303" s="6">
        <v>2300</v>
      </c>
      <c r="F303" s="18">
        <v>0</v>
      </c>
      <c r="G303" s="18">
        <v>0</v>
      </c>
      <c r="H303" s="18">
        <v>10558</v>
      </c>
      <c r="I303" s="18">
        <v>936</v>
      </c>
      <c r="J303" s="18">
        <v>0</v>
      </c>
      <c r="K303" s="18">
        <v>0</v>
      </c>
      <c r="L303" s="19">
        <f t="shared" si="14"/>
        <v>11494</v>
      </c>
      <c r="M303" s="8"/>
      <c r="N303" s="265"/>
    </row>
    <row r="304" spans="1:14" s="3" customFormat="1" ht="12.2" customHeight="1" x14ac:dyDescent="0.15">
      <c r="A304" s="1" t="s">
        <v>445</v>
      </c>
      <c r="B304" s="2" t="s">
        <v>358</v>
      </c>
      <c r="C304" s="2" t="s">
        <v>297</v>
      </c>
      <c r="D304" s="2" t="s">
        <v>431</v>
      </c>
      <c r="E304" s="6">
        <v>2400</v>
      </c>
      <c r="F304" s="18">
        <v>0</v>
      </c>
      <c r="G304" s="18">
        <v>0</v>
      </c>
      <c r="H304" s="18">
        <v>566</v>
      </c>
      <c r="I304" s="18">
        <v>0</v>
      </c>
      <c r="J304" s="18">
        <v>0</v>
      </c>
      <c r="K304" s="18">
        <v>0</v>
      </c>
      <c r="L304" s="19">
        <f t="shared" si="14"/>
        <v>566</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21981</v>
      </c>
      <c r="I306" s="18">
        <v>786</v>
      </c>
      <c r="J306" s="18">
        <v>0</v>
      </c>
      <c r="K306" s="18">
        <v>0</v>
      </c>
      <c r="L306" s="19">
        <f t="shared" si="14"/>
        <v>22767</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166990</v>
      </c>
      <c r="G310" s="42">
        <f t="shared" si="15"/>
        <v>70044</v>
      </c>
      <c r="H310" s="42">
        <f t="shared" si="15"/>
        <v>108293</v>
      </c>
      <c r="I310" s="42">
        <f t="shared" si="15"/>
        <v>17970</v>
      </c>
      <c r="J310" s="42">
        <f t="shared" si="15"/>
        <v>6279</v>
      </c>
      <c r="K310" s="42">
        <f t="shared" si="15"/>
        <v>618</v>
      </c>
      <c r="L310" s="41">
        <f t="shared" si="15"/>
        <v>370194</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188940</v>
      </c>
      <c r="G315" s="18">
        <v>79726</v>
      </c>
      <c r="H315" s="18">
        <v>36717</v>
      </c>
      <c r="I315" s="18">
        <v>12093</v>
      </c>
      <c r="J315" s="18">
        <v>839</v>
      </c>
      <c r="K315" s="18">
        <v>0</v>
      </c>
      <c r="L315" s="19">
        <f>SUM(F315:K315)</f>
        <v>318315</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7083</v>
      </c>
      <c r="I317" s="18">
        <v>78695</v>
      </c>
      <c r="J317" s="18">
        <v>104584</v>
      </c>
      <c r="K317" s="18">
        <v>4642</v>
      </c>
      <c r="L317" s="19">
        <f>SUM(F317:K317)</f>
        <v>195004</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44865</v>
      </c>
      <c r="I321" s="18">
        <v>0</v>
      </c>
      <c r="J321" s="18">
        <v>0</v>
      </c>
      <c r="K321" s="18">
        <v>309</v>
      </c>
      <c r="L321" s="19">
        <f t="shared" si="16"/>
        <v>45174</v>
      </c>
      <c r="M321" s="8"/>
      <c r="N321" s="265"/>
    </row>
    <row r="322" spans="1:14" s="3" customFormat="1" ht="12.2" customHeight="1" x14ac:dyDescent="0.15">
      <c r="A322" s="1" t="s">
        <v>444</v>
      </c>
      <c r="B322" s="2" t="s">
        <v>359</v>
      </c>
      <c r="C322" s="2" t="s">
        <v>296</v>
      </c>
      <c r="D322" s="2" t="s">
        <v>431</v>
      </c>
      <c r="E322" s="6">
        <v>2300</v>
      </c>
      <c r="F322" s="18">
        <v>0</v>
      </c>
      <c r="G322" s="18">
        <v>0</v>
      </c>
      <c r="H322" s="18">
        <v>12172</v>
      </c>
      <c r="I322" s="18">
        <v>1079</v>
      </c>
      <c r="J322" s="18">
        <v>0</v>
      </c>
      <c r="K322" s="18">
        <v>0</v>
      </c>
      <c r="L322" s="19">
        <f t="shared" si="16"/>
        <v>13251</v>
      </c>
      <c r="M322" s="8"/>
      <c r="N322" s="265"/>
    </row>
    <row r="323" spans="1:14" s="3" customFormat="1" ht="12.2" customHeight="1" x14ac:dyDescent="0.15">
      <c r="A323" s="1" t="s">
        <v>445</v>
      </c>
      <c r="B323" s="2" t="s">
        <v>359</v>
      </c>
      <c r="C323" s="2" t="s">
        <v>297</v>
      </c>
      <c r="D323" s="2" t="s">
        <v>431</v>
      </c>
      <c r="E323" s="6">
        <v>2400</v>
      </c>
      <c r="F323" s="18">
        <v>26461</v>
      </c>
      <c r="G323" s="18">
        <v>7586</v>
      </c>
      <c r="H323" s="18">
        <v>652</v>
      </c>
      <c r="I323" s="18">
        <v>0</v>
      </c>
      <c r="J323" s="18">
        <v>0</v>
      </c>
      <c r="K323" s="18">
        <v>0</v>
      </c>
      <c r="L323" s="19">
        <f t="shared" si="16"/>
        <v>34699</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24592</v>
      </c>
      <c r="I325" s="18">
        <v>906</v>
      </c>
      <c r="J325" s="18">
        <v>0</v>
      </c>
      <c r="K325" s="18">
        <v>0</v>
      </c>
      <c r="L325" s="19">
        <f t="shared" si="16"/>
        <v>25498</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215401</v>
      </c>
      <c r="G329" s="42">
        <f t="shared" si="17"/>
        <v>87312</v>
      </c>
      <c r="H329" s="42">
        <f t="shared" si="17"/>
        <v>126081</v>
      </c>
      <c r="I329" s="42">
        <f t="shared" si="17"/>
        <v>92773</v>
      </c>
      <c r="J329" s="42">
        <f t="shared" si="17"/>
        <v>105423</v>
      </c>
      <c r="K329" s="42">
        <f t="shared" si="17"/>
        <v>4951</v>
      </c>
      <c r="L329" s="41">
        <f t="shared" si="17"/>
        <v>631941</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1022421</v>
      </c>
      <c r="G339" s="41">
        <f t="shared" si="20"/>
        <v>450245</v>
      </c>
      <c r="H339" s="41">
        <f t="shared" si="20"/>
        <v>844894</v>
      </c>
      <c r="I339" s="41">
        <f t="shared" si="20"/>
        <v>144593</v>
      </c>
      <c r="J339" s="41">
        <f t="shared" si="20"/>
        <v>147509</v>
      </c>
      <c r="K339" s="41">
        <f t="shared" si="20"/>
        <v>15309</v>
      </c>
      <c r="L339" s="41">
        <f t="shared" si="20"/>
        <v>2624971</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1022421</v>
      </c>
      <c r="G353" s="41">
        <f>G339</f>
        <v>450245</v>
      </c>
      <c r="H353" s="41">
        <f>H339</f>
        <v>844894</v>
      </c>
      <c r="I353" s="41">
        <f>I339</f>
        <v>144593</v>
      </c>
      <c r="J353" s="41">
        <f>J339</f>
        <v>147509</v>
      </c>
      <c r="K353" s="47">
        <f>K339+K352</f>
        <v>15309</v>
      </c>
      <c r="L353" s="41">
        <f>L339+L352</f>
        <v>2624971</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0</v>
      </c>
      <c r="G359" s="18">
        <v>0</v>
      </c>
      <c r="H359" s="18">
        <v>498834</v>
      </c>
      <c r="I359" s="18">
        <v>27021</v>
      </c>
      <c r="J359" s="18">
        <v>0</v>
      </c>
      <c r="K359" s="18">
        <v>0</v>
      </c>
      <c r="L359" s="13">
        <f>SUM(F359:K359)</f>
        <v>525855</v>
      </c>
      <c r="M359" s="8"/>
      <c r="N359" s="265"/>
    </row>
    <row r="360" spans="1:22" s="3" customFormat="1" ht="12.2" customHeight="1" x14ac:dyDescent="0.15">
      <c r="A360" s="1" t="s">
        <v>542</v>
      </c>
      <c r="B360" s="2" t="s">
        <v>366</v>
      </c>
      <c r="C360" s="6">
        <v>2</v>
      </c>
      <c r="D360" s="2" t="s">
        <v>431</v>
      </c>
      <c r="E360" s="6"/>
      <c r="F360" s="18">
        <v>0</v>
      </c>
      <c r="G360" s="18">
        <v>0</v>
      </c>
      <c r="H360" s="18">
        <v>378222</v>
      </c>
      <c r="I360" s="18">
        <v>16259</v>
      </c>
      <c r="J360" s="18">
        <v>0</v>
      </c>
      <c r="K360" s="18">
        <v>0</v>
      </c>
      <c r="L360" s="19">
        <f>SUM(F360:K360)</f>
        <v>394481</v>
      </c>
      <c r="M360" s="8"/>
      <c r="N360" s="265"/>
    </row>
    <row r="361" spans="1:22" s="3" customFormat="1" ht="12.2" customHeight="1" x14ac:dyDescent="0.15">
      <c r="A361" s="3" t="s">
        <v>543</v>
      </c>
      <c r="B361" s="2" t="s">
        <v>366</v>
      </c>
      <c r="C361" s="6">
        <v>3</v>
      </c>
      <c r="D361" s="2" t="s">
        <v>431</v>
      </c>
      <c r="E361" s="6"/>
      <c r="F361" s="18">
        <v>0</v>
      </c>
      <c r="G361" s="18">
        <v>0</v>
      </c>
      <c r="H361" s="18">
        <v>436053</v>
      </c>
      <c r="I361" s="18">
        <v>18746</v>
      </c>
      <c r="J361" s="18">
        <v>0</v>
      </c>
      <c r="K361" s="18">
        <v>0</v>
      </c>
      <c r="L361" s="19">
        <f>SUM(F361:K361)</f>
        <v>454799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1313109</v>
      </c>
      <c r="I363" s="47">
        <f t="shared" si="22"/>
        <v>62026</v>
      </c>
      <c r="J363" s="47">
        <f t="shared" si="22"/>
        <v>0</v>
      </c>
      <c r="K363" s="47">
        <f t="shared" si="22"/>
        <v>0</v>
      </c>
      <c r="L363" s="47">
        <f t="shared" si="22"/>
        <v>1375135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21445</v>
      </c>
      <c r="G368" s="18">
        <v>16259</v>
      </c>
      <c r="H368" s="18">
        <v>18746</v>
      </c>
      <c r="I368" s="56">
        <f>SUM(F368:H368)</f>
        <v>56450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5576</v>
      </c>
      <c r="G369" s="63">
        <v>0</v>
      </c>
      <c r="H369" s="63">
        <v>0</v>
      </c>
      <c r="I369" s="56">
        <f>SUM(F369:H369)</f>
        <v>5576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27021</v>
      </c>
      <c r="G370" s="47">
        <f>SUM(G368:G369)</f>
        <v>16259</v>
      </c>
      <c r="H370" s="47">
        <f>SUM(H368:H369)</f>
        <v>18746</v>
      </c>
      <c r="I370" s="47">
        <f>SUM(I368:I369)</f>
        <v>62026</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500000</v>
      </c>
      <c r="H390" s="18">
        <v>3718</v>
      </c>
      <c r="I390" s="18">
        <v>0</v>
      </c>
      <c r="J390" s="24" t="s">
        <v>288</v>
      </c>
      <c r="K390" s="24" t="s">
        <v>288</v>
      </c>
      <c r="L390" s="56">
        <f t="shared" si="25"/>
        <v>503718</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500000</v>
      </c>
      <c r="H394" s="139">
        <f>SUM(H388:H393)</f>
        <v>3718</v>
      </c>
      <c r="I394" s="65">
        <f>SUM(I388:I393)</f>
        <v>0</v>
      </c>
      <c r="J394" s="45" t="s">
        <v>288</v>
      </c>
      <c r="K394" s="45" t="s">
        <v>288</v>
      </c>
      <c r="L394" s="47">
        <f>SUM(L388:L393)</f>
        <v>503718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918</v>
      </c>
      <c r="I396" s="18">
        <v>0</v>
      </c>
      <c r="J396" s="24" t="s">
        <v>288</v>
      </c>
      <c r="K396" s="24" t="s">
        <v>288</v>
      </c>
      <c r="L396" s="56">
        <f t="shared" ref="L396:L401" si="26">SUM(F396:K396)</f>
        <v>918</v>
      </c>
      <c r="M396" s="8"/>
      <c r="N396" s="265"/>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v>0</v>
      </c>
      <c r="G398" s="18">
        <v>100000</v>
      </c>
      <c r="H398" s="18">
        <v>1380</v>
      </c>
      <c r="I398" s="18">
        <v>0</v>
      </c>
      <c r="J398" s="24" t="s">
        <v>288</v>
      </c>
      <c r="K398" s="24" t="s">
        <v>288</v>
      </c>
      <c r="L398" s="56">
        <f t="shared" si="26"/>
        <v>101380</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100000</v>
      </c>
      <c r="H401" s="18">
        <v>1595</v>
      </c>
      <c r="I401" s="18">
        <v>0</v>
      </c>
      <c r="J401" s="24" t="s">
        <v>288</v>
      </c>
      <c r="K401" s="24" t="s">
        <v>288</v>
      </c>
      <c r="L401" s="56">
        <f t="shared" si="26"/>
        <v>101595</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3893</v>
      </c>
      <c r="I402" s="47">
        <f>SUM(I396:I401)</f>
        <v>0</v>
      </c>
      <c r="J402" s="45" t="s">
        <v>288</v>
      </c>
      <c r="K402" s="45" t="s">
        <v>288</v>
      </c>
      <c r="L402" s="47">
        <f>SUM(L396:L401)</f>
        <v>203893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5"/>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5"/>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700000</v>
      </c>
      <c r="H409" s="47">
        <f>H394+H402+H408</f>
        <v>7611</v>
      </c>
      <c r="I409" s="47">
        <f>I394+I402+I408</f>
        <v>0</v>
      </c>
      <c r="J409" s="24" t="s">
        <v>288</v>
      </c>
      <c r="K409" s="24" t="s">
        <v>288</v>
      </c>
      <c r="L409" s="47">
        <f>L394+L402+L408</f>
        <v>707611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SUM(G422:K422)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SUM(G422:G427)</f>
        <v>0</v>
      </c>
      <c r="G428" s="47" t="e">
        <f>SUM(#REF!)</f>
        <v>#REF!</v>
      </c>
      <c r="H428" s="47">
        <f t="shared" ref="H428:L428" si="30">SUM(H422:H427)</f>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t="e">
        <f t="shared" si="32"/>
        <v>#REF!</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4691620</v>
      </c>
      <c r="G441" s="18">
        <v>0</v>
      </c>
      <c r="H441" s="18">
        <v>0</v>
      </c>
      <c r="I441" s="56">
        <f t="shared" si="33"/>
        <v>4691620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0</v>
      </c>
      <c r="H443" s="18">
        <v>0</v>
      </c>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4691620</v>
      </c>
      <c r="G447" s="13">
        <f>SUM(G440:G446)</f>
        <v>0</v>
      </c>
      <c r="H447" s="13">
        <f>SUM(H440:H446)</f>
        <v>0</v>
      </c>
      <c r="I447" s="13">
        <f>SUM(I440:I446)</f>
        <v>4691620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4691620</v>
      </c>
      <c r="G460" s="18">
        <v>0</v>
      </c>
      <c r="H460" s="18">
        <v>0</v>
      </c>
      <c r="I460" s="56">
        <f t="shared" si="34"/>
        <v>4691620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4691620</v>
      </c>
      <c r="G461" s="83">
        <f>SUM(G455:G460)</f>
        <v>0</v>
      </c>
      <c r="H461" s="83">
        <f>SUM(H455:H460)</f>
        <v>0</v>
      </c>
      <c r="I461" s="83">
        <f>SUM(I455:I460)</f>
        <v>4691620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4691620</v>
      </c>
      <c r="G462" s="42">
        <f>G453+G461</f>
        <v>0</v>
      </c>
      <c r="H462" s="42">
        <f>H453+H461</f>
        <v>0</v>
      </c>
      <c r="I462" s="42">
        <f>I453+I461</f>
        <v>4691620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6133297</v>
      </c>
      <c r="G466" s="18">
        <v>0</v>
      </c>
      <c r="H466" s="18">
        <v>0</v>
      </c>
      <c r="I466" s="18">
        <v>0</v>
      </c>
      <c r="J466" s="18">
        <v>3984009</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47967377</v>
      </c>
      <c r="G469" s="18">
        <v>1435691</v>
      </c>
      <c r="H469" s="18">
        <v>2624971</v>
      </c>
      <c r="I469" s="18">
        <v>0</v>
      </c>
      <c r="J469" s="18">
        <v>707611</v>
      </c>
      <c r="K469" s="24" t="s">
        <v>288</v>
      </c>
      <c r="L469" s="24" t="s">
        <v>288</v>
      </c>
      <c r="N469" s="264"/>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4"/>
    </row>
    <row r="471" spans="1:14" s="52" customFormat="1" ht="12.2" customHeight="1" x14ac:dyDescent="0.2">
      <c r="A471" s="92" t="s">
        <v>425</v>
      </c>
      <c r="B471" s="75">
        <v>19</v>
      </c>
      <c r="C471" s="80">
        <v>4</v>
      </c>
      <c r="D471" s="2" t="s">
        <v>432</v>
      </c>
      <c r="E471" s="80"/>
      <c r="F471" s="53">
        <f>SUM(F469:F470)</f>
        <v>47967377</v>
      </c>
      <c r="G471" s="53">
        <f>SUM(G469:G470)</f>
        <v>1435691</v>
      </c>
      <c r="H471" s="53">
        <f>SUM(H469:H470)</f>
        <v>2624971</v>
      </c>
      <c r="I471" s="53">
        <f>SUM(I469:I470)</f>
        <v>0</v>
      </c>
      <c r="J471" s="53">
        <f>SUM(J469:J470)</f>
        <v>707611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48949516</v>
      </c>
      <c r="G473" s="18">
        <v>1375135</v>
      </c>
      <c r="H473" s="18">
        <v>2624971</v>
      </c>
      <c r="I473" s="18">
        <v>0</v>
      </c>
      <c r="J473" s="18">
        <v>0</v>
      </c>
      <c r="K473" s="24" t="s">
        <v>288</v>
      </c>
      <c r="L473" s="24" t="s">
        <v>288</v>
      </c>
      <c r="N473" s="264"/>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4"/>
    </row>
    <row r="475" spans="1:14" s="52" customFormat="1" ht="12.2" customHeight="1" x14ac:dyDescent="0.2">
      <c r="A475" s="92" t="s">
        <v>426</v>
      </c>
      <c r="B475" s="75">
        <v>19</v>
      </c>
      <c r="C475" s="80">
        <v>7</v>
      </c>
      <c r="D475" s="2" t="s">
        <v>432</v>
      </c>
      <c r="E475" s="80"/>
      <c r="F475" s="53">
        <f>SUM(F473:F474)</f>
        <v>48949516</v>
      </c>
      <c r="G475" s="53">
        <f>SUM(G473:G474)</f>
        <v>1375135</v>
      </c>
      <c r="H475" s="53">
        <f>SUM(H473:H474)</f>
        <v>2624971</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5151158</v>
      </c>
      <c r="G477" s="53">
        <f>(G466+G471)- G475</f>
        <v>60556</v>
      </c>
      <c r="H477" s="53">
        <f>(H466+H471)- H475</f>
        <v>0</v>
      </c>
      <c r="I477" s="53">
        <f>(I466+I471)- I475</f>
        <v>0</v>
      </c>
      <c r="J477" s="53">
        <f>(J466+J471)- J475</f>
        <v>4691620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10</v>
      </c>
      <c r="G491" s="154">
        <v>5</v>
      </c>
      <c r="H491" s="154">
        <v>0</v>
      </c>
      <c r="I491" s="154">
        <v>0</v>
      </c>
      <c r="J491" s="154">
        <v>0</v>
      </c>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154">
        <v>0</v>
      </c>
      <c r="I492" s="154">
        <v>0</v>
      </c>
      <c r="J492" s="154">
        <v>0</v>
      </c>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154">
        <v>0</v>
      </c>
      <c r="I493" s="154">
        <v>0</v>
      </c>
      <c r="J493" s="154">
        <v>0</v>
      </c>
      <c r="K493" s="24" t="s">
        <v>288</v>
      </c>
      <c r="L493" s="24" t="s">
        <v>288</v>
      </c>
      <c r="N493" s="264"/>
    </row>
    <row r="494" spans="1:14" s="52" customFormat="1" ht="12.2" customHeight="1" x14ac:dyDescent="0.2">
      <c r="A494" s="22" t="s">
        <v>617</v>
      </c>
      <c r="B494" s="75">
        <v>20</v>
      </c>
      <c r="C494" s="115">
        <v>4</v>
      </c>
      <c r="D494" s="2" t="s">
        <v>432</v>
      </c>
      <c r="E494" s="115"/>
      <c r="F494" s="18">
        <v>3750000</v>
      </c>
      <c r="G494" s="18">
        <v>920200</v>
      </c>
      <c r="H494" s="18">
        <v>0</v>
      </c>
      <c r="I494" s="18">
        <v>0</v>
      </c>
      <c r="J494" s="18">
        <v>0</v>
      </c>
      <c r="K494" s="24" t="s">
        <v>288</v>
      </c>
      <c r="L494" s="24" t="s">
        <v>288</v>
      </c>
      <c r="N494" s="264"/>
    </row>
    <row r="495" spans="1:14" s="52" customFormat="1" ht="12.2" customHeight="1" x14ac:dyDescent="0.2">
      <c r="A495" s="22" t="s">
        <v>618</v>
      </c>
      <c r="B495" s="75">
        <v>20</v>
      </c>
      <c r="C495" s="115">
        <v>5</v>
      </c>
      <c r="D495" s="2" t="s">
        <v>432</v>
      </c>
      <c r="E495" s="115"/>
      <c r="F495" s="18">
        <v>1.69</v>
      </c>
      <c r="G495" s="18">
        <v>2.2200000000000002</v>
      </c>
      <c r="H495" s="18">
        <v>0</v>
      </c>
      <c r="I495" s="18">
        <v>0</v>
      </c>
      <c r="J495" s="18">
        <v>0</v>
      </c>
      <c r="K495" s="24" t="s">
        <v>288</v>
      </c>
      <c r="L495" s="24" t="s">
        <v>288</v>
      </c>
      <c r="N495" s="264"/>
    </row>
    <row r="496" spans="1:14" s="52" customFormat="1" ht="12.2" customHeight="1" x14ac:dyDescent="0.2">
      <c r="A496" s="22" t="s">
        <v>619</v>
      </c>
      <c r="B496" s="75">
        <v>20</v>
      </c>
      <c r="C496" s="115">
        <v>6</v>
      </c>
      <c r="D496" s="2" t="s">
        <v>432</v>
      </c>
      <c r="E496" s="115"/>
      <c r="F496" s="18">
        <v>710000</v>
      </c>
      <c r="G496" s="18">
        <v>555000</v>
      </c>
      <c r="H496" s="18">
        <v>0</v>
      </c>
      <c r="I496" s="18">
        <v>0</v>
      </c>
      <c r="J496" s="18">
        <v>0</v>
      </c>
      <c r="K496" s="53">
        <f>SUM(F496:J496)</f>
        <v>1265000</v>
      </c>
      <c r="L496" s="24" t="s">
        <v>288</v>
      </c>
      <c r="N496" s="264"/>
    </row>
    <row r="497" spans="1:14" s="52" customFormat="1" ht="12.2" customHeight="1" x14ac:dyDescent="0.2">
      <c r="A497" s="22" t="s">
        <v>620</v>
      </c>
      <c r="B497" s="75">
        <v>20</v>
      </c>
      <c r="C497" s="115">
        <v>7</v>
      </c>
      <c r="D497" s="2" t="s">
        <v>432</v>
      </c>
      <c r="E497" s="115"/>
      <c r="F497" s="18">
        <v>0</v>
      </c>
      <c r="G497" s="18">
        <v>0</v>
      </c>
      <c r="H497" s="18">
        <v>0</v>
      </c>
      <c r="I497" s="18">
        <v>0</v>
      </c>
      <c r="J497" s="18">
        <v>0</v>
      </c>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355000</v>
      </c>
      <c r="G498" s="18">
        <v>41820</v>
      </c>
      <c r="H498" s="18">
        <v>0</v>
      </c>
      <c r="I498" s="18">
        <v>0</v>
      </c>
      <c r="J498" s="18">
        <v>0</v>
      </c>
      <c r="K498" s="53">
        <f t="shared" si="35"/>
        <v>396820</v>
      </c>
      <c r="L498" s="24" t="s">
        <v>288</v>
      </c>
      <c r="N498" s="264"/>
    </row>
    <row r="499" spans="1:14" s="52" customFormat="1" ht="12.2" customHeight="1" x14ac:dyDescent="0.2">
      <c r="A499" s="199" t="s">
        <v>622</v>
      </c>
      <c r="B499" s="200">
        <v>20</v>
      </c>
      <c r="C499" s="201">
        <v>9</v>
      </c>
      <c r="D499" s="202" t="s">
        <v>432</v>
      </c>
      <c r="E499" s="201"/>
      <c r="F499" s="203">
        <v>355000</v>
      </c>
      <c r="G499" s="203">
        <v>365000</v>
      </c>
      <c r="H499" s="203">
        <v>0</v>
      </c>
      <c r="I499" s="203">
        <v>0</v>
      </c>
      <c r="J499" s="203">
        <v>0</v>
      </c>
      <c r="K499" s="204">
        <f t="shared" si="35"/>
        <v>720000</v>
      </c>
      <c r="L499" s="205" t="s">
        <v>288</v>
      </c>
      <c r="N499" s="264"/>
    </row>
    <row r="500" spans="1:14" s="52" customFormat="1" ht="12.2" customHeight="1" thickBot="1" x14ac:dyDescent="0.25">
      <c r="A500" s="22" t="s">
        <v>623</v>
      </c>
      <c r="B500" s="75">
        <v>20</v>
      </c>
      <c r="C500" s="115">
        <v>10</v>
      </c>
      <c r="D500" s="2" t="s">
        <v>432</v>
      </c>
      <c r="E500" s="115"/>
      <c r="F500" s="18">
        <v>14555</v>
      </c>
      <c r="G500" s="18">
        <v>18487.5</v>
      </c>
      <c r="H500" s="18">
        <v>0</v>
      </c>
      <c r="I500" s="18">
        <v>0</v>
      </c>
      <c r="J500" s="18">
        <v>0</v>
      </c>
      <c r="K500" s="53">
        <f t="shared" si="35"/>
        <v>33042.5</v>
      </c>
      <c r="L500" s="24" t="s">
        <v>288</v>
      </c>
      <c r="N500" s="264"/>
    </row>
    <row r="501" spans="1:14" s="52" customFormat="1" ht="12.2" customHeight="1" thickTop="1" x14ac:dyDescent="0.2">
      <c r="A501" s="139" t="s">
        <v>624</v>
      </c>
      <c r="B501" s="44">
        <v>20</v>
      </c>
      <c r="C501" s="194">
        <v>11</v>
      </c>
      <c r="D501" s="39" t="s">
        <v>432</v>
      </c>
      <c r="E501" s="194"/>
      <c r="F501" s="42">
        <f>SUM(F499:F500)</f>
        <v>369555</v>
      </c>
      <c r="G501" s="42">
        <f>SUM(G499:G500)</f>
        <v>383487.5</v>
      </c>
      <c r="H501" s="42">
        <f>SUM(H499:H500)</f>
        <v>0</v>
      </c>
      <c r="I501" s="42">
        <f>SUM(I499:I500)</f>
        <v>0</v>
      </c>
      <c r="J501" s="42">
        <f>SUM(J499:J500)</f>
        <v>0</v>
      </c>
      <c r="K501" s="42">
        <f t="shared" si="35"/>
        <v>753042.5</v>
      </c>
      <c r="L501" s="45" t="s">
        <v>288</v>
      </c>
      <c r="N501" s="264"/>
    </row>
    <row r="502" spans="1:14" s="52" customFormat="1" ht="12.2" customHeight="1" x14ac:dyDescent="0.2">
      <c r="A502" s="199" t="s">
        <v>651</v>
      </c>
      <c r="B502" s="200">
        <v>20</v>
      </c>
      <c r="C502" s="201">
        <v>12</v>
      </c>
      <c r="D502" s="202" t="s">
        <v>432</v>
      </c>
      <c r="E502" s="201"/>
      <c r="F502" s="203">
        <v>355000</v>
      </c>
      <c r="G502" s="203">
        <v>365000</v>
      </c>
      <c r="H502" s="203">
        <v>0</v>
      </c>
      <c r="I502" s="203">
        <v>0</v>
      </c>
      <c r="J502" s="203">
        <v>0</v>
      </c>
      <c r="K502" s="204">
        <f t="shared" si="35"/>
        <v>720000</v>
      </c>
      <c r="L502" s="205" t="s">
        <v>288</v>
      </c>
      <c r="N502" s="264"/>
    </row>
    <row r="503" spans="1:14" s="52" customFormat="1" ht="12.2" customHeight="1" thickBot="1" x14ac:dyDescent="0.25">
      <c r="A503" s="22" t="s">
        <v>625</v>
      </c>
      <c r="B503" s="75">
        <v>20</v>
      </c>
      <c r="C503" s="115">
        <v>13</v>
      </c>
      <c r="D503" s="2" t="s">
        <v>432</v>
      </c>
      <c r="E503" s="115"/>
      <c r="F503" s="18">
        <v>14555</v>
      </c>
      <c r="G503" s="18">
        <v>13897.5</v>
      </c>
      <c r="H503" s="18">
        <v>0</v>
      </c>
      <c r="I503" s="18">
        <v>0</v>
      </c>
      <c r="J503" s="18">
        <v>0</v>
      </c>
      <c r="K503" s="53">
        <f t="shared" si="35"/>
        <v>28452.5</v>
      </c>
      <c r="L503" s="24" t="s">
        <v>288</v>
      </c>
      <c r="N503" s="264"/>
    </row>
    <row r="504" spans="1:14" s="52" customFormat="1" ht="12.2" customHeight="1" thickTop="1" x14ac:dyDescent="0.2">
      <c r="A504" s="139" t="s">
        <v>626</v>
      </c>
      <c r="B504" s="44">
        <v>20</v>
      </c>
      <c r="C504" s="194">
        <v>14</v>
      </c>
      <c r="D504" s="39" t="s">
        <v>432</v>
      </c>
      <c r="E504" s="194"/>
      <c r="F504" s="42">
        <f>SUM(F502:F503)</f>
        <v>369555</v>
      </c>
      <c r="G504" s="42">
        <f>SUM(G502:G503)</f>
        <v>378897.5</v>
      </c>
      <c r="H504" s="42">
        <f>SUM(H502:H503)</f>
        <v>0</v>
      </c>
      <c r="I504" s="42">
        <f>SUM(I502:I503)</f>
        <v>0</v>
      </c>
      <c r="J504" s="42">
        <f>SUM(J502:J503)</f>
        <v>0</v>
      </c>
      <c r="K504" s="42">
        <f t="shared" si="35"/>
        <v>748452.5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2319627</v>
      </c>
      <c r="G522" s="18">
        <v>1201947</v>
      </c>
      <c r="H522" s="18">
        <v>430533</v>
      </c>
      <c r="I522" s="18">
        <v>8343</v>
      </c>
      <c r="J522" s="18">
        <v>12384</v>
      </c>
      <c r="K522" s="18">
        <v>0</v>
      </c>
      <c r="L522" s="88">
        <f>SUM(F522:K522)</f>
        <v>3972834</v>
      </c>
      <c r="N522" s="264"/>
    </row>
    <row r="523" spans="1:14" s="52" customFormat="1" ht="12.2" customHeight="1" x14ac:dyDescent="0.2">
      <c r="A523" s="22" t="s">
        <v>634</v>
      </c>
      <c r="B523" s="105">
        <v>21</v>
      </c>
      <c r="C523" s="115">
        <v>2</v>
      </c>
      <c r="D523" s="2" t="s">
        <v>432</v>
      </c>
      <c r="E523" s="115"/>
      <c r="F523" s="18">
        <v>870380</v>
      </c>
      <c r="G523" s="18">
        <v>498683</v>
      </c>
      <c r="H523" s="18">
        <v>0</v>
      </c>
      <c r="I523" s="18">
        <v>617</v>
      </c>
      <c r="J523" s="18">
        <v>0</v>
      </c>
      <c r="K523" s="18">
        <v>0</v>
      </c>
      <c r="L523" s="88">
        <f>SUM(F523:K523)</f>
        <v>1369680</v>
      </c>
      <c r="N523" s="264"/>
    </row>
    <row r="524" spans="1:14" s="52" customFormat="1" ht="12.2" customHeight="1" thickBot="1" x14ac:dyDescent="0.25">
      <c r="A524" s="22" t="s">
        <v>635</v>
      </c>
      <c r="B524" s="105">
        <v>21</v>
      </c>
      <c r="C524" s="115">
        <v>3</v>
      </c>
      <c r="D524" s="2" t="s">
        <v>432</v>
      </c>
      <c r="E524" s="115"/>
      <c r="F524" s="18">
        <v>1503514</v>
      </c>
      <c r="G524" s="18">
        <v>745145</v>
      </c>
      <c r="H524" s="18">
        <v>0</v>
      </c>
      <c r="I524" s="18">
        <v>6034</v>
      </c>
      <c r="J524" s="18">
        <v>579</v>
      </c>
      <c r="K524" s="18">
        <v>0</v>
      </c>
      <c r="L524" s="88">
        <f>SUM(F524:K524)</f>
        <v>2255272</v>
      </c>
      <c r="N524" s="264"/>
    </row>
    <row r="525" spans="1:14" s="52" customFormat="1" ht="12.2" customHeight="1" thickTop="1" x14ac:dyDescent="0.2">
      <c r="A525" s="139" t="s">
        <v>63</v>
      </c>
      <c r="B525" s="107">
        <v>21</v>
      </c>
      <c r="C525" s="194">
        <v>4</v>
      </c>
      <c r="D525" s="195" t="s">
        <v>432</v>
      </c>
      <c r="E525" s="194"/>
      <c r="F525" s="108">
        <f>SUM(F522:F524)</f>
        <v>4693521</v>
      </c>
      <c r="G525" s="108">
        <f t="shared" ref="G525:L525" si="36">SUM(G522:G524)</f>
        <v>2445775</v>
      </c>
      <c r="H525" s="108">
        <f t="shared" si="36"/>
        <v>430533</v>
      </c>
      <c r="I525" s="108">
        <f t="shared" si="36"/>
        <v>14994</v>
      </c>
      <c r="J525" s="108">
        <f t="shared" si="36"/>
        <v>12963</v>
      </c>
      <c r="K525" s="108">
        <f t="shared" si="36"/>
        <v>0</v>
      </c>
      <c r="L525" s="89">
        <f t="shared" si="36"/>
        <v>7597786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383637</v>
      </c>
      <c r="G527" s="18">
        <v>187940</v>
      </c>
      <c r="H527" s="18">
        <v>384508</v>
      </c>
      <c r="I527" s="18">
        <v>1259</v>
      </c>
      <c r="J527" s="18">
        <v>1888</v>
      </c>
      <c r="K527" s="18">
        <v>0</v>
      </c>
      <c r="L527" s="88">
        <f>SUM(F527:K527)</f>
        <v>959232</v>
      </c>
      <c r="M527" s="8"/>
      <c r="N527" s="265"/>
    </row>
    <row r="528" spans="1:14" s="3" customFormat="1" ht="12.2" customHeight="1" x14ac:dyDescent="0.15">
      <c r="A528" s="22" t="s">
        <v>634</v>
      </c>
      <c r="B528" s="105">
        <v>21</v>
      </c>
      <c r="C528" s="115">
        <v>6</v>
      </c>
      <c r="D528" s="2" t="s">
        <v>432</v>
      </c>
      <c r="E528" s="115"/>
      <c r="F528" s="18">
        <v>290879</v>
      </c>
      <c r="G528" s="18">
        <v>142499</v>
      </c>
      <c r="H528" s="18">
        <v>291539</v>
      </c>
      <c r="I528" s="18">
        <v>955</v>
      </c>
      <c r="J528" s="18">
        <v>1432</v>
      </c>
      <c r="K528" s="18">
        <v>0</v>
      </c>
      <c r="L528" s="88">
        <f>SUM(F528:K528)</f>
        <v>727304</v>
      </c>
      <c r="M528" s="8"/>
      <c r="N528" s="265"/>
    </row>
    <row r="529" spans="1:14" s="3" customFormat="1" ht="12.2" customHeight="1" thickBot="1" x14ac:dyDescent="0.2">
      <c r="A529" s="22" t="s">
        <v>635</v>
      </c>
      <c r="B529" s="118">
        <v>21</v>
      </c>
      <c r="C529" s="118">
        <v>7</v>
      </c>
      <c r="D529" s="2" t="s">
        <v>432</v>
      </c>
      <c r="E529" s="118"/>
      <c r="F529" s="18">
        <v>335354</v>
      </c>
      <c r="G529" s="18">
        <v>164287</v>
      </c>
      <c r="H529" s="18">
        <v>336116</v>
      </c>
      <c r="I529" s="18">
        <v>1101</v>
      </c>
      <c r="J529" s="18">
        <v>1651</v>
      </c>
      <c r="K529" s="18">
        <v>0</v>
      </c>
      <c r="L529" s="88">
        <f>SUM(F529:K529)</f>
        <v>838509</v>
      </c>
      <c r="M529" s="8"/>
      <c r="N529" s="265"/>
    </row>
    <row r="530" spans="1:14" s="3" customFormat="1" ht="12.2" customHeight="1" thickTop="1" x14ac:dyDescent="0.15">
      <c r="A530" s="139" t="s">
        <v>65</v>
      </c>
      <c r="B530" s="107">
        <v>21</v>
      </c>
      <c r="C530" s="107">
        <v>8</v>
      </c>
      <c r="D530" s="158" t="s">
        <v>432</v>
      </c>
      <c r="E530" s="107"/>
      <c r="F530" s="89">
        <f>SUM(F527:F529)</f>
        <v>1009870</v>
      </c>
      <c r="G530" s="89">
        <f t="shared" ref="G530:L530" si="37">SUM(G527:G529)</f>
        <v>494726</v>
      </c>
      <c r="H530" s="89">
        <f t="shared" si="37"/>
        <v>1012163</v>
      </c>
      <c r="I530" s="89">
        <f t="shared" si="37"/>
        <v>3315</v>
      </c>
      <c r="J530" s="89">
        <f t="shared" si="37"/>
        <v>4971</v>
      </c>
      <c r="K530" s="89">
        <f t="shared" si="37"/>
        <v>0</v>
      </c>
      <c r="L530" s="89">
        <f t="shared" si="37"/>
        <v>2525045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122741</v>
      </c>
      <c r="G532" s="18">
        <v>48380</v>
      </c>
      <c r="H532" s="18">
        <v>0</v>
      </c>
      <c r="I532" s="18">
        <v>0</v>
      </c>
      <c r="J532" s="18">
        <v>0</v>
      </c>
      <c r="K532" s="18">
        <v>0</v>
      </c>
      <c r="L532" s="88">
        <f>SUM(F532:K532)</f>
        <v>171121</v>
      </c>
      <c r="M532" s="8"/>
      <c r="N532" s="265"/>
    </row>
    <row r="533" spans="1:14" s="3" customFormat="1" ht="12.2" customHeight="1" x14ac:dyDescent="0.15">
      <c r="A533" s="22" t="s">
        <v>634</v>
      </c>
      <c r="B533" s="105">
        <v>21</v>
      </c>
      <c r="C533" s="105">
        <v>10</v>
      </c>
      <c r="D533" s="2" t="s">
        <v>432</v>
      </c>
      <c r="E533" s="105"/>
      <c r="F533" s="18">
        <v>93064</v>
      </c>
      <c r="G533" s="18">
        <v>36682</v>
      </c>
      <c r="H533" s="18">
        <v>0</v>
      </c>
      <c r="I533" s="18">
        <v>0</v>
      </c>
      <c r="J533" s="18">
        <v>0</v>
      </c>
      <c r="K533" s="18">
        <v>0</v>
      </c>
      <c r="L533" s="88">
        <f>SUM(F533:K533)</f>
        <v>129746</v>
      </c>
      <c r="M533" s="8"/>
      <c r="N533" s="265"/>
    </row>
    <row r="534" spans="1:14" s="3" customFormat="1" ht="12.2" customHeight="1" thickBot="1" x14ac:dyDescent="0.2">
      <c r="A534" s="22" t="s">
        <v>635</v>
      </c>
      <c r="B534" s="105">
        <v>21</v>
      </c>
      <c r="C534" s="105">
        <v>11</v>
      </c>
      <c r="D534" s="2" t="s">
        <v>432</v>
      </c>
      <c r="E534" s="105"/>
      <c r="F534" s="18">
        <v>107294</v>
      </c>
      <c r="G534" s="18">
        <v>42291</v>
      </c>
      <c r="H534" s="18">
        <v>0</v>
      </c>
      <c r="I534" s="18">
        <v>0</v>
      </c>
      <c r="J534" s="18">
        <v>0</v>
      </c>
      <c r="K534" s="18">
        <v>0</v>
      </c>
      <c r="L534" s="88">
        <f>SUM(F534:K534)</f>
        <v>149585</v>
      </c>
      <c r="M534" s="8"/>
      <c r="N534" s="265"/>
    </row>
    <row r="535" spans="1:14" s="3" customFormat="1" ht="12.2" customHeight="1" thickTop="1" x14ac:dyDescent="0.15">
      <c r="A535" s="139" t="s">
        <v>67</v>
      </c>
      <c r="B535" s="107">
        <v>21</v>
      </c>
      <c r="C535" s="107">
        <v>12</v>
      </c>
      <c r="D535" s="158" t="s">
        <v>432</v>
      </c>
      <c r="E535" s="107"/>
      <c r="F535" s="89">
        <f>SUM(F532:F534)</f>
        <v>323099</v>
      </c>
      <c r="G535" s="89">
        <f t="shared" ref="G535:L535" si="38">SUM(G532:G534)</f>
        <v>127353</v>
      </c>
      <c r="H535" s="89">
        <f t="shared" si="38"/>
        <v>0</v>
      </c>
      <c r="I535" s="89">
        <f t="shared" si="38"/>
        <v>0</v>
      </c>
      <c r="J535" s="89">
        <f t="shared" si="38"/>
        <v>0</v>
      </c>
      <c r="K535" s="89">
        <f t="shared" si="38"/>
        <v>0</v>
      </c>
      <c r="L535" s="89">
        <f t="shared" si="38"/>
        <v>450452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239143</v>
      </c>
      <c r="I542" s="18">
        <v>0</v>
      </c>
      <c r="J542" s="18">
        <v>0</v>
      </c>
      <c r="K542" s="18">
        <v>0</v>
      </c>
      <c r="L542" s="88">
        <f>SUM(F542:K542)</f>
        <v>239143</v>
      </c>
      <c r="M542" s="8"/>
      <c r="N542" s="265"/>
    </row>
    <row r="543" spans="1:14" s="3" customFormat="1" ht="12.2" customHeight="1" x14ac:dyDescent="0.15">
      <c r="A543" s="22" t="s">
        <v>634</v>
      </c>
      <c r="B543" s="105">
        <v>21</v>
      </c>
      <c r="C543" s="105">
        <v>18</v>
      </c>
      <c r="D543" s="2" t="s">
        <v>432</v>
      </c>
      <c r="E543" s="105"/>
      <c r="F543" s="18">
        <v>0</v>
      </c>
      <c r="G543" s="18">
        <v>0</v>
      </c>
      <c r="H543" s="18">
        <v>181321</v>
      </c>
      <c r="I543" s="18">
        <v>0</v>
      </c>
      <c r="J543" s="18">
        <v>0</v>
      </c>
      <c r="K543" s="18">
        <v>0</v>
      </c>
      <c r="L543" s="88">
        <f>SUM(F543:K543)</f>
        <v>181321</v>
      </c>
      <c r="M543" s="8"/>
      <c r="N543" s="265"/>
    </row>
    <row r="544" spans="1:14" s="3" customFormat="1" ht="12.2" customHeight="1" thickBot="1" x14ac:dyDescent="0.2">
      <c r="A544" s="22" t="s">
        <v>635</v>
      </c>
      <c r="B544" s="105">
        <v>21</v>
      </c>
      <c r="C544" s="105">
        <v>19</v>
      </c>
      <c r="D544" s="2" t="s">
        <v>432</v>
      </c>
      <c r="E544" s="105"/>
      <c r="F544" s="18">
        <v>0</v>
      </c>
      <c r="G544" s="18">
        <v>0</v>
      </c>
      <c r="H544" s="18">
        <v>209045</v>
      </c>
      <c r="I544" s="18">
        <v>0</v>
      </c>
      <c r="J544" s="18">
        <v>0</v>
      </c>
      <c r="K544" s="18">
        <v>0</v>
      </c>
      <c r="L544" s="88">
        <f>SUM(F544:K544)</f>
        <v>209045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629509</v>
      </c>
      <c r="I545" s="192">
        <f t="shared" si="40"/>
        <v>0</v>
      </c>
      <c r="J545" s="192">
        <f t="shared" si="40"/>
        <v>0</v>
      </c>
      <c r="K545" s="192">
        <f t="shared" si="40"/>
        <v>0</v>
      </c>
      <c r="L545" s="192">
        <f t="shared" si="40"/>
        <v>629509</v>
      </c>
      <c r="M545" s="8"/>
      <c r="N545" s="265"/>
    </row>
    <row r="546" spans="1:14" s="3" customFormat="1" ht="12.2" customHeight="1" thickTop="1" x14ac:dyDescent="0.15">
      <c r="A546" s="98" t="s">
        <v>72</v>
      </c>
      <c r="B546" s="107">
        <v>21</v>
      </c>
      <c r="C546" s="107">
        <v>21</v>
      </c>
      <c r="D546" s="158" t="s">
        <v>432</v>
      </c>
      <c r="E546" s="107"/>
      <c r="F546" s="89">
        <f>F525+F530+F535+F540+F545</f>
        <v>6026490</v>
      </c>
      <c r="G546" s="89">
        <f t="shared" ref="G546:L546" si="41">G525+G530+G535+G540+G545</f>
        <v>3067854</v>
      </c>
      <c r="H546" s="89">
        <f t="shared" si="41"/>
        <v>2072205</v>
      </c>
      <c r="I546" s="89">
        <f t="shared" si="41"/>
        <v>18309</v>
      </c>
      <c r="J546" s="89">
        <f t="shared" si="41"/>
        <v>17934</v>
      </c>
      <c r="K546" s="89">
        <f t="shared" si="41"/>
        <v>0</v>
      </c>
      <c r="L546" s="89">
        <f t="shared" si="41"/>
        <v>11202792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3972834</v>
      </c>
      <c r="G550" s="87">
        <f>L527</f>
        <v>959232</v>
      </c>
      <c r="H550" s="87">
        <f>L532</f>
        <v>171121</v>
      </c>
      <c r="I550" s="87">
        <f>L537</f>
        <v>0</v>
      </c>
      <c r="J550" s="87">
        <f>L542</f>
        <v>239143</v>
      </c>
      <c r="K550" s="87">
        <f>SUM(F550:J550)</f>
        <v>5342330</v>
      </c>
      <c r="L550" s="24" t="s">
        <v>288</v>
      </c>
      <c r="M550" s="8"/>
      <c r="N550" s="265"/>
    </row>
    <row r="551" spans="1:14" s="3" customFormat="1" ht="12.2" customHeight="1" x14ac:dyDescent="0.15">
      <c r="A551" s="22" t="s">
        <v>634</v>
      </c>
      <c r="B551" s="75">
        <v>21</v>
      </c>
      <c r="C551" s="75">
        <v>23</v>
      </c>
      <c r="D551" s="2" t="s">
        <v>432</v>
      </c>
      <c r="E551" s="75"/>
      <c r="F551" s="87">
        <f>L523</f>
        <v>1369680</v>
      </c>
      <c r="G551" s="87">
        <f>L528</f>
        <v>727304</v>
      </c>
      <c r="H551" s="87">
        <f>L533</f>
        <v>129746</v>
      </c>
      <c r="I551" s="87">
        <f>L538</f>
        <v>0</v>
      </c>
      <c r="J551" s="87">
        <f>L543</f>
        <v>181321</v>
      </c>
      <c r="K551" s="87">
        <f>SUM(F551:J551)</f>
        <v>2408051</v>
      </c>
      <c r="L551" s="24" t="s">
        <v>288</v>
      </c>
      <c r="M551" s="8"/>
      <c r="N551" s="265"/>
    </row>
    <row r="552" spans="1:14" s="3" customFormat="1" ht="12.2" customHeight="1" thickBot="1" x14ac:dyDescent="0.2">
      <c r="A552" s="22" t="s">
        <v>635</v>
      </c>
      <c r="B552" s="75">
        <v>21</v>
      </c>
      <c r="C552" s="75">
        <v>24</v>
      </c>
      <c r="D552" s="2" t="s">
        <v>432</v>
      </c>
      <c r="E552" s="75"/>
      <c r="F552" s="87">
        <f>L524</f>
        <v>2255272</v>
      </c>
      <c r="G552" s="87">
        <f>L529</f>
        <v>838509</v>
      </c>
      <c r="H552" s="87">
        <f>L534</f>
        <v>149585</v>
      </c>
      <c r="I552" s="87">
        <f>L539</f>
        <v>0</v>
      </c>
      <c r="J552" s="87">
        <f>L544</f>
        <v>209045</v>
      </c>
      <c r="K552" s="87">
        <f>SUM(F552:J552)</f>
        <v>3452411</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7597786</v>
      </c>
      <c r="G553" s="89">
        <f t="shared" si="42"/>
        <v>2525045</v>
      </c>
      <c r="H553" s="89">
        <f t="shared" si="42"/>
        <v>450452</v>
      </c>
      <c r="I553" s="89">
        <f t="shared" si="42"/>
        <v>0</v>
      </c>
      <c r="J553" s="89">
        <f t="shared" si="42"/>
        <v>629509</v>
      </c>
      <c r="K553" s="89">
        <f t="shared" si="42"/>
        <v>11202792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23933</v>
      </c>
      <c r="G563" s="18">
        <v>12462</v>
      </c>
      <c r="H563" s="18">
        <v>461</v>
      </c>
      <c r="I563" s="18">
        <v>215</v>
      </c>
      <c r="J563" s="18">
        <v>0</v>
      </c>
      <c r="K563" s="18">
        <v>0</v>
      </c>
      <c r="L563" s="88">
        <f>SUM(F563:K563)</f>
        <v>37071</v>
      </c>
      <c r="M563" s="8"/>
      <c r="N563" s="265"/>
    </row>
    <row r="564" spans="1:14" s="3" customFormat="1" ht="12.2" customHeight="1" x14ac:dyDescent="0.15">
      <c r="A564" s="22" t="s">
        <v>634</v>
      </c>
      <c r="B564" s="105">
        <v>22</v>
      </c>
      <c r="C564" s="115">
        <v>6</v>
      </c>
      <c r="D564" s="2" t="s">
        <v>432</v>
      </c>
      <c r="E564" s="115"/>
      <c r="F564" s="18">
        <v>18146</v>
      </c>
      <c r="G564" s="18">
        <v>9449</v>
      </c>
      <c r="H564" s="18">
        <v>349</v>
      </c>
      <c r="I564" s="18">
        <v>163</v>
      </c>
      <c r="J564" s="18">
        <v>0</v>
      </c>
      <c r="K564" s="18">
        <v>0</v>
      </c>
      <c r="L564" s="88">
        <f>SUM(F564:K564)</f>
        <v>28107</v>
      </c>
      <c r="M564" s="8"/>
      <c r="N564" s="265"/>
    </row>
    <row r="565" spans="1:14" s="3" customFormat="1" ht="12.2" customHeight="1" thickBot="1" x14ac:dyDescent="0.2">
      <c r="A565" s="22" t="s">
        <v>635</v>
      </c>
      <c r="B565" s="105">
        <v>22</v>
      </c>
      <c r="C565" s="118">
        <v>7</v>
      </c>
      <c r="D565" s="2" t="s">
        <v>432</v>
      </c>
      <c r="E565" s="118"/>
      <c r="F565" s="18">
        <v>20921</v>
      </c>
      <c r="G565" s="18">
        <v>10893</v>
      </c>
      <c r="H565" s="18">
        <v>403</v>
      </c>
      <c r="I565" s="18">
        <v>188</v>
      </c>
      <c r="J565" s="18">
        <v>0</v>
      </c>
      <c r="K565" s="18">
        <v>0</v>
      </c>
      <c r="L565" s="88">
        <f>SUM(F565:K565)</f>
        <v>32405</v>
      </c>
      <c r="M565" s="8"/>
      <c r="N565" s="265"/>
    </row>
    <row r="566" spans="1:14" s="3" customFormat="1" ht="12.2" customHeight="1" thickTop="1" x14ac:dyDescent="0.15">
      <c r="A566" s="139" t="s">
        <v>65</v>
      </c>
      <c r="B566" s="107">
        <v>22</v>
      </c>
      <c r="C566" s="107">
        <v>8</v>
      </c>
      <c r="D566" s="195" t="s">
        <v>432</v>
      </c>
      <c r="E566" s="107"/>
      <c r="F566" s="89">
        <f t="shared" ref="F566:L566" si="44">SUM(F563:F565)</f>
        <v>63000</v>
      </c>
      <c r="G566" s="89">
        <f t="shared" si="44"/>
        <v>32804</v>
      </c>
      <c r="H566" s="89">
        <f t="shared" si="44"/>
        <v>1213</v>
      </c>
      <c r="I566" s="89">
        <f t="shared" si="44"/>
        <v>566</v>
      </c>
      <c r="J566" s="89">
        <f t="shared" si="44"/>
        <v>0</v>
      </c>
      <c r="K566" s="89">
        <f t="shared" si="44"/>
        <v>0</v>
      </c>
      <c r="L566" s="89">
        <f t="shared" si="44"/>
        <v>97583</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63000</v>
      </c>
      <c r="G572" s="89">
        <f t="shared" ref="G572:L572" si="46">G561+G566+G571</f>
        <v>32804</v>
      </c>
      <c r="H572" s="89">
        <f t="shared" si="46"/>
        <v>1213</v>
      </c>
      <c r="I572" s="89">
        <f t="shared" si="46"/>
        <v>566</v>
      </c>
      <c r="J572" s="89">
        <f t="shared" si="46"/>
        <v>0</v>
      </c>
      <c r="K572" s="89">
        <f t="shared" si="46"/>
        <v>0</v>
      </c>
      <c r="L572" s="89">
        <f t="shared" si="46"/>
        <v>97583</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13698</v>
      </c>
      <c r="I578" s="87">
        <f t="shared" si="47"/>
        <v>13698</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51302</v>
      </c>
      <c r="G583" s="18">
        <v>119082</v>
      </c>
      <c r="H583" s="18">
        <v>245080</v>
      </c>
      <c r="I583" s="87">
        <f t="shared" si="47"/>
        <v>415464</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18340</v>
      </c>
      <c r="I585" s="87">
        <f t="shared" si="47"/>
        <v>18340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491282</v>
      </c>
      <c r="I592" s="18">
        <v>372496</v>
      </c>
      <c r="J592" s="18">
        <v>429451</v>
      </c>
      <c r="K592" s="104">
        <f t="shared" ref="K592:K598" si="48">SUM(H592:J592)</f>
        <v>1293229</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239142</v>
      </c>
      <c r="I593" s="18">
        <v>181321</v>
      </c>
      <c r="J593" s="18">
        <v>209045</v>
      </c>
      <c r="K593" s="104">
        <f t="shared" si="48"/>
        <v>629508</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53534</v>
      </c>
      <c r="K594" s="104">
        <f t="shared" si="48"/>
        <v>53534</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16337</v>
      </c>
      <c r="J595" s="18">
        <v>60703</v>
      </c>
      <c r="K595" s="104">
        <f t="shared" si="48"/>
        <v>77040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4788</v>
      </c>
      <c r="I596" s="18">
        <v>23623</v>
      </c>
      <c r="J596" s="18">
        <v>3538</v>
      </c>
      <c r="K596" s="104">
        <f t="shared" si="48"/>
        <v>31949</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735212</v>
      </c>
      <c r="I599" s="108">
        <f>SUM(I592:I598)</f>
        <v>593777</v>
      </c>
      <c r="J599" s="108">
        <f>SUM(J592:J598)</f>
        <v>756271</v>
      </c>
      <c r="K599" s="108">
        <f>SUM(K592:K598)</f>
        <v>2085260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191815</v>
      </c>
      <c r="I605" s="18">
        <v>136835</v>
      </c>
      <c r="J605" s="18">
        <v>307530</v>
      </c>
      <c r="K605" s="104">
        <f>SUM(H605:J605)</f>
        <v>636180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191815</v>
      </c>
      <c r="I606" s="108">
        <f>SUM(I603:I605)</f>
        <v>136835</v>
      </c>
      <c r="J606" s="108">
        <f>SUM(J603:J605)</f>
        <v>307530</v>
      </c>
      <c r="K606" s="108">
        <f>SUM(K603:K605)</f>
        <v>636180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111724</v>
      </c>
      <c r="G612" s="18">
        <v>29093</v>
      </c>
      <c r="H612" s="18">
        <v>24012</v>
      </c>
      <c r="I612" s="18">
        <v>147</v>
      </c>
      <c r="J612" s="18">
        <v>0</v>
      </c>
      <c r="K612" s="18">
        <v>0</v>
      </c>
      <c r="L612" s="88">
        <f>SUM(F612:K612)</f>
        <v>164976</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111724</v>
      </c>
      <c r="G615" s="108">
        <f t="shared" si="49"/>
        <v>29093</v>
      </c>
      <c r="H615" s="108">
        <f t="shared" si="49"/>
        <v>24012</v>
      </c>
      <c r="I615" s="108">
        <f t="shared" si="49"/>
        <v>147</v>
      </c>
      <c r="J615" s="108">
        <f t="shared" si="49"/>
        <v>0</v>
      </c>
      <c r="K615" s="108">
        <f t="shared" si="49"/>
        <v>0</v>
      </c>
      <c r="L615" s="89">
        <f t="shared" si="49"/>
        <v>164976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5613584</v>
      </c>
      <c r="H618" s="109">
        <f>SUM(F52)</f>
        <v>5613584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425617</v>
      </c>
      <c r="H619" s="109">
        <f>SUM(G52)</f>
        <v>425617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606067</v>
      </c>
      <c r="H620" s="109">
        <f>SUM(H52)</f>
        <v>606067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4691620</v>
      </c>
      <c r="H622" s="109">
        <f>SUM(J52)</f>
        <v>4691620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5151158</v>
      </c>
      <c r="H623" s="109">
        <f>F477</f>
        <v>5151158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60556</v>
      </c>
      <c r="H624" s="109">
        <f>G477</f>
        <v>60556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4691620</v>
      </c>
      <c r="H627" s="109">
        <f>J477</f>
        <v>4691620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47967377</v>
      </c>
      <c r="H628" s="104">
        <f>SUM(F469)</f>
        <v>47967377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1435691</v>
      </c>
      <c r="H629" s="104">
        <f>SUM(G469)</f>
        <v>1435691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2624971</v>
      </c>
      <c r="H630" s="104">
        <f>SUM(H469)</f>
        <v>2624971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707611</v>
      </c>
      <c r="H632" s="104">
        <f>SUM(J469)</f>
        <v>707611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48949516</v>
      </c>
      <c r="H633" s="104">
        <f>SUM(F473)</f>
        <v>48949516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2624971</v>
      </c>
      <c r="H634" s="104">
        <f>SUM(H473)</f>
        <v>2624971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62026</v>
      </c>
      <c r="H635" s="104">
        <f>I370</f>
        <v>62026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1375135</v>
      </c>
      <c r="H636" s="104">
        <f>SUM(G473)</f>
        <v>1375135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707611</v>
      </c>
      <c r="H638" s="164">
        <f>SUM(J469)</f>
        <v>707611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4691620</v>
      </c>
      <c r="H640" s="104">
        <f>SUM(F462)</f>
        <v>4691620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4691620</v>
      </c>
      <c r="H643" s="104">
        <f>SUM(I462)</f>
        <v>4691620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7611</v>
      </c>
      <c r="H645" s="104">
        <f>H409</f>
        <v>7611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700000</v>
      </c>
      <c r="H646" s="104">
        <f>G409</f>
        <v>700000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707611</v>
      </c>
      <c r="H647" s="104">
        <f>L409</f>
        <v>707611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2085260</v>
      </c>
      <c r="H648" s="104">
        <f>L209+L227+L245</f>
        <v>2085260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636180</v>
      </c>
      <c r="H649" s="104">
        <f>(J258+J339)-(J256+J337)</f>
        <v>636180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735212</v>
      </c>
      <c r="H650" s="104">
        <f>H599</f>
        <v>735212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593777</v>
      </c>
      <c r="H651" s="104">
        <f>I599</f>
        <v>593777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756271</v>
      </c>
      <c r="H652" s="104">
        <f>J599</f>
        <v>756271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700000</v>
      </c>
      <c r="H656" s="104">
        <f>K267+K348</f>
        <v>700000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20712917</v>
      </c>
      <c r="G661" s="19">
        <f>(L230+L310+L360)</f>
        <v>14384706</v>
      </c>
      <c r="H661" s="19">
        <f>(L248+L329+L361)</f>
        <v>16556006</v>
      </c>
      <c r="I661" s="19">
        <f>SUM(F661:H661)</f>
        <v>51653629</v>
      </c>
      <c r="J661" s="13"/>
      <c r="K661" s="13"/>
      <c r="L661" s="13"/>
      <c r="M661" s="9"/>
    </row>
    <row r="662" spans="1:13" s="3" customFormat="1" ht="12.2" customHeight="1" x14ac:dyDescent="0.2">
      <c r="A662" s="1" t="s">
        <v>127</v>
      </c>
      <c r="F662" s="19">
        <f>(L359/IF(SUM(L359:L361)=0,1,SUM(L359:L361))*(SUM(G97:G110)))</f>
        <v>21505.166863617025</v>
      </c>
      <c r="G662" s="19">
        <f>(L360/IF(SUM(L359:L361)=0,1,SUM(L359:L361))*(SUM(G97:G110)))</f>
        <v>16132.545529711628</v>
      </c>
      <c r="H662" s="19">
        <f>(L361/IF(SUM(L359:L361)=0,1,SUM(L359:L361))*(SUM(G97:G110)))</f>
        <v>18599.287606671343</v>
      </c>
      <c r="I662" s="19">
        <f>SUM(F662:H662)</f>
        <v>56236.999999999993</v>
      </c>
      <c r="J662"/>
      <c r="K662" s="13"/>
      <c r="L662" s="13"/>
      <c r="M662" s="8"/>
    </row>
    <row r="663" spans="1:13" s="3" customFormat="1" ht="12.2" customHeight="1" x14ac:dyDescent="0.2">
      <c r="A663" s="1" t="s">
        <v>128</v>
      </c>
      <c r="F663" s="19">
        <f>(L209+L288)-(J209+J288)</f>
        <v>740765</v>
      </c>
      <c r="G663" s="19">
        <f>(L227+L307)-(J227+J307)</f>
        <v>593777</v>
      </c>
      <c r="H663" s="19">
        <f>(L245+L326)-(J245+J326)</f>
        <v>756271</v>
      </c>
      <c r="I663" s="19">
        <f>SUM(F663:H663)</f>
        <v>2090813</v>
      </c>
      <c r="J663"/>
      <c r="K663" s="13"/>
      <c r="L663" s="13"/>
      <c r="M663" s="9"/>
    </row>
    <row r="664" spans="1:13" s="3" customFormat="1" ht="12.2" customHeight="1" x14ac:dyDescent="0.15">
      <c r="A664" s="197" t="s">
        <v>129</v>
      </c>
      <c r="B664" s="169"/>
      <c r="C664" s="169"/>
      <c r="D664" s="169"/>
      <c r="E664" s="169"/>
      <c r="F664" s="198">
        <f>SUM(F576:F588)+SUM(H603:H605)+SUM(L612)</f>
        <v>408093</v>
      </c>
      <c r="G664" s="198">
        <f>SUM(G576:G588)+SUM(I603:I605)+L613</f>
        <v>255917</v>
      </c>
      <c r="H664" s="198">
        <f>SUM(H576:H588)+SUM(J603:J605)+L614</f>
        <v>584648</v>
      </c>
      <c r="I664" s="19">
        <f>SUM(F664:H664)</f>
        <v>1248658</v>
      </c>
      <c r="J664" s="13"/>
      <c r="K664" s="13"/>
      <c r="L664" s="13"/>
      <c r="M664" s="9"/>
    </row>
    <row r="665" spans="1:13" s="3" customFormat="1" ht="12.2" customHeight="1" x14ac:dyDescent="0.15">
      <c r="A665" s="1" t="s">
        <v>130</v>
      </c>
      <c r="F665" s="19">
        <f>F661-SUM(F662:F664)</f>
        <v>19542553.833136383</v>
      </c>
      <c r="G665" s="19">
        <f>G661-SUM(G662:G664)</f>
        <v>13518879.454470288</v>
      </c>
      <c r="H665" s="19">
        <f>H661-SUM(H662:H664)</f>
        <v>15196487.712393329</v>
      </c>
      <c r="I665" s="19">
        <f>I661-SUM(I662:I664)</f>
        <v>48257921</v>
      </c>
      <c r="J665" s="13"/>
      <c r="K665" s="13"/>
      <c r="L665" s="13"/>
      <c r="M665" s="8"/>
    </row>
    <row r="666" spans="1:13" s="3" customFormat="1" ht="12.2" customHeight="1" x14ac:dyDescent="0.2">
      <c r="A666" s="1" t="s">
        <v>131</v>
      </c>
      <c r="F666" s="245">
        <v>763.73</v>
      </c>
      <c r="G666" s="246">
        <v>578.84</v>
      </c>
      <c r="H666" s="246">
        <v>667.52</v>
      </c>
      <c r="I666" s="19">
        <f>SUM(F666:H666)</f>
        <v>2010.0900000000001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25588.3</v>
      </c>
      <c r="G668" s="19">
        <f>ROUND(G665/G666,2)</f>
        <v>23355.119999999999</v>
      </c>
      <c r="H668" s="19">
        <f>ROUND(H665/H666,2)</f>
        <v>22765.59</v>
      </c>
      <c r="I668" s="19">
        <f>ROUND(I665/I666,2)</f>
        <v>24007.84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-1.84</v>
      </c>
      <c r="I671" s="19">
        <f>SUM(F671:H671)</f>
        <v>-1.84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25588.3</v>
      </c>
      <c r="G673" s="19">
        <f>ROUND((G665+G670)/(G666+G671),2)</f>
        <v>23355.119999999999</v>
      </c>
      <c r="H673" s="19">
        <f>ROUND((H665+H670)/(H666+H671),2)</f>
        <v>22828.52</v>
      </c>
      <c r="I673" s="19">
        <f>ROUND((I665+I670)/(I666+I671),2)</f>
        <v>24029.84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4" sqref="E2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117976</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99035</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18941</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Contoocook Valley</v>
      </c>
      <c r="C5" s="375"/>
      <c r="D5" s="375"/>
      <c r="E5" s="375"/>
      <c r="F5" s="375"/>
    </row>
    <row r="8" spans="1:9" ht="18" x14ac:dyDescent="0.25">
      <c r="A8" s="312" t="s">
        <v>1568</v>
      </c>
      <c r="F8" s="319" t="s">
        <v>1586</v>
      </c>
    </row>
    <row r="9" spans="1:9" ht="15" x14ac:dyDescent="0.2">
      <c r="A9" s="310" t="s">
        <v>1569</v>
      </c>
      <c r="B9" s="313">
        <f>'DOE25'!G97</f>
        <v>56237</v>
      </c>
      <c r="F9" s="310" t="s">
        <v>1582</v>
      </c>
    </row>
    <row r="10" spans="1:9" ht="15" x14ac:dyDescent="0.2">
      <c r="A10" s="310" t="s">
        <v>1570</v>
      </c>
      <c r="B10" s="313">
        <f>'DOE25'!G112-'DOE25'!G97</f>
        <v>57</v>
      </c>
      <c r="F10" s="310" t="s">
        <v>1583</v>
      </c>
    </row>
    <row r="11" spans="1:9" ht="15" x14ac:dyDescent="0.2">
      <c r="A11" s="310" t="s">
        <v>1571</v>
      </c>
      <c r="B11" s="313">
        <f>'DOE25'!G140</f>
        <v>14152</v>
      </c>
      <c r="F11" s="310" t="s">
        <v>1584</v>
      </c>
    </row>
    <row r="12" spans="1:9" ht="15" x14ac:dyDescent="0.2">
      <c r="A12" s="310" t="s">
        <v>1572</v>
      </c>
      <c r="B12" s="313">
        <f>'DOE25'!G170</f>
        <v>1365245</v>
      </c>
      <c r="F12" s="310" t="s">
        <v>1585</v>
      </c>
    </row>
    <row r="13" spans="1:9" ht="15" x14ac:dyDescent="0.2">
      <c r="A13" s="310" t="s">
        <v>1573</v>
      </c>
      <c r="B13" s="313">
        <f>'DOE25'!G193-'DOE25'!G180</f>
        <v>0</v>
      </c>
      <c r="F13" s="310" t="s">
        <v>1595</v>
      </c>
    </row>
    <row r="14" spans="1:9" ht="18" x14ac:dyDescent="0.25">
      <c r="A14" s="312" t="s">
        <v>732</v>
      </c>
      <c r="B14" s="314">
        <f>SUM(B9:B13)</f>
        <v>1435691</v>
      </c>
    </row>
    <row r="16" spans="1:9" ht="18" x14ac:dyDescent="0.25">
      <c r="A16" s="312" t="s">
        <v>786</v>
      </c>
      <c r="F16" s="319" t="s">
        <v>1587</v>
      </c>
    </row>
    <row r="17" spans="1:6" ht="15" x14ac:dyDescent="0.2">
      <c r="A17" s="310" t="s">
        <v>1574</v>
      </c>
      <c r="B17" s="313">
        <f>'DOE25'!L363-'DOE25'!L362</f>
        <v>1375135</v>
      </c>
      <c r="F17" s="310" t="s">
        <v>1588</v>
      </c>
    </row>
    <row r="18" spans="1:6" ht="15" x14ac:dyDescent="0.2">
      <c r="A18" s="310" t="s">
        <v>1575</v>
      </c>
      <c r="B18" s="323"/>
      <c r="F18" s="319" t="s">
        <v>1612</v>
      </c>
    </row>
    <row r="19" spans="1:6" ht="18" x14ac:dyDescent="0.25">
      <c r="A19" s="312" t="s">
        <v>725</v>
      </c>
      <c r="B19" s="314">
        <f>SUM(B17:B18)</f>
        <v>1375135</v>
      </c>
    </row>
    <row r="21" spans="1:6" ht="18.75" thickBot="1" x14ac:dyDescent="0.3">
      <c r="A21" s="312" t="s">
        <v>1576</v>
      </c>
    </row>
    <row r="22" spans="1:6" ht="18.75" thickTop="1" x14ac:dyDescent="0.25">
      <c r="A22" s="312" t="s">
        <v>1577</v>
      </c>
      <c r="B22" s="318">
        <f>B14-B19</f>
        <v>60556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60556</v>
      </c>
      <c r="F33" s="310" t="s">
        <v>1593</v>
      </c>
    </row>
    <row r="36" spans="1:6" ht="15" x14ac:dyDescent="0.2">
      <c r="A36" s="310" t="s">
        <v>1579</v>
      </c>
      <c r="B36" s="324">
        <v>56450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3" sqref="B13"/>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Contoocook Valley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11697315</v>
      </c>
      <c r="C9" s="228">
        <f>'DOE25'!G198+'DOE25'!G216+'DOE25'!G234+'DOE25'!G277+'DOE25'!G296+'DOE25'!G315</f>
        <v>5559554</v>
      </c>
    </row>
    <row r="10" spans="1:3" x14ac:dyDescent="0.2">
      <c r="A10" t="s">
        <v>775</v>
      </c>
      <c r="B10" s="239">
        <v>10468446</v>
      </c>
      <c r="C10" s="239">
        <v>4988899</v>
      </c>
    </row>
    <row r="11" spans="1:3" x14ac:dyDescent="0.2">
      <c r="A11" t="s">
        <v>776</v>
      </c>
      <c r="B11" s="239">
        <v>238961</v>
      </c>
      <c r="C11" s="239">
        <v>113881</v>
      </c>
    </row>
    <row r="12" spans="1:3" x14ac:dyDescent="0.2">
      <c r="A12" t="s">
        <v>777</v>
      </c>
      <c r="B12" s="239">
        <v>989908</v>
      </c>
      <c r="C12" s="239">
        <v>456774</v>
      </c>
    </row>
    <row r="13" spans="1:3" x14ac:dyDescent="0.2">
      <c r="A13" t="str">
        <f>IF(B9=B13,IF(C9=C13,"Check Total OK","Check Total Error"),"Check Total Error")</f>
        <v>Check Total OK</v>
      </c>
      <c r="B13" s="230">
        <f>SUM(B10:B12)</f>
        <v>11697315</v>
      </c>
      <c r="C13" s="230">
        <f>SUM(C10:C12)</f>
        <v>5559554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6688232</v>
      </c>
      <c r="C18" s="228">
        <f>'DOE25'!G199+'DOE25'!G217+'DOE25'!G235+'DOE25'!G278+'DOE25'!G297+'DOE25'!G316</f>
        <v>3419176</v>
      </c>
    </row>
    <row r="19" spans="1:3" x14ac:dyDescent="0.2">
      <c r="A19" t="s">
        <v>775</v>
      </c>
      <c r="B19" s="239">
        <v>3832807</v>
      </c>
      <c r="C19" s="239">
        <v>1959416</v>
      </c>
    </row>
    <row r="20" spans="1:3" x14ac:dyDescent="0.2">
      <c r="A20" t="s">
        <v>776</v>
      </c>
      <c r="B20" s="239">
        <v>2385395</v>
      </c>
      <c r="C20" s="239">
        <v>1219465</v>
      </c>
    </row>
    <row r="21" spans="1:3" x14ac:dyDescent="0.2">
      <c r="A21" t="s">
        <v>777</v>
      </c>
      <c r="B21" s="239">
        <v>470030</v>
      </c>
      <c r="C21" s="239">
        <v>240295</v>
      </c>
    </row>
    <row r="22" spans="1:3" x14ac:dyDescent="0.2">
      <c r="A22" t="str">
        <f>IF(B18=B22,IF(C18=C22,"Check Total OK","Check Total Error"),"Check Total Error")</f>
        <v>Check Total OK</v>
      </c>
      <c r="B22" s="230">
        <f>SUM(B19:B21)</f>
        <v>6688232</v>
      </c>
      <c r="C22" s="230">
        <f>SUM(C19:C21)</f>
        <v>3419176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721628</v>
      </c>
      <c r="C27" s="233">
        <f>'DOE25'!G200+'DOE25'!G218+'DOE25'!G236+'DOE25'!G279+'DOE25'!G298+'DOE25'!G317</f>
        <v>335243</v>
      </c>
    </row>
    <row r="28" spans="1:3" x14ac:dyDescent="0.2">
      <c r="A28" t="s">
        <v>775</v>
      </c>
      <c r="B28" s="239">
        <v>721628</v>
      </c>
      <c r="C28" s="239">
        <v>335243</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721628</v>
      </c>
      <c r="C31" s="230">
        <f>SUM(C28:C30)</f>
        <v>335243</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506864</v>
      </c>
      <c r="C36" s="234">
        <f>'DOE25'!G201+'DOE25'!G219+'DOE25'!G237+'DOE25'!G280+'DOE25'!G299+'DOE25'!G318</f>
        <v>135794</v>
      </c>
    </row>
    <row r="37" spans="1:3" x14ac:dyDescent="0.2">
      <c r="A37" t="s">
        <v>775</v>
      </c>
      <c r="B37" s="239">
        <v>0</v>
      </c>
      <c r="C37" s="239">
        <v>0</v>
      </c>
    </row>
    <row r="38" spans="1:3" x14ac:dyDescent="0.2">
      <c r="A38" t="s">
        <v>776</v>
      </c>
      <c r="B38" s="239">
        <v>0</v>
      </c>
      <c r="C38" s="239">
        <v>0</v>
      </c>
    </row>
    <row r="39" spans="1:3" x14ac:dyDescent="0.2">
      <c r="A39" t="s">
        <v>777</v>
      </c>
      <c r="B39" s="239">
        <v>506864</v>
      </c>
      <c r="C39" s="239">
        <v>135794</v>
      </c>
    </row>
    <row r="40" spans="1:3" x14ac:dyDescent="0.2">
      <c r="A40" t="str">
        <f>IF(B36=B40,IF(C36=C40,"Check Total OK","Check Total Error"),"Check Total Error")</f>
        <v>Check Total OK</v>
      </c>
      <c r="B40" s="230">
        <f>SUM(B37:B39)</f>
        <v>506864</v>
      </c>
      <c r="C40" s="230">
        <f>SUM(C37:C39)</f>
        <v>135794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Contoocook Valley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30419665</v>
      </c>
      <c r="D5" s="20">
        <f>SUM('DOE25'!L198:L201)+SUM('DOE25'!L216:L219)+SUM('DOE25'!L234:L237)-F5-G5-H5</f>
        <v>30032315</v>
      </c>
      <c r="E5" s="242"/>
      <c r="F5" s="243"/>
      <c r="G5" s="53">
        <f>SUM('DOE25'!J198:J201)+SUM('DOE25'!J216:J219)+SUM('DOE25'!J234:J237)</f>
        <v>342674</v>
      </c>
      <c r="H5" s="53">
        <f>SUM('DOE25'!K198:K201)+SUM('DOE25'!K216:K219)+SUM('DOE25'!K234:K237)</f>
        <v>44676</v>
      </c>
      <c r="I5" s="255"/>
    </row>
    <row r="6" spans="1:9" x14ac:dyDescent="0.2">
      <c r="A6" s="32">
        <v>2100</v>
      </c>
      <c r="B6" t="s">
        <v>796</v>
      </c>
      <c r="C6" s="274">
        <f t="shared" si="0"/>
        <v>2757864</v>
      </c>
      <c r="D6" s="20">
        <f>'DOE25'!L203+'DOE25'!L221+'DOE25'!L239-F6-G6-H6</f>
        <v>2736571</v>
      </c>
      <c r="E6" s="242"/>
      <c r="F6" s="243"/>
      <c r="G6" s="53">
        <f>'DOE25'!J203+'DOE25'!J221+'DOE25'!J239</f>
        <v>1341</v>
      </c>
      <c r="H6" s="53">
        <f>'DOE25'!K203+'DOE25'!K221+'DOE25'!K239</f>
        <v>19952</v>
      </c>
      <c r="I6" s="255"/>
    </row>
    <row r="7" spans="1:9" x14ac:dyDescent="0.2">
      <c r="A7" s="32">
        <v>2200</v>
      </c>
      <c r="B7" t="s">
        <v>821</v>
      </c>
      <c r="C7" s="274">
        <f t="shared" si="0"/>
        <v>1188524</v>
      </c>
      <c r="D7" s="20">
        <f>'DOE25'!L204+'DOE25'!L222+'DOE25'!L240-F7-G7-H7</f>
        <v>1175266</v>
      </c>
      <c r="E7" s="242"/>
      <c r="F7" s="243"/>
      <c r="G7" s="53">
        <f>'DOE25'!J204+'DOE25'!J222+'DOE25'!J240</f>
        <v>12275</v>
      </c>
      <c r="H7" s="53">
        <f>'DOE25'!K204+'DOE25'!K222+'DOE25'!K240</f>
        <v>983</v>
      </c>
      <c r="I7" s="255"/>
    </row>
    <row r="8" spans="1:9" x14ac:dyDescent="0.2">
      <c r="A8" s="32">
        <v>2300</v>
      </c>
      <c r="B8" t="s">
        <v>797</v>
      </c>
      <c r="C8" s="274">
        <f t="shared" si="0"/>
        <v>3284081</v>
      </c>
      <c r="D8" s="242"/>
      <c r="E8" s="20">
        <f>'DOE25'!L205+'DOE25'!L223+'DOE25'!L241-F8-G8-H8-D9-D11</f>
        <v>3262038</v>
      </c>
      <c r="F8" s="243"/>
      <c r="G8" s="53">
        <f>'DOE25'!J205+'DOE25'!J223+'DOE25'!J241</f>
        <v>0</v>
      </c>
      <c r="H8" s="53">
        <f>'DOE25'!K205+'DOE25'!K223+'DOE25'!K241</f>
        <v>22043</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3703601</v>
      </c>
      <c r="D12" s="20">
        <f>'DOE25'!L206+'DOE25'!L224+'DOE25'!L242-F12-G12-H12</f>
        <v>3612045</v>
      </c>
      <c r="E12" s="242"/>
      <c r="F12" s="243"/>
      <c r="G12" s="53">
        <f>'DOE25'!J206+'DOE25'!J224+'DOE25'!J242</f>
        <v>0</v>
      </c>
      <c r="H12" s="53">
        <f>'DOE25'!K206+'DOE25'!K224+'DOE25'!K242</f>
        <v>91556</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4210153</v>
      </c>
      <c r="D14" s="20">
        <f>'DOE25'!L208+'DOE25'!L226+'DOE25'!L244-F14-G14-H14</f>
        <v>4077772</v>
      </c>
      <c r="E14" s="242"/>
      <c r="F14" s="243"/>
      <c r="G14" s="53">
        <f>'DOE25'!J208+'DOE25'!J226+'DOE25'!J244</f>
        <v>132381</v>
      </c>
      <c r="H14" s="53">
        <f>'DOE25'!K208+'DOE25'!K226+'DOE25'!K244</f>
        <v>0</v>
      </c>
      <c r="I14" s="255"/>
    </row>
    <row r="15" spans="1:9" x14ac:dyDescent="0.2">
      <c r="A15" s="32">
        <v>2700</v>
      </c>
      <c r="B15" t="s">
        <v>799</v>
      </c>
      <c r="C15" s="274">
        <f t="shared" si="0"/>
        <v>2085260</v>
      </c>
      <c r="D15" s="20">
        <f>'DOE25'!L209+'DOE25'!L227+'DOE25'!L245-F15-G15-H15</f>
        <v>2085260</v>
      </c>
      <c r="E15" s="242"/>
      <c r="F15" s="243"/>
      <c r="G15" s="53">
        <f>'DOE25'!J209+'DOE25'!J227+'DOE25'!J245</f>
        <v>0</v>
      </c>
      <c r="H15" s="53">
        <f>'DOE25'!K209+'DOE25'!K227+'DOE25'!K245</f>
        <v>0</v>
      </c>
      <c r="I15" s="255"/>
    </row>
    <row r="16" spans="1:9" x14ac:dyDescent="0.2">
      <c r="A16" s="32">
        <v>2800</v>
      </c>
      <c r="B16" t="s">
        <v>800</v>
      </c>
      <c r="C16" s="274">
        <f t="shared" si="0"/>
        <v>4375</v>
      </c>
      <c r="D16" s="242"/>
      <c r="E16" s="20">
        <f>'DOE25'!L210+'DOE25'!L228+'DOE25'!L246-F16-G16-H16</f>
        <v>4375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595993</v>
      </c>
      <c r="D25" s="242"/>
      <c r="E25" s="242"/>
      <c r="F25" s="254"/>
      <c r="G25" s="252"/>
      <c r="H25" s="252"/>
      <c r="I25" s="253">
        <f>'DOE25'!L261+'DOE25'!L262+'DOE25'!L342+'DOE25'!L343</f>
        <v>595993</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1318685</v>
      </c>
      <c r="D29" s="282">
        <f>'DOE25'!L359+'DOE25'!L360+'DOE25'!L361-'DOE25'!I368-F29-G29-H29</f>
        <v>1318685</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2624971</v>
      </c>
      <c r="D31" s="20">
        <f>'DOE25'!L291+'DOE25'!L310+'DOE25'!L329+'DOE25'!L334+'DOE25'!L335+'DOE25'!L336-F31-G31-H31</f>
        <v>2462153</v>
      </c>
      <c r="E31" s="242"/>
      <c r="F31" s="243"/>
      <c r="G31" s="53">
        <f>'DOE25'!J291+'DOE25'!J310+'DOE25'!J329+'DOE25'!J334+'DOE25'!J335+'DOE25'!J336</f>
        <v>147509</v>
      </c>
      <c r="H31" s="53">
        <f>'DOE25'!K291+'DOE25'!K310+'DOE25'!K329+'DOE25'!K334+'DOE25'!K335+'DOE25'!K336</f>
        <v>15309</v>
      </c>
      <c r="I31" s="255"/>
    </row>
    <row r="32" spans="1:9" ht="12" thickBot="1" x14ac:dyDescent="0.25">
      <c r="C32" s="275"/>
      <c r="G32" s="250"/>
      <c r="H32" s="250"/>
      <c r="I32" s="257"/>
    </row>
    <row r="33" spans="1:9" ht="12" thickTop="1" x14ac:dyDescent="0.2">
      <c r="B33" t="s">
        <v>809</v>
      </c>
      <c r="D33" s="244">
        <f t="shared" ref="D33:I33" si="1">SUM(D5:D31)</f>
        <v>47500067</v>
      </c>
      <c r="E33" s="244">
        <f t="shared" si="1"/>
        <v>3266413</v>
      </c>
      <c r="F33" s="244">
        <f t="shared" si="1"/>
        <v>0</v>
      </c>
      <c r="G33" s="244">
        <f t="shared" si="1"/>
        <v>636180</v>
      </c>
      <c r="H33" s="244">
        <f t="shared" si="1"/>
        <v>194519</v>
      </c>
      <c r="I33" s="244">
        <f t="shared" si="1"/>
        <v>595993</v>
      </c>
    </row>
    <row r="35" spans="1:9" ht="12" thickBot="1" x14ac:dyDescent="0.25">
      <c r="B35" s="250" t="s">
        <v>831</v>
      </c>
      <c r="D35" s="251">
        <f>E33</f>
        <v>3266413</v>
      </c>
      <c r="E35" s="247"/>
      <c r="F35" s="328" t="s">
        <v>1617</v>
      </c>
      <c r="G35" s="329"/>
      <c r="H35" s="329"/>
      <c r="I35" s="329"/>
    </row>
    <row r="36" spans="1:9" ht="12" thickTop="1" x14ac:dyDescent="0.2">
      <c r="B36" t="s">
        <v>810</v>
      </c>
      <c r="D36" s="20">
        <f>D33</f>
        <v>47500067</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Contoocook Valley</v>
      </c>
      <c r="B2" s="126">
        <f>'DOE25'!B2</f>
        <v>112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20187062</v>
      </c>
      <c r="G4" s="299">
        <f>'DOE25'!L212+'DOE25'!L291</f>
        <v>20187062</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Antrim Elementary School</v>
      </c>
      <c r="B6" s="300">
        <f>IFERROR(VLOOKUP(A6,'School Tables'!$C$3:$D$365,2,FALSE),"")</f>
        <v>22215</v>
      </c>
      <c r="C6" s="293" t="str">
        <f>IFERROR(INDEX('School Tables'!$B$3:$B$365,MATCH('School Level Expenditures'!B6,'School Tables'!$D$3:$D$365,0)),"")</f>
        <v>Contoocook Valley</v>
      </c>
      <c r="D6" s="290">
        <v>3065541</v>
      </c>
      <c r="E6" s="290">
        <v>356492</v>
      </c>
      <c r="F6" s="303">
        <f t="shared" ref="F6:F20" si="0">D6+E6</f>
        <v>3422033</v>
      </c>
      <c r="G6" s="293"/>
      <c r="H6" s="293"/>
      <c r="I6" s="384"/>
      <c r="N6"/>
    </row>
    <row r="7" spans="1:18" x14ac:dyDescent="0.2">
      <c r="A7" s="126" t="str" cm="1">
        <f t="array" ref="A7">IFERROR(INDEX('School Tables'!$A$4:$G$325,'School Tables'!$J5,3),"")</f>
        <v>Dublin Consolidated School</v>
      </c>
      <c r="B7" s="300">
        <f>IFERROR(VLOOKUP(A7,'School Tables'!$C$3:$D$365,2,FALSE),"")</f>
        <v>22230</v>
      </c>
      <c r="C7" s="293" t="str">
        <f>IFERROR(INDEX('School Tables'!$B$3:$B$365,MATCH('School Level Expenditures'!B7,'School Tables'!$D$3:$D$365,0)),"")</f>
        <v>Contoocook Valley</v>
      </c>
      <c r="D7" s="290">
        <v>1485930</v>
      </c>
      <c r="E7" s="290">
        <v>71785</v>
      </c>
      <c r="F7" s="303">
        <f t="shared" si="0"/>
        <v>1557715</v>
      </c>
      <c r="G7" s="293"/>
      <c r="H7" s="293"/>
      <c r="I7" s="341"/>
      <c r="N7"/>
    </row>
    <row r="8" spans="1:18" x14ac:dyDescent="0.2">
      <c r="A8" s="126" t="str" cm="1">
        <f t="array" ref="A8">IFERROR(INDEX('School Tables'!$A$4:$G$325,'School Tables'!$J6,3),"")</f>
        <v>Francestown Elementary School</v>
      </c>
      <c r="B8" s="300">
        <f>IFERROR(VLOOKUP(A8,'School Tables'!$C$3:$D$365,2,FALSE),"")</f>
        <v>22245</v>
      </c>
      <c r="C8" s="293" t="str">
        <f>IFERROR(INDEX('School Tables'!$B$3:$B$365,MATCH('School Level Expenditures'!B8,'School Tables'!$D$3:$D$365,0)),"")</f>
        <v>Contoocook Valley</v>
      </c>
      <c r="D8" s="290">
        <v>1349667</v>
      </c>
      <c r="E8" s="290">
        <v>106269</v>
      </c>
      <c r="F8" s="303">
        <f t="shared" si="0"/>
        <v>1455936</v>
      </c>
      <c r="G8" s="293"/>
      <c r="H8" s="293"/>
      <c r="I8" s="341"/>
      <c r="N8"/>
    </row>
    <row r="9" spans="1:18" x14ac:dyDescent="0.2">
      <c r="A9" s="126" t="str" cm="1">
        <f t="array" ref="A9">IFERROR(INDEX('School Tables'!$A$4:$G$325,'School Tables'!$J7,3),"")</f>
        <v>Greenfield Elementary School</v>
      </c>
      <c r="B9" s="300">
        <f>IFERROR(VLOOKUP(A9,'School Tables'!$C$3:$D$365,2,FALSE),"")</f>
        <v>22250</v>
      </c>
      <c r="C9" s="293" t="str">
        <f>IFERROR(INDEX('School Tables'!$B$3:$B$365,MATCH('School Level Expenditures'!B9,'School Tables'!$D$3:$D$365,0)),"")</f>
        <v>Contoocook Valley</v>
      </c>
      <c r="D9" s="290">
        <v>2116636</v>
      </c>
      <c r="E9" s="290">
        <v>121904</v>
      </c>
      <c r="F9" s="303">
        <f t="shared" si="0"/>
        <v>2238540</v>
      </c>
      <c r="G9" s="293"/>
      <c r="H9" s="293"/>
      <c r="I9" s="341"/>
      <c r="N9"/>
    </row>
    <row r="10" spans="1:18" x14ac:dyDescent="0.2">
      <c r="A10" s="126" t="str" cm="1">
        <f t="array" ref="A10">IFERROR(INDEX('School Tables'!$A$4:$G$325,'School Tables'!$J8,3),"")</f>
        <v>Hancock Elementary School</v>
      </c>
      <c r="B10" s="300">
        <f>IFERROR(VLOOKUP(A10,'School Tables'!$C$3:$D$365,2,FALSE),"")</f>
        <v>22260</v>
      </c>
      <c r="C10" s="293" t="str">
        <f>IFERROR(INDEX('School Tables'!$B$3:$B$365,MATCH('School Level Expenditures'!B10,'School Tables'!$D$3:$D$365,0)),"")</f>
        <v>Contoocook Valley</v>
      </c>
      <c r="D10" s="290">
        <v>1560188</v>
      </c>
      <c r="E10" s="290">
        <v>97753</v>
      </c>
      <c r="F10" s="303">
        <f t="shared" si="0"/>
        <v>1657941</v>
      </c>
      <c r="G10" s="293"/>
      <c r="H10" s="293"/>
      <c r="I10" s="126"/>
      <c r="N10"/>
    </row>
    <row r="11" spans="1:18" x14ac:dyDescent="0.2">
      <c r="A11" s="126" t="str" cm="1">
        <f t="array" ref="A11">IFERROR(INDEX('School Tables'!$A$4:$G$325,'School Tables'!$J9,3),"")</f>
        <v>Peterborough Elementary School</v>
      </c>
      <c r="B11" s="300">
        <f>IFERROR(VLOOKUP(A11,'School Tables'!$C$3:$D$365,2,FALSE),"")</f>
        <v>22310</v>
      </c>
      <c r="C11" s="293" t="str">
        <f>IFERROR(INDEX('School Tables'!$B$3:$B$365,MATCH('School Level Expenditures'!B11,'School Tables'!$D$3:$D$365,0)),"")</f>
        <v>Contoocook Valley</v>
      </c>
      <c r="D11" s="290">
        <v>5781405</v>
      </c>
      <c r="E11" s="290">
        <v>584412</v>
      </c>
      <c r="F11" s="303">
        <f t="shared" si="0"/>
        <v>6365817</v>
      </c>
      <c r="G11" s="293"/>
      <c r="H11" s="293"/>
      <c r="I11" s="126"/>
      <c r="N11"/>
    </row>
    <row r="12" spans="1:18" x14ac:dyDescent="0.2">
      <c r="A12" s="126" t="str" cm="1">
        <f t="array" ref="A12">IFERROR(INDEX('School Tables'!$A$4:$G$325,'School Tables'!$J10,3),"")</f>
        <v>Pierce Elementary School</v>
      </c>
      <c r="B12" s="300">
        <f>IFERROR(VLOOKUP(A12,'School Tables'!$C$3:$D$365,2,FALSE),"")</f>
        <v>22225</v>
      </c>
      <c r="C12" s="293" t="str">
        <f>IFERROR(INDEX('School Tables'!$B$3:$B$365,MATCH('School Level Expenditures'!B12,'School Tables'!$D$3:$D$365,0)),"")</f>
        <v>Contoocook Valley</v>
      </c>
      <c r="D12" s="290">
        <v>1869631</v>
      </c>
      <c r="E12" s="290">
        <v>223254</v>
      </c>
      <c r="F12" s="303">
        <f t="shared" si="0"/>
        <v>2092885</v>
      </c>
      <c r="G12" s="293"/>
      <c r="H12" s="293"/>
      <c r="I12" s="126"/>
      <c r="N12"/>
    </row>
    <row r="13" spans="1:18" x14ac:dyDescent="0.2">
      <c r="A13" s="126" t="str" cm="1">
        <f t="array" ref="A13">IFERROR(INDEX('School Tables'!$A$4:$G$325,'School Tables'!$J11,3),"")</f>
        <v>Temple Elementary School</v>
      </c>
      <c r="B13" s="300">
        <f>IFERROR(VLOOKUP(A13,'School Tables'!$C$3:$D$365,2,FALSE),"")</f>
        <v>22330</v>
      </c>
      <c r="C13" s="293" t="str">
        <f>IFERROR(INDEX('School Tables'!$B$3:$B$365,MATCH('School Level Expenditures'!B13,'School Tables'!$D$3:$D$365,0)),"")</f>
        <v>Contoocook Valley</v>
      </c>
      <c r="D13" s="290">
        <v>1335228</v>
      </c>
      <c r="E13" s="290">
        <v>60967</v>
      </c>
      <c r="F13" s="303">
        <f t="shared" si="0"/>
        <v>1396195</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18564226</v>
      </c>
      <c r="E21" s="338">
        <f>SUM(E5:E20)</f>
        <v>1622836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13990225</v>
      </c>
      <c r="G24" s="299">
        <f>'DOE25'!L230+'DOE25'!L310</f>
        <v>13990225</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Great Brook School</v>
      </c>
      <c r="B26" s="300">
        <f>IFERROR(VLOOKUP(A26,'School Tables'!$N$4:$O$75,2,FALSE),"")</f>
        <v>22210</v>
      </c>
      <c r="C26" s="293" t="str">
        <f>IFERROR(INDEX('School Tables'!$M$4:$M$75,MATCH('School Level Expenditures'!A26,'School Tables'!$N$4:$N$75,0)),"")</f>
        <v>Contoocook Valley</v>
      </c>
      <c r="D26" s="290">
        <v>5973646</v>
      </c>
      <c r="E26" s="290">
        <v>152356</v>
      </c>
      <c r="F26" s="303">
        <f t="shared" ref="F26:F32" si="1">D26+E26</f>
        <v>6126002</v>
      </c>
      <c r="G26" s="293"/>
      <c r="H26" s="293"/>
      <c r="I26" s="384"/>
      <c r="N26"/>
    </row>
    <row r="27" spans="1:14" x14ac:dyDescent="0.2">
      <c r="A27" s="126" t="str" cm="1">
        <f t="array" ref="A27">IFERROR(INDEX('School Tables'!$L$4:$R$75,'School Tables'!$U5,3),"")</f>
        <v>South Meadow School</v>
      </c>
      <c r="B27" s="300">
        <f>IFERROR(VLOOKUP(A27,'School Tables'!$N$4:$O$75,2,FALSE),"")</f>
        <v>22295</v>
      </c>
      <c r="C27" s="293" t="str">
        <f>IFERROR(INDEX('School Tables'!$M$4:$M$75,MATCH('School Level Expenditures'!A27,'School Tables'!$N$4:$N$75,0)),"")</f>
        <v>Contoocook Valley</v>
      </c>
      <c r="D27" s="290">
        <v>7646385</v>
      </c>
      <c r="E27" s="290">
        <v>217838</v>
      </c>
      <c r="F27" s="303">
        <f t="shared" si="1"/>
        <v>7864223</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13620031</v>
      </c>
      <c r="E33" s="338">
        <f>SUM(E25:E32)</f>
        <v>370194</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16101207</v>
      </c>
      <c r="G36" s="299">
        <f>'DOE25'!L248+'DOE25'!L329</f>
        <v>16101207</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Conval Regional High School</v>
      </c>
      <c r="B38" s="300">
        <f>IFERROR(VLOOKUP(A38,'School Tables'!$Y$4:$Z$100,2,FALSE),"")</f>
        <v>22290</v>
      </c>
      <c r="C38" s="293" t="str">
        <f>IFERROR(INDEX('School Tables'!$X$4:$X$100,MATCH('School Level Expenditures'!A38,'School Tables'!$Y$4:$Y$100,0)),"")</f>
        <v>Contoocook Valley</v>
      </c>
      <c r="D38" s="290">
        <v>15469266</v>
      </c>
      <c r="E38" s="290">
        <v>631941</v>
      </c>
      <c r="F38" s="303">
        <f t="shared" si="2"/>
        <v>16101207</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15469266</v>
      </c>
      <c r="E43" s="339">
        <f>SUM(E37:E42)</f>
        <v>631941</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Contoocook Valley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4721747</v>
      </c>
      <c r="D8" s="95">
        <f>'DOE25'!G9</f>
        <v>0</v>
      </c>
      <c r="E8" s="95">
        <f>'DOE25'!H9</f>
        <v>0</v>
      </c>
      <c r="F8" s="95">
        <f>'DOE25'!I9</f>
        <v>0</v>
      </c>
      <c r="G8" s="95">
        <f>'DOE25'!J9</f>
        <v>0</v>
      </c>
      <c r="H8" s="124">
        <f>SUM(C8:G8)</f>
        <v>4721747</v>
      </c>
      <c r="I8" s="124"/>
    </row>
    <row r="9" spans="1:9" x14ac:dyDescent="0.2">
      <c r="A9" s="1" t="s">
        <v>140</v>
      </c>
      <c r="B9" s="6">
        <v>110</v>
      </c>
      <c r="C9" s="95">
        <f>'DOE25'!F10</f>
        <v>6227</v>
      </c>
      <c r="D9" s="95">
        <f>'DOE25'!G10</f>
        <v>0</v>
      </c>
      <c r="E9" s="95">
        <f>'DOE25'!H10</f>
        <v>0</v>
      </c>
      <c r="F9" s="95">
        <f>'DOE25'!I10</f>
        <v>0</v>
      </c>
      <c r="G9" s="95">
        <f>'DOE25'!J10</f>
        <v>4691620</v>
      </c>
      <c r="H9" s="124">
        <f t="shared" ref="H9:H18" si="0">SUM(C9:G9)</f>
        <v>4697847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672038</v>
      </c>
      <c r="D11" s="95">
        <f>'DOE25'!G12</f>
        <v>175628</v>
      </c>
      <c r="E11" s="95">
        <f>'DOE25'!H12</f>
        <v>0</v>
      </c>
      <c r="F11" s="95">
        <f>'DOE25'!I12</f>
        <v>0</v>
      </c>
      <c r="G11" s="95">
        <f>'DOE25'!J12</f>
        <v>0</v>
      </c>
      <c r="H11" s="124">
        <f t="shared" si="0"/>
        <v>847666</v>
      </c>
      <c r="I11" s="124"/>
    </row>
    <row r="12" spans="1:9" x14ac:dyDescent="0.2">
      <c r="A12" s="1" t="s">
        <v>143</v>
      </c>
      <c r="B12" s="6">
        <v>140</v>
      </c>
      <c r="C12" s="95">
        <f>'DOE25'!F13</f>
        <v>140490</v>
      </c>
      <c r="D12" s="95">
        <f>'DOE25'!G13</f>
        <v>249989</v>
      </c>
      <c r="E12" s="95">
        <f>'DOE25'!H13</f>
        <v>606067</v>
      </c>
      <c r="F12" s="95">
        <f>'DOE25'!I13</f>
        <v>0</v>
      </c>
      <c r="G12" s="95">
        <f>'DOE25'!J13</f>
        <v>0</v>
      </c>
      <c r="H12" s="124">
        <f t="shared" si="0"/>
        <v>996546</v>
      </c>
      <c r="I12" s="124"/>
    </row>
    <row r="13" spans="1:9" x14ac:dyDescent="0.2">
      <c r="A13" s="1" t="s">
        <v>144</v>
      </c>
      <c r="B13" s="6">
        <v>150</v>
      </c>
      <c r="C13" s="95">
        <f>'DOE25'!F14</f>
        <v>65847</v>
      </c>
      <c r="D13" s="95">
        <f>'DOE25'!G14</f>
        <v>0</v>
      </c>
      <c r="E13" s="95">
        <f>'DOE25'!H14</f>
        <v>0</v>
      </c>
      <c r="F13" s="95">
        <f>'DOE25'!I14</f>
        <v>0</v>
      </c>
      <c r="G13" s="95">
        <f>'DOE25'!J14</f>
        <v>0</v>
      </c>
      <c r="H13" s="124">
        <f t="shared" si="0"/>
        <v>65847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7235</v>
      </c>
      <c r="D16" s="95">
        <f>'DOE25'!G17</f>
        <v>0</v>
      </c>
      <c r="E16" s="95">
        <f>'DOE25'!H17</f>
        <v>0</v>
      </c>
      <c r="F16" s="95">
        <f>'DOE25'!I17</f>
        <v>0</v>
      </c>
      <c r="G16" s="95">
        <f>'DOE25'!J17</f>
        <v>0</v>
      </c>
      <c r="H16" s="124">
        <f t="shared" si="0"/>
        <v>7235</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5613584</v>
      </c>
      <c r="D18" s="41">
        <f>SUM(D8:D17)</f>
        <v>425617</v>
      </c>
      <c r="E18" s="41">
        <f>SUM(E8:E17)</f>
        <v>606067</v>
      </c>
      <c r="F18" s="41">
        <f>SUM(F8:F17)</f>
        <v>0</v>
      </c>
      <c r="G18" s="41">
        <f>SUM(G8:G17)</f>
        <v>4691620</v>
      </c>
      <c r="H18" s="41">
        <f t="shared" si="0"/>
        <v>11336888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599839</v>
      </c>
      <c r="F21" s="95">
        <f>'DOE25'!I22</f>
        <v>0</v>
      </c>
      <c r="G21" s="95">
        <f>'DOE25'!J22</f>
        <v>0</v>
      </c>
      <c r="H21" s="124">
        <f t="shared" ref="H21:H31" si="1">SUM(C21:G21)</f>
        <v>599839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462426</v>
      </c>
      <c r="D23" s="95">
        <f>'DOE25'!G24</f>
        <v>0</v>
      </c>
      <c r="E23" s="95">
        <f>'DOE25'!H24</f>
        <v>1397</v>
      </c>
      <c r="F23" s="95">
        <f>'DOE25'!I24</f>
        <v>0</v>
      </c>
      <c r="G23" s="95">
        <f>'DOE25'!J24</f>
        <v>0</v>
      </c>
      <c r="H23" s="124">
        <f t="shared" si="1"/>
        <v>463823</v>
      </c>
      <c r="I23" s="124"/>
    </row>
    <row r="24" spans="1:9" x14ac:dyDescent="0.2">
      <c r="A24" s="1" t="s">
        <v>153</v>
      </c>
      <c r="B24" s="6">
        <v>430</v>
      </c>
      <c r="C24" s="95">
        <f>'DOE25'!F25</f>
        <v>0</v>
      </c>
      <c r="D24" s="95">
        <f>'DOE25'!G25</f>
        <v>334632</v>
      </c>
      <c r="E24" s="95">
        <f>'DOE25'!H25</f>
        <v>0</v>
      </c>
      <c r="F24" s="95">
        <f>'DOE25'!I25</f>
        <v>0</v>
      </c>
      <c r="G24" s="24" t="s">
        <v>288</v>
      </c>
      <c r="H24" s="124">
        <f t="shared" si="1"/>
        <v>334632</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30429</v>
      </c>
      <c r="E29" s="95">
        <f>'DOE25'!H30</f>
        <v>4831</v>
      </c>
      <c r="F29" s="95">
        <f>'DOE25'!I30</f>
        <v>0</v>
      </c>
      <c r="G29" s="24" t="s">
        <v>288</v>
      </c>
      <c r="H29" s="124">
        <f t="shared" si="1"/>
        <v>35260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462426</v>
      </c>
      <c r="D31" s="41">
        <f>SUM(D21:D30)</f>
        <v>365061</v>
      </c>
      <c r="E31" s="41">
        <f>SUM(E21:E30)</f>
        <v>606067</v>
      </c>
      <c r="F31" s="41">
        <f>SUM(F21:F30)</f>
        <v>0</v>
      </c>
      <c r="G31" s="41">
        <f>SUM(G21:G30)</f>
        <v>0</v>
      </c>
      <c r="H31" s="41">
        <f t="shared" si="1"/>
        <v>1433554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60556</v>
      </c>
      <c r="E39" s="24" t="s">
        <v>288</v>
      </c>
      <c r="F39" s="24" t="s">
        <v>288</v>
      </c>
      <c r="G39" s="24" t="s">
        <v>288</v>
      </c>
      <c r="H39" s="124">
        <f t="shared" si="2"/>
        <v>60556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900000</v>
      </c>
      <c r="D43" s="95">
        <f>'DOE25'!G44</f>
        <v>0</v>
      </c>
      <c r="E43" s="95">
        <f>'DOE25'!H44</f>
        <v>0</v>
      </c>
      <c r="F43" s="95">
        <f>'DOE25'!I44</f>
        <v>0</v>
      </c>
      <c r="G43" s="24" t="s">
        <v>288</v>
      </c>
      <c r="H43" s="124">
        <f t="shared" si="2"/>
        <v>900000</v>
      </c>
      <c r="I43" s="124"/>
    </row>
    <row r="44" spans="1:9" x14ac:dyDescent="0.2">
      <c r="A44" s="1" t="s">
        <v>864</v>
      </c>
      <c r="B44" s="6">
        <v>753</v>
      </c>
      <c r="C44" s="95">
        <f>'DOE25'!F45</f>
        <v>886903</v>
      </c>
      <c r="D44" s="95">
        <f>'DOE25'!G45</f>
        <v>0</v>
      </c>
      <c r="E44" s="95">
        <f>'DOE25'!H45</f>
        <v>0</v>
      </c>
      <c r="F44" s="95">
        <f>'DOE25'!I45</f>
        <v>0</v>
      </c>
      <c r="G44" s="95">
        <f>'DOE25'!J45</f>
        <v>0</v>
      </c>
      <c r="H44" s="124">
        <f t="shared" si="2"/>
        <v>886903</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602433</v>
      </c>
      <c r="D47" s="95">
        <f>'DOE25'!G48</f>
        <v>0</v>
      </c>
      <c r="E47" s="95">
        <f>'DOE25'!H48</f>
        <v>0</v>
      </c>
      <c r="F47" s="95">
        <f>'DOE25'!I48</f>
        <v>0</v>
      </c>
      <c r="G47" s="95">
        <f>'DOE25'!J48</f>
        <v>4691620</v>
      </c>
      <c r="H47" s="124">
        <f t="shared" si="2"/>
        <v>5294053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2761822</v>
      </c>
      <c r="D49" s="24" t="s">
        <v>288</v>
      </c>
      <c r="E49" s="24" t="s">
        <v>288</v>
      </c>
      <c r="F49" s="24" t="s">
        <v>288</v>
      </c>
      <c r="G49" s="24" t="s">
        <v>288</v>
      </c>
      <c r="H49" s="124">
        <f t="shared" si="2"/>
        <v>2761822</v>
      </c>
      <c r="I49" s="124"/>
    </row>
    <row r="50" spans="1:9" ht="12.75" thickTop="1" thickBot="1" x14ac:dyDescent="0.25">
      <c r="A50" s="38" t="s">
        <v>884</v>
      </c>
      <c r="B50" s="48"/>
      <c r="C50" s="41">
        <f>SUM(C34:C49)</f>
        <v>5151158</v>
      </c>
      <c r="D50" s="41">
        <f>SUM(D34:D49)</f>
        <v>60556</v>
      </c>
      <c r="E50" s="41">
        <f>SUM(E34:E49)</f>
        <v>0</v>
      </c>
      <c r="F50" s="41">
        <f>SUM(F34:F49)</f>
        <v>0</v>
      </c>
      <c r="G50" s="41">
        <f>SUM(G34:G49)</f>
        <v>4691620</v>
      </c>
      <c r="H50" s="41">
        <f t="shared" si="2"/>
        <v>9903334</v>
      </c>
      <c r="I50" s="124"/>
    </row>
    <row r="51" spans="1:9" ht="12" thickTop="1" x14ac:dyDescent="0.2">
      <c r="A51" s="38" t="s">
        <v>885</v>
      </c>
      <c r="B51" s="2"/>
      <c r="C51" s="41">
        <f>C50+C31</f>
        <v>5613584</v>
      </c>
      <c r="D51" s="41">
        <f>D50+D31</f>
        <v>425617</v>
      </c>
      <c r="E51" s="41">
        <f>E50+E31</f>
        <v>606067</v>
      </c>
      <c r="F51" s="41">
        <f>F50+F31</f>
        <v>0</v>
      </c>
      <c r="G51" s="41">
        <f>G50+G31</f>
        <v>4691620</v>
      </c>
      <c r="H51" s="41">
        <f t="shared" si="2"/>
        <v>11336888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33836240</v>
      </c>
      <c r="D56" s="95">
        <f>'DOE25'!G60</f>
        <v>0</v>
      </c>
      <c r="E56" s="95">
        <f>'DOE25'!H60</f>
        <v>0</v>
      </c>
      <c r="F56" s="95">
        <f>'DOE25'!I60</f>
        <v>0</v>
      </c>
      <c r="G56" s="95">
        <f>'DOE25'!J60</f>
        <v>0</v>
      </c>
      <c r="H56" s="124">
        <f t="shared" ref="H56:H63" si="3">SUM(C56:G56)</f>
        <v>33836240</v>
      </c>
      <c r="I56"/>
    </row>
    <row r="57" spans="1:9" x14ac:dyDescent="0.2">
      <c r="A57" s="1" t="s">
        <v>164</v>
      </c>
      <c r="B57" s="6" t="s">
        <v>165</v>
      </c>
      <c r="C57" s="95">
        <f>'DOE25'!F79</f>
        <v>187290</v>
      </c>
      <c r="D57" s="24" t="s">
        <v>288</v>
      </c>
      <c r="E57" s="95">
        <f>'DOE25'!H79</f>
        <v>0</v>
      </c>
      <c r="F57" s="24" t="s">
        <v>288</v>
      </c>
      <c r="G57" s="24" t="s">
        <v>288</v>
      </c>
      <c r="H57" s="124">
        <f t="shared" si="3"/>
        <v>187290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17235</v>
      </c>
      <c r="D59" s="95">
        <f>'DOE25'!G96</f>
        <v>57</v>
      </c>
      <c r="E59" s="95">
        <f>'DOE25'!H96</f>
        <v>0</v>
      </c>
      <c r="F59" s="95">
        <f>'DOE25'!I96</f>
        <v>0</v>
      </c>
      <c r="G59" s="95">
        <f>'DOE25'!J96</f>
        <v>7611</v>
      </c>
      <c r="H59" s="124">
        <f t="shared" si="3"/>
        <v>24903</v>
      </c>
      <c r="I59"/>
    </row>
    <row r="60" spans="1:9" x14ac:dyDescent="0.2">
      <c r="A60" s="1" t="s">
        <v>170</v>
      </c>
      <c r="B60" s="118" t="s">
        <v>171</v>
      </c>
      <c r="C60" s="24" t="s">
        <v>288</v>
      </c>
      <c r="D60" s="95">
        <f>'DOE25'!G97</f>
        <v>56237</v>
      </c>
      <c r="E60" s="24" t="s">
        <v>288</v>
      </c>
      <c r="F60" s="24" t="s">
        <v>288</v>
      </c>
      <c r="G60" s="24" t="s">
        <v>288</v>
      </c>
      <c r="H60" s="124">
        <f t="shared" si="3"/>
        <v>56237</v>
      </c>
      <c r="I60"/>
    </row>
    <row r="61" spans="1:9" ht="12" thickBot="1" x14ac:dyDescent="0.25">
      <c r="A61" s="1" t="s">
        <v>172</v>
      </c>
      <c r="B61" s="118" t="s">
        <v>173</v>
      </c>
      <c r="C61" s="95">
        <f>SUM('DOE25'!F98:F110)</f>
        <v>710367</v>
      </c>
      <c r="D61" s="95">
        <f>SUM('DOE25'!G98:G110)</f>
        <v>0</v>
      </c>
      <c r="E61" s="95">
        <f>SUM('DOE25'!H98:H110)</f>
        <v>10964</v>
      </c>
      <c r="F61" s="95">
        <f>SUM('DOE25'!I98:I110)</f>
        <v>0</v>
      </c>
      <c r="G61" s="95">
        <f>SUM('DOE25'!J98:J110)</f>
        <v>0</v>
      </c>
      <c r="H61" s="124">
        <f t="shared" si="3"/>
        <v>721331</v>
      </c>
      <c r="I61"/>
    </row>
    <row r="62" spans="1:9" ht="12.75" thickTop="1" thickBot="1" x14ac:dyDescent="0.25">
      <c r="A62" s="29" t="s">
        <v>174</v>
      </c>
      <c r="B62" s="6"/>
      <c r="C62" s="130">
        <f>SUM(C57:C61)</f>
        <v>914892</v>
      </c>
      <c r="D62" s="130">
        <f>SUM(D57:D61)</f>
        <v>56294</v>
      </c>
      <c r="E62" s="130">
        <f>SUM(E57:E61)</f>
        <v>10964</v>
      </c>
      <c r="F62" s="130">
        <f>SUM(F57:F61)</f>
        <v>0</v>
      </c>
      <c r="G62" s="130">
        <f>SUM(G57:G61)</f>
        <v>7611</v>
      </c>
      <c r="H62" s="124">
        <f t="shared" si="3"/>
        <v>989761</v>
      </c>
      <c r="I62"/>
    </row>
    <row r="63" spans="1:9" ht="12" thickTop="1" x14ac:dyDescent="0.2">
      <c r="A63" s="29" t="s">
        <v>175</v>
      </c>
      <c r="B63" s="6"/>
      <c r="C63" s="22">
        <f>C56+C62</f>
        <v>34751132</v>
      </c>
      <c r="D63" s="22">
        <f>D56+D62</f>
        <v>56294</v>
      </c>
      <c r="E63" s="22">
        <f>E56+E62</f>
        <v>10964</v>
      </c>
      <c r="F63" s="22">
        <f>F56+F62</f>
        <v>0</v>
      </c>
      <c r="G63" s="22">
        <f>G56+G62</f>
        <v>7611</v>
      </c>
      <c r="H63" s="124">
        <f t="shared" si="3"/>
        <v>34826001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8500601</v>
      </c>
      <c r="D66" s="24" t="s">
        <v>288</v>
      </c>
      <c r="E66" s="24" t="s">
        <v>288</v>
      </c>
      <c r="F66" s="24" t="s">
        <v>288</v>
      </c>
      <c r="G66" s="24" t="s">
        <v>288</v>
      </c>
      <c r="H66" s="124">
        <f t="shared" ref="H66:H81" si="4">SUM(C66:G66)</f>
        <v>8500601</v>
      </c>
      <c r="I66"/>
    </row>
    <row r="67" spans="1:9" x14ac:dyDescent="0.2">
      <c r="A67" s="1" t="s">
        <v>770</v>
      </c>
      <c r="B67" s="6">
        <v>3112</v>
      </c>
      <c r="C67" s="95">
        <f>'DOE25'!F118</f>
        <v>4259724</v>
      </c>
      <c r="D67" s="24"/>
      <c r="E67" s="24"/>
      <c r="F67" s="24"/>
      <c r="G67" s="24"/>
      <c r="H67" s="124">
        <f t="shared" si="4"/>
        <v>4259724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12760325</v>
      </c>
      <c r="D70" s="139">
        <f>D69</f>
        <v>0</v>
      </c>
      <c r="E70" s="139">
        <f>E69</f>
        <v>0</v>
      </c>
      <c r="F70" s="139">
        <f>F69</f>
        <v>0</v>
      </c>
      <c r="G70" s="139">
        <f>G69</f>
        <v>0</v>
      </c>
      <c r="H70" s="124">
        <f t="shared" si="4"/>
        <v>12760325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117045</v>
      </c>
      <c r="D75" s="24" t="s">
        <v>288</v>
      </c>
      <c r="E75" s="24" t="s">
        <v>288</v>
      </c>
      <c r="F75" s="24" t="s">
        <v>288</v>
      </c>
      <c r="G75" s="24" t="s">
        <v>288</v>
      </c>
      <c r="H75" s="124">
        <f t="shared" si="4"/>
        <v>117045</v>
      </c>
      <c r="I75"/>
    </row>
    <row r="76" spans="1:9" x14ac:dyDescent="0.2">
      <c r="A76" s="1" t="s">
        <v>257</v>
      </c>
      <c r="B76" s="6" t="s">
        <v>179</v>
      </c>
      <c r="C76" s="95">
        <f>SUM('DOE25'!F127:F130)</f>
        <v>63591</v>
      </c>
      <c r="D76" s="24" t="s">
        <v>288</v>
      </c>
      <c r="E76" s="95">
        <f>SUM('DOE25'!H127:H130)</f>
        <v>22804</v>
      </c>
      <c r="F76" s="95">
        <f>SUM('DOE25'!I127:I130)</f>
        <v>0</v>
      </c>
      <c r="G76" s="24" t="s">
        <v>288</v>
      </c>
      <c r="H76" s="124">
        <f t="shared" si="4"/>
        <v>86395</v>
      </c>
      <c r="I76"/>
    </row>
    <row r="77" spans="1:9" ht="12" thickBot="1" x14ac:dyDescent="0.25">
      <c r="A77" s="1" t="s">
        <v>258</v>
      </c>
      <c r="B77" s="6" t="s">
        <v>180</v>
      </c>
      <c r="C77" s="95">
        <f>SUM('DOE25'!F131:F135)</f>
        <v>0</v>
      </c>
      <c r="D77" s="95">
        <f>SUM('DOE25'!G131:G135)</f>
        <v>14152</v>
      </c>
      <c r="E77" s="95">
        <f>SUM('DOE25'!H131:H135)</f>
        <v>93524</v>
      </c>
      <c r="F77" s="95">
        <f>SUM('DOE25'!I131:I135)</f>
        <v>0</v>
      </c>
      <c r="G77" s="95">
        <f>SUM('DOE25'!J131:J135)</f>
        <v>0</v>
      </c>
      <c r="H77" s="124">
        <f t="shared" si="4"/>
        <v>107676</v>
      </c>
      <c r="I77"/>
    </row>
    <row r="78" spans="1:9" ht="12.75" thickTop="1" thickBot="1" x14ac:dyDescent="0.25">
      <c r="A78" s="29" t="s">
        <v>259</v>
      </c>
      <c r="B78" s="6"/>
      <c r="C78" s="130">
        <f>SUM(C72:C77)</f>
        <v>180636</v>
      </c>
      <c r="D78" s="130">
        <f>SUM(D72:D77)</f>
        <v>14152</v>
      </c>
      <c r="E78" s="130">
        <f>SUM(E72:E77)</f>
        <v>116328</v>
      </c>
      <c r="F78" s="130">
        <f>SUM(F72:F77)</f>
        <v>0</v>
      </c>
      <c r="G78" s="130">
        <f>SUM(G72:G77)</f>
        <v>0</v>
      </c>
      <c r="H78" s="124">
        <f t="shared" si="4"/>
        <v>311116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12940961</v>
      </c>
      <c r="D81" s="130">
        <f>SUM(D79:D80)+D78+D70</f>
        <v>14152</v>
      </c>
      <c r="E81" s="130">
        <f>SUM(E79:E80)+E78+E70</f>
        <v>116328</v>
      </c>
      <c r="F81" s="130">
        <f>SUM(F79:F80)+F78+F70</f>
        <v>0</v>
      </c>
      <c r="G81" s="130">
        <f>SUM(G79:G80)+G78+G70</f>
        <v>0</v>
      </c>
      <c r="H81" s="130">
        <f t="shared" si="4"/>
        <v>13071441</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74743</v>
      </c>
      <c r="F85" s="95">
        <f>'DOE25'!I147</f>
        <v>0</v>
      </c>
      <c r="G85" s="24" t="s">
        <v>288</v>
      </c>
      <c r="H85" s="124">
        <f t="shared" ref="H85:H104" si="5">SUM(C85:G85)</f>
        <v>74743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242434</v>
      </c>
      <c r="D88" s="326">
        <f>SUM('DOE25'!G153:G162)</f>
        <v>1365245</v>
      </c>
      <c r="E88" s="326">
        <f>SUM('DOE25'!H153:H162)</f>
        <v>2422936</v>
      </c>
      <c r="F88" s="326">
        <f>SUM('DOE25'!I153:I162)</f>
        <v>0</v>
      </c>
      <c r="G88" s="24" t="s">
        <v>288</v>
      </c>
      <c r="H88" s="124">
        <f t="shared" si="5"/>
        <v>4030615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242434</v>
      </c>
      <c r="D91" s="131">
        <f>SUM(D85:D90)</f>
        <v>1365245</v>
      </c>
      <c r="E91" s="131">
        <f>SUM(E85:E90)</f>
        <v>2497679</v>
      </c>
      <c r="F91" s="131">
        <f>SUM(F85:F90)</f>
        <v>0</v>
      </c>
      <c r="G91" s="24" t="s">
        <v>288</v>
      </c>
      <c r="H91" s="124">
        <f t="shared" si="5"/>
        <v>4105358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700000</v>
      </c>
      <c r="H96" s="124">
        <f t="shared" si="5"/>
        <v>700000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32850</v>
      </c>
      <c r="D100" s="95">
        <f>SUM('DOE25'!G187:G188)</f>
        <v>0</v>
      </c>
      <c r="E100" s="95">
        <f>SUM('DOE25'!H187:H188)</f>
        <v>0</v>
      </c>
      <c r="F100" s="95">
        <f>SUM('DOE25'!I187:I188)</f>
        <v>0</v>
      </c>
      <c r="G100" s="24" t="s">
        <v>288</v>
      </c>
      <c r="H100" s="124">
        <f t="shared" si="5"/>
        <v>32850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32850</v>
      </c>
      <c r="D103" s="86">
        <f>SUM(D93:D102)</f>
        <v>0</v>
      </c>
      <c r="E103" s="86">
        <f>SUM(E93:E102)</f>
        <v>0</v>
      </c>
      <c r="F103" s="86">
        <f>SUM(F93:F102)</f>
        <v>0</v>
      </c>
      <c r="G103" s="86">
        <f>SUM(G93:G102)</f>
        <v>700000</v>
      </c>
      <c r="H103" s="86">
        <f t="shared" si="5"/>
        <v>732850</v>
      </c>
    </row>
    <row r="104" spans="1:8" ht="12.75" thickTop="1" thickBot="1" x14ac:dyDescent="0.25">
      <c r="A104" s="33" t="s">
        <v>761</v>
      </c>
      <c r="C104" s="86">
        <f>C63+C81+C91+C103</f>
        <v>47967377</v>
      </c>
      <c r="D104" s="86">
        <f>D63+D81+D91+D103</f>
        <v>1435691</v>
      </c>
      <c r="E104" s="86">
        <f>E63+E81+E91+E103</f>
        <v>2624971</v>
      </c>
      <c r="F104" s="86">
        <f>F63+F81+F91+F103</f>
        <v>0</v>
      </c>
      <c r="G104" s="86">
        <f>G63+G81+G103</f>
        <v>707611</v>
      </c>
      <c r="H104" s="86">
        <f t="shared" si="5"/>
        <v>52735650</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16901688</v>
      </c>
      <c r="D109" s="24" t="s">
        <v>288</v>
      </c>
      <c r="E109" s="95">
        <f>('DOE25'!L277)+('DOE25'!L296)+('DOE25'!L315)</f>
        <v>1343853</v>
      </c>
      <c r="F109" s="24" t="s">
        <v>288</v>
      </c>
      <c r="G109" s="24" t="s">
        <v>288</v>
      </c>
      <c r="H109" s="124">
        <f t="shared" ref="H109:H115" si="6">SUM(C109:G109)</f>
        <v>18245541</v>
      </c>
    </row>
    <row r="110" spans="1:8" x14ac:dyDescent="0.2">
      <c r="A110" t="s">
        <v>198</v>
      </c>
      <c r="B110" s="32" t="s">
        <v>199</v>
      </c>
      <c r="C110" s="95">
        <f>('DOE25'!L199)+('DOE25'!L217)+('DOE25'!L235)</f>
        <v>11512736</v>
      </c>
      <c r="D110" s="24" t="s">
        <v>288</v>
      </c>
      <c r="E110" s="95">
        <f>('DOE25'!L278)+('DOE25'!L297)+('DOE25'!L316)</f>
        <v>629102</v>
      </c>
      <c r="F110" s="24" t="s">
        <v>288</v>
      </c>
      <c r="G110" s="24" t="s">
        <v>288</v>
      </c>
      <c r="H110" s="124">
        <f t="shared" si="6"/>
        <v>12141838</v>
      </c>
    </row>
    <row r="111" spans="1:8" x14ac:dyDescent="0.2">
      <c r="A111" t="s">
        <v>200</v>
      </c>
      <c r="B111" s="32" t="s">
        <v>165</v>
      </c>
      <c r="C111" s="95">
        <f>('DOE25'!L200)+('DOE25'!L218)+('DOE25'!L236)</f>
        <v>1183017</v>
      </c>
      <c r="D111" s="24" t="s">
        <v>288</v>
      </c>
      <c r="E111" s="95">
        <f>('DOE25'!L279)+('DOE25'!L298)+('DOE25'!L317)</f>
        <v>195004</v>
      </c>
      <c r="F111" s="24" t="s">
        <v>288</v>
      </c>
      <c r="G111" s="24" t="s">
        <v>288</v>
      </c>
      <c r="H111" s="124">
        <f t="shared" si="6"/>
        <v>1378021</v>
      </c>
    </row>
    <row r="112" spans="1:8" x14ac:dyDescent="0.2">
      <c r="A112" t="s">
        <v>201</v>
      </c>
      <c r="B112" s="32" t="s">
        <v>167</v>
      </c>
      <c r="C112" s="95">
        <f>('DOE25'!L201)+('DOE25'!L219)+('DOE25'!L237)</f>
        <v>822224</v>
      </c>
      <c r="D112" s="24" t="s">
        <v>288</v>
      </c>
      <c r="E112" s="95">
        <f>+('DOE25'!L280)+('DOE25'!L299)+('DOE25'!L318)</f>
        <v>68537</v>
      </c>
      <c r="F112" s="24" t="s">
        <v>288</v>
      </c>
      <c r="G112" s="24" t="s">
        <v>288</v>
      </c>
      <c r="H112" s="124">
        <f t="shared" si="6"/>
        <v>890761</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30419665</v>
      </c>
      <c r="D115" s="86">
        <f>SUM(D109:D114)</f>
        <v>0</v>
      </c>
      <c r="E115" s="86">
        <f>SUM(E109:E114)</f>
        <v>2236496</v>
      </c>
      <c r="F115" s="86">
        <f>SUM(F109:F114)</f>
        <v>0</v>
      </c>
      <c r="G115" s="86">
        <f>SUM(G109:G114)</f>
        <v>0</v>
      </c>
      <c r="H115" s="86">
        <f t="shared" si="6"/>
        <v>32656161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2757864</v>
      </c>
      <c r="D118" s="24" t="s">
        <v>288</v>
      </c>
      <c r="E118" s="95">
        <f>+('DOE25'!L282)+('DOE25'!L301)+('DOE25'!L320)</f>
        <v>56865</v>
      </c>
      <c r="F118" s="24" t="s">
        <v>288</v>
      </c>
      <c r="G118" s="24" t="s">
        <v>288</v>
      </c>
      <c r="H118" s="124">
        <f t="shared" ref="H118:H145" si="7">SUM(C118:G118)</f>
        <v>2814729</v>
      </c>
    </row>
    <row r="119" spans="1:8" x14ac:dyDescent="0.2">
      <c r="A119" t="s">
        <v>208</v>
      </c>
      <c r="B119" s="32" t="s">
        <v>209</v>
      </c>
      <c r="C119" s="95">
        <f>('DOE25'!L204)+('DOE25'!L222)+('DOE25'!L240)</f>
        <v>1188524</v>
      </c>
      <c r="D119" s="24" t="s">
        <v>288</v>
      </c>
      <c r="E119" s="95">
        <f>+('DOE25'!L283)+('DOE25'!L302)+('DOE25'!L321)</f>
        <v>158546</v>
      </c>
      <c r="F119" s="24" t="s">
        <v>288</v>
      </c>
      <c r="G119" s="24" t="s">
        <v>288</v>
      </c>
      <c r="H119" s="124">
        <f t="shared" si="7"/>
        <v>1347070</v>
      </c>
    </row>
    <row r="120" spans="1:8" x14ac:dyDescent="0.2">
      <c r="A120" t="s">
        <v>210</v>
      </c>
      <c r="B120" s="32" t="s">
        <v>211</v>
      </c>
      <c r="C120" s="95">
        <f>('DOE25'!L205)+('DOE25'!L223)+('DOE25'!L241)</f>
        <v>3284081</v>
      </c>
      <c r="D120" s="24" t="s">
        <v>288</v>
      </c>
      <c r="E120" s="95">
        <f>+('DOE25'!L284)+('DOE25'!L303)+('DOE25'!L322)</f>
        <v>39905</v>
      </c>
      <c r="F120" s="24" t="s">
        <v>288</v>
      </c>
      <c r="G120" s="24" t="s">
        <v>288</v>
      </c>
      <c r="H120" s="124">
        <f t="shared" si="7"/>
        <v>3323986</v>
      </c>
    </row>
    <row r="121" spans="1:8" x14ac:dyDescent="0.2">
      <c r="A121" t="s">
        <v>212</v>
      </c>
      <c r="B121" s="32" t="s">
        <v>213</v>
      </c>
      <c r="C121" s="95">
        <f>('DOE25'!L206)+('DOE25'!L224)+('DOE25'!L242)</f>
        <v>3703601</v>
      </c>
      <c r="D121" s="24" t="s">
        <v>288</v>
      </c>
      <c r="E121" s="95">
        <f>+('DOE25'!L285)+('DOE25'!L304)+('DOE25'!L323)</f>
        <v>51021</v>
      </c>
      <c r="F121" s="24" t="s">
        <v>288</v>
      </c>
      <c r="G121" s="24" t="s">
        <v>288</v>
      </c>
      <c r="H121" s="124">
        <f t="shared" si="7"/>
        <v>3754622</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4210153</v>
      </c>
      <c r="D123" s="24" t="s">
        <v>288</v>
      </c>
      <c r="E123" s="95">
        <f>+('DOE25'!L287)+('DOE25'!L306)+('DOE25'!L325)</f>
        <v>76585</v>
      </c>
      <c r="F123" s="24" t="s">
        <v>288</v>
      </c>
      <c r="G123" s="24" t="s">
        <v>288</v>
      </c>
      <c r="H123" s="124">
        <f t="shared" si="7"/>
        <v>4286738</v>
      </c>
    </row>
    <row r="124" spans="1:8" x14ac:dyDescent="0.2">
      <c r="A124" t="s">
        <v>218</v>
      </c>
      <c r="B124" s="32" t="s">
        <v>219</v>
      </c>
      <c r="C124" s="95">
        <f>('DOE25'!L209)+('DOE25'!L227)+('DOE25'!L245+'DOE25'!L255)</f>
        <v>2085260</v>
      </c>
      <c r="D124" s="24" t="s">
        <v>288</v>
      </c>
      <c r="E124" s="95">
        <f>+('DOE25'!L288)+('DOE25'!L307)+('DOE25'!L326)</f>
        <v>5553</v>
      </c>
      <c r="F124" s="24" t="s">
        <v>288</v>
      </c>
      <c r="G124" s="24" t="s">
        <v>288</v>
      </c>
      <c r="H124" s="124">
        <f t="shared" si="7"/>
        <v>2090813</v>
      </c>
    </row>
    <row r="125" spans="1:8" x14ac:dyDescent="0.2">
      <c r="A125" t="s">
        <v>220</v>
      </c>
      <c r="B125" s="32" t="s">
        <v>221</v>
      </c>
      <c r="C125" s="95">
        <f>('DOE25'!L210)+('DOE25'!L228)+('DOE25'!L246)</f>
        <v>4375</v>
      </c>
      <c r="D125" s="24" t="s">
        <v>288</v>
      </c>
      <c r="E125" s="95">
        <f>+('DOE25'!L289)+('DOE25'!L308)+('DOE25'!L327)</f>
        <v>0</v>
      </c>
      <c r="F125" s="24" t="s">
        <v>288</v>
      </c>
      <c r="G125" s="24" t="s">
        <v>288</v>
      </c>
      <c r="H125" s="124">
        <f t="shared" si="7"/>
        <v>4375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1375135</v>
      </c>
      <c r="E127" s="24" t="s">
        <v>288</v>
      </c>
      <c r="F127" s="24" t="s">
        <v>288</v>
      </c>
      <c r="G127" s="24" t="s">
        <v>288</v>
      </c>
      <c r="H127" s="124">
        <f t="shared" si="7"/>
        <v>1375135</v>
      </c>
    </row>
    <row r="128" spans="1:8" ht="12.75" thickTop="1" thickBot="1" x14ac:dyDescent="0.25">
      <c r="A128" s="33" t="s">
        <v>226</v>
      </c>
      <c r="C128" s="86">
        <f>SUM(C118:C127)</f>
        <v>17233858</v>
      </c>
      <c r="D128" s="86">
        <f>SUM(D118:D127)</f>
        <v>1375135</v>
      </c>
      <c r="E128" s="86">
        <f>SUM(E118:E127)</f>
        <v>388475</v>
      </c>
      <c r="F128" s="86">
        <f>SUM(F118:F127)</f>
        <v>0</v>
      </c>
      <c r="G128" s="86">
        <f>SUM(G118:G127)</f>
        <v>0</v>
      </c>
      <c r="H128" s="86">
        <f t="shared" si="7"/>
        <v>18997468</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540000</v>
      </c>
      <c r="D131" s="24" t="s">
        <v>288</v>
      </c>
      <c r="E131" s="129">
        <f>'DOE25'!L342</f>
        <v>0</v>
      </c>
      <c r="F131" s="24" t="s">
        <v>288</v>
      </c>
      <c r="G131" s="24" t="s">
        <v>288</v>
      </c>
      <c r="H131" s="124">
        <f t="shared" si="7"/>
        <v>540000</v>
      </c>
    </row>
    <row r="132" spans="1:8" x14ac:dyDescent="0.2">
      <c r="A132" t="s">
        <v>230</v>
      </c>
      <c r="B132" s="32">
        <v>5120</v>
      </c>
      <c r="C132" s="95">
        <f>'DOE25'!L262</f>
        <v>55993</v>
      </c>
      <c r="D132" s="24" t="s">
        <v>288</v>
      </c>
      <c r="E132" s="129">
        <f>'DOE25'!L343</f>
        <v>0</v>
      </c>
      <c r="F132" s="24" t="s">
        <v>288</v>
      </c>
      <c r="G132" s="24" t="s">
        <v>288</v>
      </c>
      <c r="H132" s="124">
        <f t="shared" si="7"/>
        <v>55993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503718</v>
      </c>
      <c r="D138" s="24" t="s">
        <v>288</v>
      </c>
      <c r="E138" s="24" t="s">
        <v>288</v>
      </c>
      <c r="F138" s="24" t="s">
        <v>288</v>
      </c>
      <c r="G138" s="24" t="s">
        <v>288</v>
      </c>
      <c r="H138" s="124">
        <f t="shared" si="7"/>
        <v>503718</v>
      </c>
    </row>
    <row r="139" spans="1:8" x14ac:dyDescent="0.2">
      <c r="A139" t="s">
        <v>239</v>
      </c>
      <c r="B139" s="32">
        <v>5252</v>
      </c>
      <c r="C139" s="95">
        <f>'DOE25'!L402</f>
        <v>203893</v>
      </c>
      <c r="D139" s="24" t="s">
        <v>288</v>
      </c>
      <c r="E139" s="24" t="s">
        <v>288</v>
      </c>
      <c r="F139" s="24" t="s">
        <v>288</v>
      </c>
      <c r="G139" s="24" t="s">
        <v>288</v>
      </c>
      <c r="H139" s="124">
        <f t="shared" si="7"/>
        <v>203893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-7611</v>
      </c>
      <c r="D141" s="24" t="s">
        <v>288</v>
      </c>
      <c r="E141" s="24" t="s">
        <v>288</v>
      </c>
      <c r="F141" s="24" t="s">
        <v>288</v>
      </c>
      <c r="G141" s="24" t="s">
        <v>288</v>
      </c>
      <c r="H141" s="124">
        <f t="shared" si="7"/>
        <v>-7611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1295993</v>
      </c>
      <c r="D144" s="141">
        <f>SUM(D130:D143)</f>
        <v>0</v>
      </c>
      <c r="E144" s="141">
        <f>SUM(E130:E143)</f>
        <v>0</v>
      </c>
      <c r="F144" s="141">
        <f>SUM(F130:F143)</f>
        <v>0</v>
      </c>
      <c r="G144" s="141">
        <f>SUM(G130:G143)</f>
        <v>0</v>
      </c>
      <c r="H144" s="141">
        <f t="shared" si="7"/>
        <v>1295993</v>
      </c>
    </row>
    <row r="145" spans="1:9" ht="12.75" thickTop="1" thickBot="1" x14ac:dyDescent="0.25">
      <c r="A145" s="33" t="s">
        <v>244</v>
      </c>
      <c r="C145" s="86">
        <f>(C115+C128+C144)</f>
        <v>48949516</v>
      </c>
      <c r="D145" s="86">
        <f>(D115+D128+D144)</f>
        <v>1375135</v>
      </c>
      <c r="E145" s="86">
        <f>(E115+E128+E144)</f>
        <v>2624971</v>
      </c>
      <c r="F145" s="86">
        <f>(F115+F128+F144)</f>
        <v>0</v>
      </c>
      <c r="G145" s="86">
        <f>(G115+G128+G144)</f>
        <v>0</v>
      </c>
      <c r="H145" s="86">
        <f t="shared" si="7"/>
        <v>52949622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5</v>
      </c>
      <c r="D151" s="153">
        <f>'DOE25'!H491</f>
        <v>0</v>
      </c>
      <c r="E151" s="153">
        <f>'DOE25'!I491</f>
        <v>0</v>
      </c>
      <c r="F151" s="153">
        <f>'DOE25'!J491</f>
        <v>0</v>
      </c>
      <c r="G151" s="24" t="s">
        <v>288</v>
      </c>
    </row>
    <row r="152" spans="1:9" x14ac:dyDescent="0.2">
      <c r="A152" s="136" t="s">
        <v>28</v>
      </c>
      <c r="B152" s="152" t="str">
        <f>'DOE25'!F492</f>
        <v>02/15/2013</v>
      </c>
      <c r="C152" s="152" t="str">
        <f>'DOE25'!G492</f>
        <v>05/15/2018</v>
      </c>
      <c r="D152" s="152">
        <f>'DOE25'!H492</f>
        <v>0</v>
      </c>
      <c r="E152" s="152">
        <f>'DOE25'!I492</f>
        <v>0</v>
      </c>
      <c r="F152" s="152">
        <f>'DOE25'!J492</f>
        <v>0</v>
      </c>
      <c r="G152" s="24" t="s">
        <v>288</v>
      </c>
    </row>
    <row r="153" spans="1:9" x14ac:dyDescent="0.2">
      <c r="A153" s="136" t="s">
        <v>29</v>
      </c>
      <c r="B153" s="152" t="str">
        <f>'DOE25'!F493</f>
        <v>02/15/2023</v>
      </c>
      <c r="C153" s="152" t="str">
        <f>'DOE25'!G493</f>
        <v>08/15/2023</v>
      </c>
      <c r="D153" s="152">
        <f>'DOE25'!H493</f>
        <v>0</v>
      </c>
      <c r="E153" s="152">
        <f>'DOE25'!I493</f>
        <v>0</v>
      </c>
      <c r="F153" s="152">
        <f>'DOE25'!J493</f>
        <v>0</v>
      </c>
      <c r="G153" s="24" t="s">
        <v>288</v>
      </c>
    </row>
    <row r="154" spans="1:9" x14ac:dyDescent="0.2">
      <c r="A154" s="136" t="s">
        <v>30</v>
      </c>
      <c r="B154" s="137">
        <f>'DOE25'!F494</f>
        <v>3750000</v>
      </c>
      <c r="C154" s="137">
        <f>'DOE25'!G494</f>
        <v>920200</v>
      </c>
      <c r="D154" s="137">
        <f>'DOE25'!H494</f>
        <v>0</v>
      </c>
      <c r="E154" s="137">
        <f>'DOE25'!I494</f>
        <v>0</v>
      </c>
      <c r="F154" s="137">
        <f>'DOE25'!J494</f>
        <v>0</v>
      </c>
      <c r="G154" s="24" t="s">
        <v>288</v>
      </c>
    </row>
    <row r="155" spans="1:9" x14ac:dyDescent="0.2">
      <c r="A155" s="136" t="s">
        <v>31</v>
      </c>
      <c r="B155" s="137">
        <f>'DOE25'!F495</f>
        <v>1.69</v>
      </c>
      <c r="C155" s="137">
        <f>'DOE25'!G495</f>
        <v>2.2200000000000002</v>
      </c>
      <c r="D155" s="137">
        <f>'DOE25'!H495</f>
        <v>0</v>
      </c>
      <c r="E155" s="137">
        <f>'DOE25'!I495</f>
        <v>0</v>
      </c>
      <c r="F155" s="137">
        <f>'DOE25'!J495</f>
        <v>0</v>
      </c>
      <c r="G155" s="24" t="s">
        <v>288</v>
      </c>
    </row>
    <row r="156" spans="1:9" x14ac:dyDescent="0.2">
      <c r="A156" s="22" t="s">
        <v>32</v>
      </c>
      <c r="B156" s="137">
        <f>'DOE25'!F496</f>
        <v>710000</v>
      </c>
      <c r="C156" s="137">
        <f>'DOE25'!G496</f>
        <v>555000</v>
      </c>
      <c r="D156" s="137">
        <f>'DOE25'!H496</f>
        <v>0</v>
      </c>
      <c r="E156" s="137">
        <f>'DOE25'!I496</f>
        <v>0</v>
      </c>
      <c r="F156" s="137">
        <f>'DOE25'!J496</f>
        <v>0</v>
      </c>
      <c r="G156" s="138">
        <f>SUM(B156:F156)</f>
        <v>1265000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355000</v>
      </c>
      <c r="C158" s="137">
        <f>'DOE25'!G498</f>
        <v>41820</v>
      </c>
      <c r="D158" s="137">
        <f>'DOE25'!H498</f>
        <v>0</v>
      </c>
      <c r="E158" s="137">
        <f>'DOE25'!I498</f>
        <v>0</v>
      </c>
      <c r="F158" s="137">
        <f>'DOE25'!J498</f>
        <v>0</v>
      </c>
      <c r="G158" s="138">
        <f t="shared" si="8"/>
        <v>396820</v>
      </c>
    </row>
    <row r="159" spans="1:9" x14ac:dyDescent="0.2">
      <c r="A159" s="22" t="s">
        <v>35</v>
      </c>
      <c r="B159" s="137">
        <f>'DOE25'!F499</f>
        <v>355000</v>
      </c>
      <c r="C159" s="137">
        <f>'DOE25'!G499</f>
        <v>365000</v>
      </c>
      <c r="D159" s="137">
        <f>'DOE25'!H499</f>
        <v>0</v>
      </c>
      <c r="E159" s="137">
        <f>'DOE25'!I499</f>
        <v>0</v>
      </c>
      <c r="F159" s="137">
        <f>'DOE25'!J499</f>
        <v>0</v>
      </c>
      <c r="G159" s="138">
        <f t="shared" si="8"/>
        <v>720000</v>
      </c>
    </row>
    <row r="160" spans="1:9" x14ac:dyDescent="0.2">
      <c r="A160" s="22" t="s">
        <v>36</v>
      </c>
      <c r="B160" s="137">
        <f>'DOE25'!F500</f>
        <v>14555</v>
      </c>
      <c r="C160" s="137">
        <f>'DOE25'!G500</f>
        <v>18487.5</v>
      </c>
      <c r="D160" s="137">
        <f>'DOE25'!H500</f>
        <v>0</v>
      </c>
      <c r="E160" s="137">
        <f>'DOE25'!I500</f>
        <v>0</v>
      </c>
      <c r="F160" s="137">
        <f>'DOE25'!J500</f>
        <v>0</v>
      </c>
      <c r="G160" s="138">
        <f t="shared" si="8"/>
        <v>33042.5</v>
      </c>
    </row>
    <row r="161" spans="1:7" x14ac:dyDescent="0.2">
      <c r="A161" s="22" t="s">
        <v>37</v>
      </c>
      <c r="B161" s="137">
        <f>'DOE25'!F501</f>
        <v>369555</v>
      </c>
      <c r="C161" s="137">
        <f>'DOE25'!G501</f>
        <v>383487.5</v>
      </c>
      <c r="D161" s="137">
        <f>'DOE25'!H501</f>
        <v>0</v>
      </c>
      <c r="E161" s="137">
        <f>'DOE25'!I501</f>
        <v>0</v>
      </c>
      <c r="F161" s="137">
        <f>'DOE25'!J501</f>
        <v>0</v>
      </c>
      <c r="G161" s="138">
        <f t="shared" si="8"/>
        <v>753042.5</v>
      </c>
    </row>
    <row r="162" spans="1:7" x14ac:dyDescent="0.2">
      <c r="A162" s="22" t="s">
        <v>38</v>
      </c>
      <c r="B162" s="137">
        <f>'DOE25'!F502</f>
        <v>355000</v>
      </c>
      <c r="C162" s="137">
        <f>'DOE25'!G502</f>
        <v>365000</v>
      </c>
      <c r="D162" s="137">
        <f>'DOE25'!H502</f>
        <v>0</v>
      </c>
      <c r="E162" s="137">
        <f>'DOE25'!I502</f>
        <v>0</v>
      </c>
      <c r="F162" s="137">
        <f>'DOE25'!J502</f>
        <v>0</v>
      </c>
      <c r="G162" s="138">
        <f t="shared" si="8"/>
        <v>720000</v>
      </c>
    </row>
    <row r="163" spans="1:7" x14ac:dyDescent="0.2">
      <c r="A163" s="22" t="s">
        <v>39</v>
      </c>
      <c r="B163" s="137">
        <f>'DOE25'!F503</f>
        <v>14555</v>
      </c>
      <c r="C163" s="137">
        <f>'DOE25'!G503</f>
        <v>13897.5</v>
      </c>
      <c r="D163" s="137">
        <f>'DOE25'!H503</f>
        <v>0</v>
      </c>
      <c r="E163" s="137">
        <f>'DOE25'!I503</f>
        <v>0</v>
      </c>
      <c r="F163" s="137">
        <f>'DOE25'!J503</f>
        <v>0</v>
      </c>
      <c r="G163" s="138">
        <f t="shared" si="8"/>
        <v>28452.5</v>
      </c>
    </row>
    <row r="164" spans="1:7" x14ac:dyDescent="0.2">
      <c r="A164" s="22" t="s">
        <v>246</v>
      </c>
      <c r="B164" s="137">
        <f>'DOE25'!F504</f>
        <v>369555</v>
      </c>
      <c r="C164" s="137">
        <f>'DOE25'!G504</f>
        <v>378897.5</v>
      </c>
      <c r="D164" s="137">
        <f>'DOE25'!H504</f>
        <v>0</v>
      </c>
      <c r="E164" s="137">
        <f>'DOE25'!I504</f>
        <v>0</v>
      </c>
      <c r="F164" s="137">
        <f>'DOE25'!J504</f>
        <v>0</v>
      </c>
      <c r="G164" s="138">
        <f t="shared" si="8"/>
        <v>748452.5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Contoocook Valley</v>
      </c>
    </row>
    <row r="3" spans="1:4" x14ac:dyDescent="0.2">
      <c r="B3" s="187" t="s">
        <v>1799</v>
      </c>
    </row>
    <row r="4" spans="1:4" x14ac:dyDescent="0.2">
      <c r="B4" t="s">
        <v>61</v>
      </c>
      <c r="C4" s="178">
        <f>IF('DOE25'!F666+'DOE25'!F671=0,0,ROUND('DOE25'!F673,0))</f>
        <v>25588</v>
      </c>
    </row>
    <row r="5" spans="1:4" x14ac:dyDescent="0.2">
      <c r="B5" t="s">
        <v>700</v>
      </c>
      <c r="C5" s="178">
        <f>IF('DOE25'!G666+'DOE25'!G671=0,0,ROUND('DOE25'!G673,0))</f>
        <v>23355</v>
      </c>
    </row>
    <row r="6" spans="1:4" x14ac:dyDescent="0.2">
      <c r="B6" t="s">
        <v>62</v>
      </c>
      <c r="C6" s="178">
        <f>IF('DOE25'!H666+'DOE25'!H671=0,0,ROUND('DOE25'!H673,0))</f>
        <v>22829</v>
      </c>
    </row>
    <row r="7" spans="1:4" x14ac:dyDescent="0.2">
      <c r="B7" t="s">
        <v>701</v>
      </c>
      <c r="C7" s="178">
        <f>IF('DOE25'!I666+'DOE25'!I671=0,0,ROUND('DOE25'!I673,0))</f>
        <v>24030</v>
      </c>
    </row>
    <row r="9" spans="1:4" x14ac:dyDescent="0.2">
      <c r="A9" s="186" t="s">
        <v>94</v>
      </c>
      <c r="B9" s="187" t="s">
        <v>1800</v>
      </c>
      <c r="C9" s="180" t="s">
        <v>720</v>
      </c>
      <c r="D9" s="180" t="s">
        <v>721</v>
      </c>
    </row>
    <row r="10" spans="1:4" x14ac:dyDescent="0.2">
      <c r="A10">
        <v>1100</v>
      </c>
      <c r="B10" t="s">
        <v>702</v>
      </c>
      <c r="C10" s="178">
        <f>ROUND('DOE25'!L198+'DOE25'!L216+'DOE25'!L234+'DOE25'!L277+'DOE25'!L296+'DOE25'!L315,0)</f>
        <v>18245541</v>
      </c>
      <c r="D10" s="181">
        <f>ROUND((C10/$C$28)*100,1)</f>
        <v>35.299999999999997</v>
      </c>
    </row>
    <row r="11" spans="1:4" x14ac:dyDescent="0.2">
      <c r="A11">
        <v>1200</v>
      </c>
      <c r="B11" t="s">
        <v>703</v>
      </c>
      <c r="C11" s="178">
        <f>ROUND('DOE25'!L199+'DOE25'!L217+'DOE25'!L235+'DOE25'!L278+'DOE25'!L297+'DOE25'!L316,0)</f>
        <v>12141838</v>
      </c>
      <c r="D11" s="181">
        <f>ROUND((C11/$C$28)*100,1)</f>
        <v>23.5</v>
      </c>
    </row>
    <row r="12" spans="1:4" x14ac:dyDescent="0.2">
      <c r="A12">
        <v>1300</v>
      </c>
      <c r="B12" t="s">
        <v>704</v>
      </c>
      <c r="C12" s="178">
        <f>ROUND('DOE25'!L200+'DOE25'!L218+'DOE25'!L236+'DOE25'!L279+'DOE25'!L298+'DOE25'!L317,0)</f>
        <v>1378021</v>
      </c>
      <c r="D12" s="181">
        <f>ROUND((C12/$C$28)*100,1)</f>
        <v>2.7</v>
      </c>
    </row>
    <row r="13" spans="1:4" x14ac:dyDescent="0.2">
      <c r="A13">
        <v>1400</v>
      </c>
      <c r="B13" t="s">
        <v>705</v>
      </c>
      <c r="C13" s="178">
        <f>ROUND('DOE25'!L201+'DOE25'!L219+'DOE25'!L237+'DOE25'!L280+'DOE25'!L299+'DOE25'!L318,0)</f>
        <v>890761</v>
      </c>
      <c r="D13" s="181">
        <f>ROUND((C13/$C$28)*100,1)</f>
        <v>1.7</v>
      </c>
    </row>
    <row r="14" spans="1:4" x14ac:dyDescent="0.2">
      <c r="D14" s="181"/>
    </row>
    <row r="15" spans="1:4" x14ac:dyDescent="0.2">
      <c r="A15">
        <v>2100</v>
      </c>
      <c r="B15" t="s">
        <v>706</v>
      </c>
      <c r="C15" s="178">
        <f>ROUND('DOE25'!L203+'DOE25'!L221+'DOE25'!L239+'DOE25'!L282+'DOE25'!L301+'DOE25'!L320,0)</f>
        <v>2814729</v>
      </c>
      <c r="D15" s="181">
        <f t="shared" ref="D15:D27" si="0">ROUND((C15/$C$28)*100,1)</f>
        <v>5.4</v>
      </c>
    </row>
    <row r="16" spans="1:4" x14ac:dyDescent="0.2">
      <c r="A16">
        <v>2200</v>
      </c>
      <c r="B16" t="s">
        <v>707</v>
      </c>
      <c r="C16" s="178">
        <f>ROUND('DOE25'!L204+'DOE25'!L222+'DOE25'!L240+'DOE25'!L283+'DOE25'!L302+'DOE25'!L321,0)</f>
        <v>1347070</v>
      </c>
      <c r="D16" s="181">
        <f t="shared" si="0"/>
        <v>2.6</v>
      </c>
    </row>
    <row r="17" spans="1:4" x14ac:dyDescent="0.2">
      <c r="A17" s="182" t="s">
        <v>723</v>
      </c>
      <c r="B17" t="s">
        <v>738</v>
      </c>
      <c r="C17" s="178">
        <f>ROUND('DOE25'!L205+'DOE25'!L210+'DOE25'!L223+'DOE25'!L228+'DOE25'!L241+'DOE25'!L246+'DOE25'!L284+'DOE25'!L289+'DOE25'!L303+'DOE25'!L308+'DOE25'!L322+'DOE25'!L327,0)</f>
        <v>3328361</v>
      </c>
      <c r="D17" s="181">
        <f t="shared" si="0"/>
        <v>6.4</v>
      </c>
    </row>
    <row r="18" spans="1:4" x14ac:dyDescent="0.2">
      <c r="A18">
        <v>2400</v>
      </c>
      <c r="B18" t="s">
        <v>711</v>
      </c>
      <c r="C18" s="178">
        <f>ROUND('DOE25'!L206+'DOE25'!L224+'DOE25'!L242+'DOE25'!L285+'DOE25'!L304+'DOE25'!L323,0)</f>
        <v>3754622</v>
      </c>
      <c r="D18" s="181">
        <f t="shared" si="0"/>
        <v>7.3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4286738</v>
      </c>
      <c r="D20" s="181">
        <f t="shared" si="0"/>
        <v>8.3000000000000007</v>
      </c>
    </row>
    <row r="21" spans="1:4" x14ac:dyDescent="0.2">
      <c r="A21">
        <v>2700</v>
      </c>
      <c r="B21" t="s">
        <v>710</v>
      </c>
      <c r="C21" s="178">
        <f>ROUND('DOE25'!L209+'DOE25'!L227+'DOE25'!L245+'DOE25'!L288+'DOE25'!L307+'DOE25'!L326,0)</f>
        <v>2090813</v>
      </c>
      <c r="D21" s="181">
        <f t="shared" si="0"/>
        <v>4</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55993</v>
      </c>
      <c r="D25" s="181">
        <f t="shared" si="0"/>
        <v>0.1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1318898</v>
      </c>
      <c r="D27" s="181">
        <f t="shared" si="0"/>
        <v>2.6</v>
      </c>
    </row>
    <row r="28" spans="1:4" x14ac:dyDescent="0.2">
      <c r="B28" s="186" t="s">
        <v>719</v>
      </c>
      <c r="C28" s="179">
        <f>SUM(C10:C27)</f>
        <v>51653385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51653385</v>
      </c>
    </row>
    <row r="31" spans="1:4" x14ac:dyDescent="0.2">
      <c r="B31" s="33"/>
      <c r="C31" s="179"/>
    </row>
    <row r="32" spans="1:4" x14ac:dyDescent="0.2">
      <c r="A32">
        <v>5100</v>
      </c>
      <c r="B32" s="33" t="s">
        <v>726</v>
      </c>
      <c r="C32" s="179">
        <f>ROUND('DOE25'!L261+'DOE25'!L342,0)</f>
        <v>540000</v>
      </c>
    </row>
    <row r="34" spans="1:4" x14ac:dyDescent="0.2">
      <c r="A34" s="186" t="s">
        <v>94</v>
      </c>
      <c r="B34" s="187" t="s">
        <v>1801</v>
      </c>
      <c r="C34" s="180" t="s">
        <v>720</v>
      </c>
      <c r="D34" s="180" t="s">
        <v>721</v>
      </c>
    </row>
    <row r="35" spans="1:4" x14ac:dyDescent="0.2">
      <c r="A35">
        <v>1100</v>
      </c>
      <c r="B35" s="184" t="s">
        <v>727</v>
      </c>
      <c r="C35" s="178">
        <f>ROUND('DOE25'!F60+'DOE25'!G60+'DOE25'!H60+'DOE25'!I60+'DOE25'!J60,0)</f>
        <v>33836240</v>
      </c>
      <c r="D35" s="181">
        <f t="shared" ref="D35:D40" si="1">ROUND((C35/$C$41)*100,1)</f>
        <v>65.099999999999994</v>
      </c>
    </row>
    <row r="36" spans="1:4" x14ac:dyDescent="0.2">
      <c r="B36" s="184" t="s">
        <v>739</v>
      </c>
      <c r="C36" s="178">
        <f>SUM('DOE25'!F112:J112)-SUM('DOE25'!G97:G110)+('DOE25'!F175+'DOE25'!F176+'DOE25'!I175+'DOE25'!I176)-C35</f>
        <v>933524</v>
      </c>
      <c r="D36" s="181">
        <f t="shared" si="1"/>
        <v>1.8</v>
      </c>
    </row>
    <row r="37" spans="1:4" x14ac:dyDescent="0.2">
      <c r="A37" s="182" t="s">
        <v>835</v>
      </c>
      <c r="B37" s="184" t="s">
        <v>728</v>
      </c>
      <c r="C37" s="178">
        <f>ROUND('DOE25'!F117+'DOE25'!F118,0)</f>
        <v>12760325</v>
      </c>
      <c r="D37" s="181">
        <f t="shared" si="1"/>
        <v>24.6</v>
      </c>
    </row>
    <row r="38" spans="1:4" x14ac:dyDescent="0.2">
      <c r="A38" s="182" t="s">
        <v>734</v>
      </c>
      <c r="B38" s="184" t="s">
        <v>729</v>
      </c>
      <c r="C38" s="178">
        <f>ROUND(SUM('DOE25'!F140:J140)-SUM('DOE25'!F117:F119),0)</f>
        <v>311116</v>
      </c>
      <c r="D38" s="181">
        <f t="shared" si="1"/>
        <v>0.6</v>
      </c>
    </row>
    <row r="39" spans="1:4" x14ac:dyDescent="0.2">
      <c r="A39">
        <v>4000</v>
      </c>
      <c r="B39" s="184" t="s">
        <v>730</v>
      </c>
      <c r="C39" s="178">
        <f>ROUND('DOE25'!F170+'DOE25'!G170+'DOE25'!H170+'DOE25'!I170,0)</f>
        <v>4105358</v>
      </c>
      <c r="D39" s="181">
        <f t="shared" si="1"/>
        <v>7.9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51946563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36" sqref="R36"/>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Contoocook Valley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v>4</v>
      </c>
      <c r="B5" s="218">
        <v>10</v>
      </c>
      <c r="C5" s="387" t="s">
        <v>1806</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t="s">
        <v>1807</v>
      </c>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9</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20</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15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68</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f>IFERROR(SMALL($T$4:$T$75,ROWS($T$4:T5)),"")</f>
        <v>63</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87</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105</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114</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f>IFERROR(SMALL($I$4:$I$325,ROWS($I$4:I9)),"")</f>
        <v>236</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f>IFERROR(SMALL($I$4:$I$325,ROWS($I$4:I10)),"")</f>
        <v>237</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f>IFERROR(SMALL($I$4:$I$325,ROWS($I$4:I11)),"")</f>
        <v>288</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f>IF('School Level Expenditures'!$B$2=A12,'School Tables'!H12,"")</f>
        <v>9</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f>IF('School Level Expenditures'!$B$2='School Tables'!W18,'School Tables'!AD18,"")</f>
        <v>15</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f>IF('School Level Expenditures'!$B$2='School Tables'!L23,'School Tables'!S23,"")</f>
        <v>20</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f>IF('School Level Expenditures'!$B$2='School Tables'!L66,'School Tables'!S66,"")</f>
        <v>63</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f>IF('School Level Expenditures'!$B$2=A71,'School Tables'!H71,"")</f>
        <v>68</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f>IF('School Level Expenditures'!$B$2=A90,'School Tables'!H90,"")</f>
        <v>87</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f>IF('School Level Expenditures'!$B$2=A108,'School Tables'!H108,"")</f>
        <v>105</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f>IF('School Level Expenditures'!$B$2=A117,'School Tables'!H117,"")</f>
        <v>114</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f>IF('School Level Expenditures'!$B$2=A239,'School Tables'!H239,"")</f>
        <v>236</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f>IF('School Level Expenditures'!$B$2=A240,'School Tables'!H240,"")</f>
        <v>237</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f>IF('School Level Expenditures'!$B$2=A291,'School Tables'!H291,"")</f>
        <v>288</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2022-10-23T20:33:54Z</cp:lastPrinted>
  <dcterms:created xsi:type="dcterms:W3CDTF">1997-12-04T19:04:30Z</dcterms:created>
  <dcterms:modified xsi:type="dcterms:W3CDTF">2022-12-19T13:17:21Z</dcterms:modified>
</cp:coreProperties>
</file>