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7CCD919-E867-4593-A754-2F3B3F37244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H87" i="2" s="1"/>
  <c r="E87" i="2"/>
  <c r="F87" i="2"/>
  <c r="C89" i="2"/>
  <c r="H89" i="2" s="1"/>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H653" i="1"/>
  <c r="G654" i="1"/>
  <c r="H654" i="1"/>
  <c r="H655" i="1"/>
  <c r="H656" i="1"/>
  <c r="I170" i="1"/>
  <c r="H97" i="2" l="1"/>
  <c r="H35" i="2"/>
  <c r="H13" i="2"/>
  <c r="H9" i="2"/>
  <c r="D18" i="13"/>
  <c r="C18" i="13" s="1"/>
  <c r="H30" i="2"/>
  <c r="H28" i="2"/>
  <c r="H27" i="2"/>
  <c r="H25" i="2"/>
  <c r="H24" i="2"/>
  <c r="H17" i="2"/>
  <c r="H15" i="2"/>
  <c r="H58" i="2"/>
  <c r="H132" i="2"/>
  <c r="H36" i="2"/>
  <c r="H44" i="2"/>
  <c r="I409" i="1"/>
  <c r="H94" i="2"/>
  <c r="H76" i="2"/>
  <c r="H69" i="2"/>
  <c r="E121" i="2"/>
  <c r="E112" i="2"/>
  <c r="H102" i="2"/>
  <c r="H101" i="2"/>
  <c r="H100" i="2"/>
  <c r="H99" i="2"/>
  <c r="H98" i="2"/>
  <c r="H79" i="2"/>
  <c r="H73" i="2"/>
  <c r="H34" i="2"/>
  <c r="H26" i="2"/>
  <c r="H22" i="2"/>
  <c r="J652" i="1"/>
  <c r="H47" i="2"/>
  <c r="G409" i="1"/>
  <c r="H646" i="1" s="1"/>
  <c r="G62" i="2"/>
  <c r="E111" i="2"/>
  <c r="H61" i="2"/>
  <c r="C32" i="10"/>
  <c r="C125" i="2"/>
  <c r="H125" i="2" s="1"/>
  <c r="G663" i="1"/>
  <c r="C120" i="2"/>
  <c r="H120" i="2" s="1"/>
  <c r="C110" i="2"/>
  <c r="D15" i="13"/>
  <c r="C15" i="13" s="1"/>
  <c r="E13" i="13"/>
  <c r="C13" i="13" s="1"/>
  <c r="C119" i="2"/>
  <c r="C112" i="2"/>
  <c r="H112" i="2" s="1"/>
  <c r="C12" i="10"/>
  <c r="C121" i="2"/>
  <c r="H121" i="2" s="1"/>
  <c r="D6" i="13"/>
  <c r="C6" i="13" s="1"/>
  <c r="A40" i="12"/>
  <c r="C13" i="10"/>
  <c r="H48" i="2"/>
  <c r="H12" i="2"/>
  <c r="H23" i="2"/>
  <c r="H11" i="2"/>
  <c r="H8" i="2"/>
  <c r="G477" i="1"/>
  <c r="H624" i="1" s="1"/>
  <c r="J624" i="1" s="1"/>
  <c r="G662" i="1"/>
  <c r="D144" i="2"/>
  <c r="D78" i="2"/>
  <c r="H77"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H103" i="2" s="1"/>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16" i="2"/>
  <c r="H78" i="2"/>
  <c r="L572" i="1"/>
  <c r="H57" i="2"/>
  <c r="H85" i="2"/>
  <c r="H42" i="2"/>
  <c r="H50" i="2"/>
  <c r="H134" i="2"/>
  <c r="H123" i="2"/>
  <c r="H118" i="2"/>
  <c r="H110" i="2"/>
  <c r="E115" i="2"/>
  <c r="G24" i="14"/>
  <c r="H24" i="14" s="1"/>
  <c r="I24" i="14" s="1"/>
  <c r="H119" i="2"/>
  <c r="E128" i="2"/>
  <c r="F661" i="1"/>
  <c r="F665" i="1" s="1"/>
  <c r="F668" i="1" s="1"/>
  <c r="H109" i="2"/>
  <c r="H91" i="2"/>
  <c r="I663" i="1"/>
  <c r="C81" i="2"/>
  <c r="H81" i="2"/>
  <c r="F194" i="1"/>
  <c r="G628" i="1" s="1"/>
  <c r="J628" i="1" s="1"/>
  <c r="H18" i="2"/>
  <c r="B33" i="16"/>
  <c r="D128" i="2"/>
  <c r="H127" i="2"/>
  <c r="D51" i="2"/>
  <c r="H31" i="2"/>
  <c r="D63" i="2"/>
  <c r="H62"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C144" i="2"/>
  <c r="H141" i="2"/>
  <c r="H63" i="2"/>
  <c r="H104" i="2"/>
  <c r="H51" i="2"/>
  <c r="D145" i="2"/>
  <c r="H128" i="2"/>
  <c r="H673" i="1"/>
  <c r="C6" i="10" s="1"/>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<sst xmlns="http://schemas.openxmlformats.org/spreadsheetml/2006/main" count="6541" uniqueCount="1813">
  <si>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</si>
  <si>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</si>
  <si>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</si>
  <si>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</si>
  <si>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</si>
  <si>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</si>
  <si>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</si>
  <si>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</si>
  <si>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</si>
  <si>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</si>
  <si>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</si>
  <si>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</si>
  <si>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</si>
  <si>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</si>
  <si>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</si>
  <si>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</si>
  <si>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</si>
  <si>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</si>
  <si>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</si>
  <si>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</si>
  <si>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</si>
  <si>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</si>
  <si>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</si>
  <si>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</si>
  <si>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</si>
  <si>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</si>
  <si>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</si>
  <si>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</si>
  <si>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</si>
  <si>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</si>
  <si>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</si>
  <si>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</si>
  <si>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</si>
  <si>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</si>
  <si>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</si>
  <si>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</si>
  <si>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</si>
  <si>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</si>
  <si>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</si>
  <si>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</si>
  <si>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</si>
  <si>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</si>
  <si>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</si>
  <si>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</si>
  <si>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</si>
  <si>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</si>
  <si>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</si>
  <si>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</si>
  <si>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</si>
  <si>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</si>
  <si>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</si>
  <si>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</si>
  <si>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</si>
  <si>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</si>
  <si>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</si>
  <si>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</si>
  <si>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</si>
  <si>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</si>
  <si>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</si>
  <si>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</si>
  <si>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</si>
  <si>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</si>
  <si>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</si>
  <si>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</si>
  <si>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</si>
  <si>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</si>
  <si>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</si>
  <si>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</si>
  <si>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</si>
  <si>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</si>
  <si>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</si>
  <si>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</si>
  <si>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</si>
  <si>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</si>
  <si>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</si>
  <si>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</si>
  <si>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</si>
  <si>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</si>
  <si>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</si>
  <si>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</si>
  <si>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</si>
  <si>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</si>
  <si>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</si>
  <si>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</si>
  <si>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</si>
  <si>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</si>
  <si>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</si>
  <si>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</si>
  <si>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</si>
  <si>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</si>
  <si>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</si>
  <si>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</si>
  <si>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</si>
  <si>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</si>
  <si>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</si>
  <si>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</si>
  <si>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</si>
  <si>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</si>
  <si>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</si>
  <si>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</si>
  <si>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</si>
  <si>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</si>
  <si>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</si>
  <si>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</si>
  <si>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</si>
  <si>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</si>
  <si>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</si>
  <si>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</si>
  <si>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</si>
  <si>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</si>
  <si>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</si>
  <si>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</si>
  <si>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</si>
  <si>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</si>
  <si>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</si>
  <si>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</si>
  <si>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</si>
  <si>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</si>
  <si>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</si>
  <si>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</si>
  <si>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</si>
  <si>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</si>
  <si>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</si>
  <si>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</si>
  <si>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</si>
  <si>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</si>
  <si>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</si>
  <si>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</si>
  <si>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</si>
  <si>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</si>
  <si>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</si>
  <si>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</si>
  <si>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</si>
  <si>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</si>
  <si>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</si>
  <si>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</si>
  <si>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</si>
  <si>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</si>
  <si>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</si>
  <si>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</si>
  <si>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</si>
  <si>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</si>
  <si>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</si>
  <si>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</si>
  <si>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</si>
  <si>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</si>
  <si>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</si>
  <si>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</si>
  <si>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</si>
  <si>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</si>
  <si>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</si>
  <si>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</si>
  <si>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</si>
  <si>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</si>
  <si>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</si>
  <si>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</si>
  <si>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</si>
  <si>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</si>
  <si>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</si>
  <si>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</si>
  <si>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</si>
  <si>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</si>
  <si>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</si>
  <si>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</si>
  <si>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</si>
  <si>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</si>
  <si>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</si>
  <si>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</si>
  <si>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</si>
  <si>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</si>
  <si>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</si>
  <si>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</si>
  <si>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</si>
  <si>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</si>
  <si>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</si>
  <si>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</si>
  <si>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</si>
  <si>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</si>
  <si>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</si>
  <si>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</si>
  <si>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</si>
  <si>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</si>
  <si>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</si>
  <si>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</si>
  <si>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</si>
  <si>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</si>
  <si>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</si>
  <si>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</si>
  <si>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</si>
  <si>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</si>
  <si>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</si>
  <si>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</si>
  <si>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</si>
  <si>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</si>
  <si>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</si>
  <si>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</si>
  <si>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</si>
  <si>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</si>
  <si>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</si>
  <si>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</si>
  <si>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</si>
  <si>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</si>
  <si>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</si>
  <si>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</si>
  <si>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</si>
  <si>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</si>
  <si>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</si>
  <si>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</si>
  <si>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</si>
  <si>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</si>
  <si>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</si>
  <si>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</si>
  <si>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</si>
  <si>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</si>
  <si>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</si>
  <si>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</si>
  <si>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</si>
  <si>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</si>
  <si>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</si>
  <si>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</si>
  <si>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</si>
  <si>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</si>
  <si>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</si>
  <si>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</si>
  <si>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</si>
  <si>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</si>
  <si>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</si>
  <si>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</si>
  <si>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</si>
  <si>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</si>
  <si>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</si>
  <si>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</si>
  <si>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</si>
  <si>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</si>
  <si>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</si>
  <si>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</si>
  <si>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</si>
  <si>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</si>
  <si>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</si>
  <si>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</si>
  <si>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</si>
  <si>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</si>
  <si>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</si>
  <si>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</si>
  <si>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</si>
  <si>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</si>
  <si>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</si>
  <si>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</si>
  <si>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</si>
  <si>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</si>
  <si>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</si>
  <si>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</si>
  <si>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</si>
  <si>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</si>
  <si>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</si>
  <si>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</si>
  <si>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</si>
  <si>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</si>
  <si>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</si>
  <si>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</si>
  <si>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</si>
  <si>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</si>
  <si>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</si>
  <si>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</si>
  <si>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</si>
  <si>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</si>
  <si>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</si>
  <si>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</si>
  <si>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</si>
  <si>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</si>
  <si>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</si>
  <si>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</si>
  <si>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</si>
  <si>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</si>
  <si>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</si>
  <si>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</si>
  <si>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</si>
  <si>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</si>
  <si>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</si>
  <si>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</si>
  <si>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</si>
  <si>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</si>
  <si>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</si>
  <si>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</si>
  <si>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</si>
  <si>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</si>
  <si>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</si>
  <si>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</si>
  <si>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</si>
  <si>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</si>
  <si>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</si>
  <si>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</si>
  <si>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</si>
  <si>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</si>
  <si>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</si>
  <si>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</si>
  <si>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</si>
  <si>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</si>
  <si>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</si>
  <si>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</si>
  <si>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</si>
  <si>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</si>
  <si>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</si>
  <si>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</si>
  <si>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</si>
  <si>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</si>
  <si>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</si>
  <si>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</si>
  <si>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</si>
  <si>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</si>
  <si>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</si>
  <si>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</si>
  <si>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</si>
  <si>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</si>
  <si>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</si>
  <si>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</si>
  <si>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</si>
  <si>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</si>
  <si>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</si>
  <si>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</si>
  <si>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</si>
  <si>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</si>
  <si>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</si>
  <si>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</si>
  <si>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</si>
  <si>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</si>
  <si>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</si>
  <si>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</si>
  <si>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</si>
  <si>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</si>
  <si>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</si>
  <si>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</si>
  <si>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</si>
  <si>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</si>
  <si>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</si>
  <si>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</si>
  <si>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</si>
  <si>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</si>
  <si>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</si>
  <si>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</si>
  <si>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</si>
  <si>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</si>
  <si>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</si>
  <si>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</si>
  <si>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</si>
  <si>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</si>
  <si>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</si>
  <si>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</si>
  <si>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</si>
  <si>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</si>
  <si>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</si>
  <si>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</si>
  <si>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</si>
  <si>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</si>
  <si>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</si>
  <si>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</si>
  <si>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</si>
  <si>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</si>
  <si>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</si>
  <si>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</si>
  <si>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</si>
  <si>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</si>
  <si>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</si>
  <si>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</si>
  <si>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</si>
  <si>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</si>
  <si>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</si>
  <si>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</si>
  <si>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</si>
  <si>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</si>
  <si>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</si>
  <si>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</si>
  <si>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</si>
  <si>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</si>
  <si>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</si>
  <si>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</si>
  <si>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</si>
  <si>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</si>
  <si>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</si>
  <si>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</si>
  <si>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</si>
  <si>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</si>
  <si>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</si>
  <si>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</si>
  <si>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</si>
  <si>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</si>
  <si>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</si>
  <si>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</si>
  <si>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</si>
  <si>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</si>
  <si>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</si>
  <si>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</si>
  <si>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</si>
  <si>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</si>
  <si>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</si>
  <si>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</si>
  <si>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</si>
  <si>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</si>
  <si>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</si>
  <si>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</si>
  <si>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</si>
  <si>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</si>
  <si>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</si>
  <si>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</si>
  <si>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</si>
  <si>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</si>
  <si>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</si>
  <si>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</si>
  <si>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</si>
  <si>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</si>
  <si>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</si>
  <si>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</si>
  <si>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</si>
  <si>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</si>
  <si>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</si>
  <si>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</si>
  <si>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</si>
  <si>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</si>
  <si>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</si>
  <si>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</si>
  <si>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</si>
  <si>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</si>
  <si>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</si>
  <si>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</si>
  <si>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</si>
  <si>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</si>
  <si>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</si>
  <si>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</si>
  <si>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</si>
  <si>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</si>
  <si>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</si>
  <si>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</si>
  <si>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</si>
  <si>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</si>
  <si>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</si>
  <si>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</si>
  <si>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</si>
  <si>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</si>
  <si>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</si>
  <si>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</si>
  <si>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</si>
  <si>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</si>
  <si>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</si>
  <si>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</si>
  <si>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</si>
  <si>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</si>
  <si>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</si>
  <si>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</si>
  <si>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</si>
  <si>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</si>
  <si>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</si>
  <si>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</si>
  <si>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</si>
  <si>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</si>
  <si>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</si>
  <si>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</si>
  <si>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</si>
  <si>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</si>
  <si>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</si>
  <si>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</si>
  <si>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</si>
  <si>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</si>
  <si>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</si>
  <si>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</si>
  <si>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</si>
  <si>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</si>
  <si>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</si>
  <si>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</si>
  <si>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</si>
  <si>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</si>
  <si>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</si>
  <si>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</si>
  <si>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</si>
  <si>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</si>
  <si>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</si>
  <si>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</si>
  <si>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</si>
  <si>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</si>
  <si>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</si>
  <si>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</si>
  <si>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</si>
  <si>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</si>
  <si>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</si>
  <si>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</si>
  <si>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</si>
  <si>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</si>
  <si>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</si>
  <si>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</si>
  <si>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</si>
  <si>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</si>
  <si>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</si>
  <si>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</si>
  <si>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</si>
  <si>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</si>
  <si>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</si>
  <si>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</si>
  <si>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</si>
  <si>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</si>
  <si>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</si>
  <si>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</si>
  <si>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</si>
  <si>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</si>
  <si>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</si>
  <si>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</si>
  <si>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</si>
  <si>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</si>
  <si>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</si>
  <si>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</si>
  <si>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</si>
  <si>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</si>
  <si>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</si>
  <si>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</si>
  <si>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</si>
  <si>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</si>
  <si>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</si>
  <si>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</si>
  <si>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</si>
  <si>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</si>
  <si>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</si>
  <si>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</si>
  <si>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</si>
  <si>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</si>
  <si>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</si>
  <si>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</si>
  <si>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</si>
  <si>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</si>
  <si>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</si>
  <si>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</si>
  <si>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</si>
  <si>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</si>
  <si>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</si>
  <si>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</si>
  <si>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</si>
  <si>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</si>
  <si>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</si>
  <si>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</si>
  <si>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</si>
  <si>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</si>
  <si>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</si>
  <si>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</si>
  <si>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</si>
  <si>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</si>
  <si>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</si>
  <si>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</si>
  <si>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</si>
  <si>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</si>
  <si>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</si>
  <si>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</si>
  <si>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</si>
  <si>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</si>
  <si>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</si>
  <si>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</si>
  <si>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</si>
  <si>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</si>
  <si>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</si>
  <si>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</si>
  <si>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</si>
  <si>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</si>
  <si>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</si>
  <si>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</si>
  <si>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</si>
  <si>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</si>
  <si>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</si>
  <si>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</si>
  <si>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</si>
  <si>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</si>
  <si>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</si>
  <si>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</si>
  <si>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</si>
  <si>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</si>
  <si>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</si>
  <si>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</si>
  <si>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</si>
  <si>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</si>
  <si>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</si>
  <si>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</si>
  <si>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</si>
  <si>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</si>
  <si>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</si>
  <si>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</si>
  <si>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</si>
  <si>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</si>
  <si>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</si>
  <si>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</si>
  <si>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</si>
  <si>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</si>
  <si>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</si>
  <si>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</si>
  <si>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</si>
  <si>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</si>
  <si>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</si>
  <si>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</si>
  <si>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</si>
  <si>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</si>
  <si>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</si>
  <si>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</si>
  <si>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</si>
  <si>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</si>
  <si>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</si>
  <si>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</si>
  <si>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</si>
  <si>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</si>
  <si>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</si>
  <si>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</si>
  <si>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</si>
  <si>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</si>
  <si>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</si>
  <si>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</si>
  <si>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</si>
  <si>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</si>
  <si>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</si>
  <si>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</si>
  <si>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</si>
  <si>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</si>
  <si>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</si>
  <si>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</si>
  <si>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</si>
  <si>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</si>
  <si>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</si>
  <si>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</si>
  <si>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</si>
  <si>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</si>
  <si>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</si>
  <si>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</si>
  <si>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</si>
  <si>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</si>
  <si>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</si>
  <si>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</si>
  <si>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</si>
  <si>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</si>
  <si>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</si>
  <si>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</si>
  <si>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</si>
  <si>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</si>
  <si>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</si>
  <si>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</si>
  <si>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</si>
  <si>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</si>
  <si>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</si>
  <si>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</si>
  <si>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</si>
  <si>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</si>
  <si>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</si>
  <si>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</si>
  <si>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</si>
  <si>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</si>
  <si>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</si>
  <si>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</si>
  <si>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</si>
  <si>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</si>
  <si>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</si>
  <si>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</si>
  <si>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</si>
  <si>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</si>
  <si>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</si>
  <si>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</si>
  <si>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</si>
  <si>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</si>
  <si>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</si>
  <si>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</si>
  <si>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</si>
  <si>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</si>
  <si>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</si>
  <si>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</si>
  <si>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</si>
  <si>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</si>
  <si>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</si>
  <si>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</si>
  <si>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</si>
  <si>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</si>
  <si>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</si>
  <si>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</si>
  <si>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</si>
  <si>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</si>
  <si>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</si>
  <si>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</si>
  <si>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</si>
  <si>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</si>
  <si>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</si>
  <si>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</si>
  <si>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</si>
  <si>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</si>
  <si>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</si>
  <si>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</si>
  <si>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</si>
  <si>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</si>
  <si>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</si>
  <si>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</si>
  <si>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</si>
  <si>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</si>
  <si>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</si>
  <si>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</si>
  <si>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</si>
  <si>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</si>
  <si>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</si>
  <si>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</si>
  <si>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</si>
  <si>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</si>
  <si>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</si>
  <si>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</si>
  <si>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</si>
  <si>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</si>
  <si>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</si>
  <si>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</si>
  <si>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</si>
  <si>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</si>
  <si>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</si>
  <si>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</si>
  <si>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</si>
  <si>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</si>
  <si>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</si>
  <si>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</si>
  <si>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</si>
  <si>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</si>
  <si>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</si>
  <si>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</si>
  <si>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</si>
  <si>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</si>
  <si>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</si>
  <si>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</si>
  <si>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</si>
  <si>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</si>
  <si>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</si>
  <si>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</si>
  <si>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</si>
  <si>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</si>
  <si>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</si>
  <si>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</si>
  <si>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</si>
  <si>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</si>
  <si>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</si>
  <si>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</si>
  <si>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</si>
  <si>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</si>
  <si>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</si>
  <si>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</si>
  <si>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</si>
  <si>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</si>
  <si>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</si>
  <si>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</si>
  <si>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</si>
  <si>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</si>
  <si>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</si>
  <si>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</si>
  <si>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</si>
  <si>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</si>
  <si>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</si>
  <si>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</si>
  <si>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</si>
  <si>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</si>
  <si>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</si>
  <si>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</si>
  <si>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</si>
  <si>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</si>
  <si>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</si>
  <si>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</si>
  <si>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</si>
  <si>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</si>
  <si>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</si>
  <si>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</si>
  <si>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</si>
  <si>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</si>
  <si>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</si>
  <si>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</si>
  <si>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</si>
  <si>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</si>
  <si>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</si>
  <si>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</si>
  <si>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</si>
  <si>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</si>
  <si>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</si>
  <si>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</si>
  <si>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</si>
  <si>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</si>
  <si>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</si>
  <si>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</si>
  <si>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</si>
  <si>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</si>
  <si>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</si>
  <si>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</si>
  <si>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</si>
  <si>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</si>
  <si>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</si>
  <si>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</si>
  <si>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</si>
  <si>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</si>
  <si>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</si>
  <si>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</si>
  <si>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</si>
  <si>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</si>
  <si>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</si>
  <si>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</si>
  <si>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</si>
  <si>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</si>
  <si>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</si>
  <si>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</si>
  <si>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</si>
  <si>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</si>
  <si>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</si>
  <si>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</si>
  <si>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</si>
  <si>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</si>
  <si>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</si>
  <si>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</si>
  <si>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</si>
  <si>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</si>
  <si>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</si>
  <si>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</si>
  <si>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</si>
  <si>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</si>
  <si>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</si>
  <si>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</si>
  <si>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</si>
  <si>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</si>
  <si>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</si>
  <si>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</si>
  <si>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</si>
  <si>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</si>
  <si>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</si>
  <si>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</si>
  <si>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</si>
  <si>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</si>
  <si>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</si>
  <si>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</si>
  <si>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</si>
  <si>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</si>
  <si>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</si>
  <si>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</si>
  <si>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</si>
  <si>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</si>
  <si>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</si>
  <si>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</si>
  <si>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</si>
  <si>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</si>
  <si>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</si>
  <si>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</si>
  <si>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</si>
  <si>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</si>
  <si>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</si>
  <si>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</si>
  <si>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</si>
  <si>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</si>
  <si>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</si>
  <si>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</si>
  <si>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</si>
  <si>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</si>
  <si>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</si>
  <si>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</si>
  <si>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</si>
  <si>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</si>
  <si>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</si>
  <si>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</si>
  <si>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</si>
  <si>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</si>
  <si>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</si>
  <si>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</si>
  <si>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</si>
  <si>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</si>
  <si>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</si>
  <si>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</si>
  <si>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</si>
  <si>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</si>
  <si>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</si>
  <si>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</si>
  <si>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</si>
  <si>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</si>
  <si>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</si>
  <si>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</si>
  <si>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</si>
  <si>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</si>
  <si>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</si>
  <si>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</si>
  <si>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</si>
  <si>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</si>
  <si>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</si>
  <si>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</si>
  <si>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</si>
  <si>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</si>
  <si>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</si>
  <si>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</si>
  <si>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</si>
  <si>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</si>
  <si>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</si>
  <si>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</si>
  <si>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</si>
  <si>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</si>
  <si>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</si>
  <si>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</si>
  <si>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</si>
  <si>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</si>
  <si>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</si>
  <si>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</si>
  <si>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</si>
  <si>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</si>
  <si>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</si>
  <si>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</si>
  <si>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</si>
  <si>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</si>
  <si>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</si>
  <si>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</si>
  <si>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</si>
  <si>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</si>
  <si>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</si>
  <si>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</si>
  <si>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</si>
  <si>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</si>
  <si>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</si>
  <si>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</si>
  <si>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</si>
  <si>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</si>
  <si>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</si>
  <si>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</si>
  <si>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</si>
  <si>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</si>
  <si>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</si>
  <si>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</si>
  <si>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</si>
  <si>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</si>
  <si>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</si>
  <si>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</si>
  <si>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</si>
  <si>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</si>
  <si>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</si>
  <si>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</si>
  <si>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</si>
  <si>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</si>
  <si>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</si>
  <si>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</si>
  <si>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</si>
  <si>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</si>
  <si>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</si>
  <si>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</si>
  <si>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</si>
  <si>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</si>
  <si>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</si>
  <si>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</si>
  <si>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</si>
  <si>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</si>
  <si>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</si>
  <si>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</si>
  <si>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</si>
  <si>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</si>
  <si>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</si>
  <si>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</si>
  <si>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</si>
  <si>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</si>
  <si>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</si>
  <si>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</si>
  <si>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</si>
  <si>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</si>
  <si>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</si>
  <si>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</si>
  <si>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</si>
  <si>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</si>
  <si>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</si>
  <si>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</si>
  <si>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</si>
  <si>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</si>
  <si>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</si>
  <si>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</si>
  <si>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</si>
  <si>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</si>
  <si>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</si>
  <si>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</si>
  <si>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</si>
  <si>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</si>
  <si>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</si>
  <si>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</si>
  <si>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</si>
  <si>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</si>
  <si>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</si>
  <si>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</si>
  <si>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</si>
  <si>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</si>
  <si>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</si>
  <si>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</si>
  <si>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</si>
  <si>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</si>
  <si>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</si>
  <si>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</si>
  <si>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</si>
  <si>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</si>
  <si>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</si>
  <si>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</si>
  <si>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</si>
  <si>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</si>
  <si>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</si>
  <si>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</si>
  <si>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</si>
  <si>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</si>
  <si>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</si>
  <si>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</si>
  <si>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</si>
  <si>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</si>
  <si>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</si>
  <si>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</si>
  <si>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</si>
  <si>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</si>
  <si>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</si>
  <si>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</si>
  <si>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</si>
  <si>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</si>
  <si>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</si>
  <si>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</si>
  <si>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</si>
  <si>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</si>
  <si>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</si>
  <si>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</si>
  <si>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</si>
  <si>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</si>
  <si>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</si>
  <si>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</si>
  <si>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</si>
  <si>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</si>
  <si>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</si>
  <si>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</si>
  <si>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</si>
  <si>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</si>
  <si>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</si>
  <si>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</si>
  <si>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</si>
  <si>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</si>
  <si>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</si>
  <si>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</si>
  <si>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</si>
  <si>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</si>
  <si>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</si>
  <si>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</si>
  <si>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</si>
  <si>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</si>
  <si>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</si>
  <si>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</si>
  <si>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</si>
  <si>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</si>
  <si>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</si>
  <si>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</si>
  <si>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</si>
  <si>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</si>
  <si>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</si>
  <si>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</si>
  <si>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</si>
  <si>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</si>
  <si>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</si>
  <si>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</si>
  <si>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</si>
  <si>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</si>
  <si>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</si>
  <si>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</si>
  <si>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</si>
  <si>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</si>
  <si>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</si>
  <si>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</si>
  <si>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</si>
  <si>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</si>
  <si>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</si>
  <si>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</si>
  <si>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</si>
  <si>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</si>
  <si>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</si>
  <si>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</si>
  <si>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</si>
  <si>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</si>
  <si>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</si>
  <si>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</si>
  <si>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</si>
  <si>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</si>
  <si>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</si>
  <si>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</si>
  <si>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</si>
  <si>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</si>
  <si>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</si>
  <si>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</si>
  <si>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</si>
  <si>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</si>
  <si>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</si>
  <si>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</si>
  <si>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</si>
  <si>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</si>
  <si>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</si>
  <si>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</si>
  <si>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</si>
  <si>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</si>
  <si>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</si>
  <si>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</si>
  <si>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</si>
  <si>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</si>
  <si>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</si>
  <si>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</si>
  <si>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</si>
  <si>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</si>
  <si>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</si>
  <si>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</si>
  <si>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</si>
  <si>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</si>
  <si>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</si>
  <si>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</si>
  <si>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</si>
  <si>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</si>
  <si>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</si>
  <si>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</si>
  <si>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</si>
  <si>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</si>
  <si>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</si>
  <si>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</si>
  <si>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</si>
  <si>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</si>
  <si>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</si>
  <si>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</si>
  <si>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</si>
  <si>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</si>
  <si>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</si>
  <si>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</si>
  <si>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</si>
  <si>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</si>
  <si>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</si>
  <si>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</si>
  <si>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</si>
  <si>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</si>
  <si>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</si>
  <si>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</si>
  <si>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</si>
  <si>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</si>
  <si>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</si>
  <si>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</si>
  <si>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</si>
  <si>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</si>
  <si>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</si>
  <si>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</si>
  <si>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</si>
  <si>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</si>
  <si>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</si>
  <si>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</si>
  <si>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</si>
  <si>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</si>
  <si>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</si>
  <si>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</si>
  <si>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</si>
  <si>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</si>
  <si>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</si>
  <si>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</si>
  <si>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</si>
  <si>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</si>
  <si>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</si>
  <si>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</si>
  <si>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</si>
  <si>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</si>
  <si>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</si>
  <si>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</si>
  <si>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</si>
  <si>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</si>
  <si>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</si>
  <si>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</si>
  <si>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</si>
  <si>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</si>
  <si>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</si>
  <si>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</si>
  <si>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</si>
  <si>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</si>
  <si>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</si>
  <si>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</si>
  <si>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</si>
  <si>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</si>
  <si>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</si>
  <si>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</si>
  <si>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</si>
  <si>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</si>
  <si>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</si>
  <si>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</si>
  <si>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</si>
  <si>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</si>
  <si>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</si>
  <si>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</si>
  <si>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</si>
  <si>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</si>
  <si>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</si>
  <si>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</si>
  <si>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</si>
  <si>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</si>
  <si>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</si>
  <si>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</si>
  <si>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</si>
  <si>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</si>
  <si>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</si>
  <si>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</si>
  <si>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</si>
  <si>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</si>
  <si>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</si>
  <si>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</si>
  <si>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</si>
  <si>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</si>
  <si>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</si>
  <si>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</si>
  <si>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</si>
  <si>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</si>
  <si>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</si>
  <si>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</si>
  <si>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</si>
  <si>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</si>
  <si>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</si>
  <si>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</si>
  <si>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</si>
  <si>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</si>
  <si>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</si>
  <si>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</si>
  <si>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</si>
  <si>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</si>
  <si>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</si>
  <si>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</si>
  <si>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</si>
  <si>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</si>
  <si>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</si>
  <si>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</si>
  <si>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</si>
  <si>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</si>
  <si>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</si>
  <si>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</si>
  <si>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</si>
  <si>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</si>
  <si>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</si>
  <si>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</si>
  <si>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</si>
  <si>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</si>
  <si>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</si>
  <si>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</si>
  <si>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</si>
  <si>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</si>
  <si>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</si>
  <si>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</si>
  <si>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</si>
  <si>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</si>
  <si>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</si>
  <si>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</si>
  <si>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</si>
  <si>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</si>
  <si>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</si>
  <si>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</si>
  <si>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</si>
  <si>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</si>
  <si>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</si>
  <si>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</si>
  <si>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</si>
  <si>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</si>
  <si>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</si>
  <si>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</si>
  <si>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</si>
  <si>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</si>
  <si>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</si>
  <si>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</si>
  <si>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</si>
  <si>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</si>
  <si>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</si>
  <si>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</si>
  <si>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</si>
  <si>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</si>
  <si>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</si>
  <si>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</si>
  <si>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</si>
  <si>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</si>
  <si>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</si>
  <si>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</si>
  <si>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</si>
  <si>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</si>
  <si>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</si>
  <si>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</si>
  <si>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</si>
  <si>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</si>
  <si>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</si>
  <si>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</si>
  <si>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</si>
  <si>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</si>
  <si>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</si>
  <si>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</si>
  <si>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</si>
  <si>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</si>
  <si>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</si>
  <si>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</si>
  <si>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</si>
  <si>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</si>
  <si>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</si>
  <si>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</si>
  <si>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</si>
  <si>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</si>
  <si>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</si>
  <si>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</si>
  <si>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</si>
  <si>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</si>
  <si>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</si>
  <si>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</si>
  <si>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</si>
  <si>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</si>
  <si>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</si>
  <si>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</si>
  <si>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</si>
  <si>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</si>
  <si>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</si>
  <si>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</si>
  <si>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</si>
  <si>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</si>
  <si>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</si>
  <si>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</si>
  <si>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</si>
  <si>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</si>
  <si>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</si>
  <si>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</si>
  <si>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</si>
  <si>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</si>
  <si>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</si>
  <si>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</si>
  <si>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</si>
  <si>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</si>
  <si>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</si>
  <si>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</si>
  <si>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</si>
  <si>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</si>
  <si>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</si>
  <si>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</si>
  <si>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</si>
  <si>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</si>
  <si>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</si>
  <si>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</si>
  <si>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</si>
  <si>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</si>
  <si>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</si>
  <si>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</si>
  <si>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</si>
  <si>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</si>
  <si>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</si>
  <si>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</si>
  <si>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</si>
  <si>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</si>
  <si>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</si>
  <si>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</si>
  <si>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</si>
  <si>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</si>
  <si>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</si>
  <si>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</si>
  <si>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</si>
  <si>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</si>
  <si>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</si>
  <si>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</si>
  <si>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</si>
  <si>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</si>
  <si>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</si>
  <si>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</si>
  <si>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</si>
  <si>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</si>
  <si>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</si>
  <si>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</si>
  <si>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</si>
  <si>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</si>
  <si>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</si>
  <si>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</si>
  <si>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</si>
  <si>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</si>
  <si>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</si>
  <si>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</si>
  <si>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</si>
  <si>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</si>
  <si>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</si>
  <si>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</si>
  <si>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</si>
  <si>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</si>
  <si>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</si>
  <si>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</si>
  <si>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</si>
  <si>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</si>
  <si>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</si>
  <si>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</si>
  <si>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</si>
  <si>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</si>
  <si>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</si>
  <si>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</si>
  <si>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</si>
  <si>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</si>
  <si>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</si>
  <si>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</si>
  <si>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</si>
  <si>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</si>
  <si>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</si>
  <si>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</si>
  <si>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</si>
  <si>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</si>
  <si>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</si>
  <si>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</si>
  <si>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</si>
  <si>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</si>
  <si>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</si>
  <si>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</si>
  <si>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</si>
  <si>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</si>
  <si>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</si>
  <si>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</si>
  <si>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</si>
  <si>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</si>
  <si>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</si>
  <si>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</si>
  <si>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</si>
  <si>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</si>
  <si>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</si>
  <si>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</si>
  <si>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</si>
  <si>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</si>
  <si>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</si>
  <si>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</si>
  <si>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</si>
  <si>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</si>
  <si>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</si>
  <si>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</si>
  <si>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</si>
  <si>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</si>
  <si>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</si>
  <si>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</si>
  <si>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</si>
  <si>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</si>
  <si>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</si>
  <si>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</si>
  <si>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</si>
  <si>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</si>
  <si>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</si>
  <si>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</si>
  <si>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</si>
  <si>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</si>
  <si>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</si>
  <si>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</si>
  <si>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</si>
  <si>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</si>
  <si>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</si>
  <si>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</si>
  <si>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</si>
  <si>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</si>
  <si>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</si>
  <si>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</si>
  <si>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</si>
  <si>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</si>
  <si>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</si>
  <si>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</si>
  <si>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</si>
  <si>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</si>
  <si>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</si>
  <si>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</si>
  <si>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</si>
  <si>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</si>
  <si>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</si>
  <si>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</si>
  <si>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</si>
  <si>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</si>
  <si>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</si>
  <si>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</si>
  <si>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</si>
  <si>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</si>
  <si>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</si>
  <si>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</si>
  <si>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</si>
  <si>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</si>
  <si>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</si>
  <si>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</si>
  <si>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</si>
  <si>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</si>
  <si>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</si>
  <si>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</si>
  <si>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</si>
  <si>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</si>
  <si>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</si>
  <si>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</si>
  <si>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</si>
  <si>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</si>
  <si>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</si>
  <si>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</si>
  <si>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</si>
  <si>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</si>
  <si>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</si>
  <si>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</si>
  <si>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</si>
  <si>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</si>
  <si>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</si>
  <si>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</si>
  <si>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</si>
  <si>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</si>
  <si>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</si>
  <si>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</si>
  <si>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</si>
  <si>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</si>
  <si>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</si>
  <si>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</si>
  <si>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</si>
  <si>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</si>
  <si>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</si>
  <si>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</si>
  <si>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</si>
  <si>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</si>
  <si>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</si>
  <si>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</si>
  <si>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</si>
  <si>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</si>
  <si>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</si>
  <si>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</si>
  <si>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</si>
  <si>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</si>
  <si>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</si>
  <si>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</si>
  <si>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</si>
  <si>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</si>
  <si>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</si>
  <si>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</si>
  <si>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</si>
  <si>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</si>
  <si>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</si>
  <si>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</si>
  <si>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</si>
  <si>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</si>
  <si>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</si>
  <si>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</si>
  <si>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</si>
  <si>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</si>
  <si>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</si>
  <si>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</si>
  <si>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</si>
  <si>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</si>
  <si>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</si>
  <si>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</si>
  <si>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</si>
  <si>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</si>
  <si>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</si>
  <si>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</si>
  <si>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</si>
  <si>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</si>
  <si>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</si>
  <si>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</si>
  <si>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</si>
  <si>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</si>
  <si>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</si>
  <si>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</si>
  <si>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</si>
  <si>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</si>
  <si>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</si>
  <si>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</si>
  <si>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</si>
  <si>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</si>
  <si>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</si>
  <si>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</si>
  <si>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</si>
  <si>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</si>
  <si>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</si>
  <si>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</si>
  <si>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</si>
  <si>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</si>
  <si>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</si>
  <si>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</si>
  <si>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</si>
  <si>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</si>
  <si>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</si>
  <si>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</si>
  <si>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</si>
  <si>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</si>
  <si>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</si>
  <si>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</si>
  <si>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</si>
  <si>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</si>
  <si>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</si>
  <si>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</si>
  <si>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</si>
  <si>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</si>
  <si>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</si>
  <si>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</si>
  <si>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</si>
  <si>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</si>
  <si>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</si>
  <si>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</si>
  <si>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</si>
  <si>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</si>
  <si>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</si>
  <si>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</si>
  <si>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</si>
  <si>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</si>
  <si>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</si>
  <si>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</si>
  <si>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</si>
  <si>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</si>
  <si>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</si>
  <si>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</si>
  <si>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</si>
  <si>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</si>
  <si>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</si>
  <si>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</si>
  <si>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</si>
  <si>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</si>
  <si>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</si>
  <si>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</si>
  <si>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</si>
  <si>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</si>
  <si>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</si>
  <si>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</si>
  <si>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</si>
  <si>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</si>
  <si>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</si>
  <si>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</si>
  <si>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</si>
  <si>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</si>
  <si>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</si>
  <si>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</si>
  <si>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</si>
  <si>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</si>
  <si>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</si>
  <si>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</si>
  <si>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</si>
  <si>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</si>
  <si>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</si>
  <si>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</si>
  <si>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</si>
  <si>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</si>
  <si>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</si>
  <si>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</si>
  <si>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</si>
  <si>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</si>
  <si>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</si>
  <si>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</si>
  <si>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</si>
  <si>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</si>
  <si>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</si>
  <si>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</si>
  <si>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</si>
  <si>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</si>
  <si>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</si>
  <si>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</si>
  <si>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</si>
  <si>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</si>
  <si>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</si>
  <si>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</si>
  <si>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</si>
  <si>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</si>
  <si>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</si>
  <si>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</si>
  <si>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</si>
  <si>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</si>
  <si>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</si>
  <si>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</si>
  <si>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</si>
  <si>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</si>
  <si>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</si>
  <si>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</si>
  <si>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</si>
  <si>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</si>
  <si>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</si>
  <si>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</si>
  <si>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</si>
  <si>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</si>
  <si>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</si>
  <si>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</si>
  <si>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</si>
  <si>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</si>
  <si>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</si>
  <si>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</si>
  <si>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</si>
  <si>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</si>
  <si>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</si>
  <si>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</si>
  <si>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</si>
  <si>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</si>
  <si>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</si>
  <si>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</si>
  <si>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</si>
  <si>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</si>
  <si>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</si>
  <si>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</si>
  <si>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</si>
  <si>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</si>
  <si>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</si>
  <si>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</si>
  <si>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</si>
  <si>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</si>
  <si>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</si>
  <si>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</si>
  <si>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</si>
  <si>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</si>
  <si>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</si>
  <si>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</si>
  <si>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</si>
  <si>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</si>
  <si>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</si>
  <si>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</si>
  <si>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</si>
  <si>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</si>
  <si>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</si>
  <si>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</si>
  <si>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</si>
  <si>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</si>
  <si>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</si>
  <si>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</si>
  <si>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</si>
  <si>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</si>
  <si>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</si>
  <si>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</si>
  <si>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</si>
  <si>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</si>
  <si>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</si>
  <si>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</si>
  <si>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</si>
  <si>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</si>
  <si>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</si>
  <si>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</si>
  <si>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</si>
  <si>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</si>
  <si>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</si>
  <si>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</si>
  <si>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</si>
  <si>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</si>
  <si>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</si>
  <si>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</si>
  <si>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</si>
  <si>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</si>
  <si>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</si>
  <si>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</si>
  <si>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</si>
  <si>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</si>
  <si>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</si>
  <si>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</si>
  <si>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</si>
  <si>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</si>
  <si>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</si>
  <si>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</si>
  <si>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</si>
  <si>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</si>
  <si>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</si>
  <si>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</si>
  <si>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</si>
  <si>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</si>
  <si>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</si>
  <si>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</si>
  <si>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</si>
  <si>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</si>
  <si>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</si>
  <si>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</si>
  <si>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</si>
  <si>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</si>
  <si>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</si>
  <si>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</si>
  <si>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</si>
  <si>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</si>
  <si>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</si>
  <si>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</si>
  <si>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</si>
  <si>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</si>
  <si>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</si>
  <si>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</si>
  <si>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</si>
  <si>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</si>
  <si>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</si>
  <si>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</si>
  <si>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</si>
  <si>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</si>
  <si>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</si>
  <si>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</si>
  <si>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</si>
  <si>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</si>
  <si>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</si>
  <si>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</si>
  <si>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</si>
  <si>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</si>
  <si>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</si>
  <si>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</si>
  <si>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</si>
  <si>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</si>
  <si>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</si>
  <si>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</si>
  <si>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</si>
  <si>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</si>
  <si>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</si>
  <si>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</si>
  <si>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</si>
  <si>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</si>
  <si>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</si>
  <si>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</si>
  <si>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</si>
  <si>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</si>
  <si>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</si>
  <si>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</si>
  <si>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</si>
  <si>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</si>
  <si>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</si>
  <si>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</si>
  <si>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</si>
  <si>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</si>
  <si>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</si>
  <si>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</si>
  <si>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</si>
  <si>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</si>
  <si>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</si>
  <si>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</si>
  <si>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</si>
  <si>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</si>
  <si>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</si>
  <si>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</si>
  <si>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</si>
  <si>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</si>
  <si>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</si>
  <si>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</si>
  <si>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</si>
  <si>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</si>
  <si>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</si>
  <si>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</si>
  <si>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</si>
  <si>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</si>
  <si>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SURPLUS OVER INVENTORY </t>
  </si>
  <si>
    <t>PY Audited FB Adjustment</t>
  </si>
  <si>
    <t>PY ADJUSTMENT AUDIT</t>
  </si>
  <si>
    <t>12/03</t>
  </si>
  <si>
    <t>07/16</t>
  </si>
  <si>
    <t>07/17</t>
  </si>
  <si>
    <t>06/18</t>
  </si>
  <si>
    <t>11/24</t>
  </si>
  <si>
    <t>08/36</t>
  </si>
  <si>
    <t>08/37</t>
  </si>
  <si>
    <t>08/38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</si>
</sst>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989</v>
      </c>
      <c r="B2" s="126">
        <f>INDEX('School Tables'!$AH$3:$AH$208,MATCH('DOE25'!A2,'School Tables'!$AJ$3:$AJ$208,0))</f>
        <v>113</v>
      </c>
      <c r="C2" s="126">
        <f>INDEX('School Tables'!$AI$3:$AI$208,MATCH('DOE25'!A2,'School Tables'!$AJ$3:$AJ$208,0))</f>
        <v>113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5093423.88</v>
      </c>
      <c r="G9" s="18">
        <v>701204.37</v>
      </c>
      <c r="H9" s="18">
        <v>0</v>
      </c>
      <c r="I9" s="18">
        <v>0</v>
      </c>
      <c r="J9" s="67">
        <f>SUM(I440)</f>
        <v>2071765.0200000003</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5474529.7699999996</v>
      </c>
      <c r="G12" s="18">
        <v>710306.83</v>
      </c>
      <c r="H12" s="18">
        <v>3658388.07</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74073.850000000006</v>
      </c>
      <c r="G13" s="18">
        <v>357834.03</v>
      </c>
      <c r="H13" s="18">
        <v>689706.19</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69535.48</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51953.22</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10711562.979999999</v>
      </c>
      <c r="G19" s="41">
        <f>SUM(G9:G18)</f>
        <v>1821298.45</v>
      </c>
      <c r="H19" s="41">
        <f>SUM(H9:H18)</f>
        <v>4348094.26</v>
      </c>
      <c r="I19" s="41">
        <f>SUM(I9:I18)</f>
        <v>0</v>
      </c>
      <c r="J19" s="41">
        <f>SUM(J9:J18)</f>
        <v>2071765.0200000003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4354825.9000000004</v>
      </c>
      <c r="G22" s="18">
        <v>1723399.89</v>
      </c>
      <c r="H22" s="18">
        <v>3764875.4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326545.59000000003</v>
      </c>
      <c r="G24" s="18">
        <v>313.25</v>
      </c>
      <c r="H24" s="18">
        <v>61414.45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59894.35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1995240.02</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6736505.8599999994</v>
      </c>
      <c r="G32" s="41">
        <f>SUM(G22:G31)</f>
        <v>1723713.14</v>
      </c>
      <c r="H32" s="41">
        <f>SUM(H22:H31)</f>
        <v>3826289.85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51953.22</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223455</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45632.09</v>
      </c>
      <c r="H48" s="18"/>
      <c r="I48" s="18"/>
      <c r="J48" s="13">
        <f>SUM(I460)</f>
        <v>2071765.0200000003</v>
      </c>
      <c r="K48" s="24" t="s">
        <v>288</v>
      </c>
      <c r="L48" s="24" t="s">
        <v>288</v>
      </c>
      <c r="M48" s="8"/>
      <c r="N48" s="265"/>
    </row>
    <row r="49" spans="1:14" s="3" customFormat="1" ht="12.2" customHeight="1" x14ac:dyDescent="0.15">
      <c r="A49" s="1" t="s">
        <v>859</v>
      </c>
      <c r="B49" s="2" t="s">
        <v>289</v>
      </c>
      <c r="C49" s="6">
        <v>34</v>
      </c>
      <c r="D49" s="2"/>
      <c r="E49" s="6">
        <v>753</v>
      </c>
      <c r="F49" s="18"/>
      <c r="G49" s="18"/>
      <c r="H49" s="18">
        <v>521804.41</v>
      </c>
      <c r="I49" s="18"/>
      <c r="J49" s="13">
        <f>I455</f>
        <v>0</v>
      </c>
      <c r="K49" s="24"/>
      <c r="L49" s="24"/>
      <c r="M49" s="8"/>
      <c r="N49" s="265"/>
    </row>
    <row r="50" spans="1:14" s="3" customFormat="1" ht="12.2" customHeight="1" thickBot="1" x14ac:dyDescent="0.2">
      <c r="A50" s="29" t="s">
        <v>840</v>
      </c>
      <c r="B50" s="2" t="s">
        <v>289</v>
      </c>
      <c r="C50" s="71">
        <v>35</v>
      </c>
      <c r="D50" s="2" t="s">
        <v>653</v>
      </c>
      <c r="E50" s="6">
        <v>770</v>
      </c>
      <c r="F50" s="18">
        <v>3751602.12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3975057.12</v>
      </c>
      <c r="G51" s="41">
        <f>SUM(G35:G50)</f>
        <v>97585.31</v>
      </c>
      <c r="H51" s="41">
        <f>SUM(H35:H50)</f>
        <v>521804.41</v>
      </c>
      <c r="I51" s="41">
        <f>SUM(I35:I50)</f>
        <v>0</v>
      </c>
      <c r="J51" s="41">
        <f>SUM(J35:J50)</f>
        <v>2071765.0200000003</v>
      </c>
      <c r="K51" s="45" t="s">
        <v>288</v>
      </c>
      <c r="L51" s="45" t="s">
        <v>288</v>
      </c>
      <c r="N51" s="263"/>
    </row>
    <row r="52" spans="1:14" s="3" customFormat="1" ht="12.2" customHeight="1" thickTop="1" x14ac:dyDescent="0.15">
      <c r="A52" s="38" t="s">
        <v>455</v>
      </c>
      <c r="B52" s="39" t="s">
        <v>289</v>
      </c>
      <c r="C52" s="6">
        <v>37</v>
      </c>
      <c r="D52" s="39" t="s">
        <v>653</v>
      </c>
      <c r="E52" s="39"/>
      <c r="F52" s="41">
        <f>F51+F32</f>
        <v>10711562.98</v>
      </c>
      <c r="G52" s="41">
        <f>G51+G32</f>
        <v>1821298.45</v>
      </c>
      <c r="H52" s="41">
        <f>H51+H32</f>
        <v>4348094.26</v>
      </c>
      <c r="I52" s="41">
        <f>I51+I32</f>
        <v>0</v>
      </c>
      <c r="J52" s="41">
        <f>J51+J32</f>
        <v>2071765.0200000003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14605692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14605692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10696918.34</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10696918.34</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24132.720000000001</v>
      </c>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24132.720000000001</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5351.25</v>
      </c>
      <c r="G96" s="18"/>
      <c r="H96" s="18"/>
      <c r="I96" s="18"/>
      <c r="J96" s="18">
        <v>2594.13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10763.92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42862.31</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100</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182830.62</v>
      </c>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475808.44</v>
      </c>
      <c r="G110" s="18"/>
      <c r="H110" s="18">
        <v>415512.19</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706952.62</v>
      </c>
      <c r="G111" s="41">
        <f>SUM(G96:G110)</f>
        <v>10763.92</v>
      </c>
      <c r="H111" s="41">
        <f>SUM(H96:H110)</f>
        <v>415512.19</v>
      </c>
      <c r="I111" s="41">
        <f>SUM(I96:I110)</f>
        <v>0</v>
      </c>
      <c r="J111" s="41">
        <f>SUM(J96:J110)</f>
        <v>2594.13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26033695.68</v>
      </c>
      <c r="G112" s="41">
        <f>G60+G111</f>
        <v>10763.92</v>
      </c>
      <c r="H112" s="41">
        <f>H60+H79+H94+H111</f>
        <v>415512.19</v>
      </c>
      <c r="I112" s="41">
        <f>I60+I111</f>
        <v>0</v>
      </c>
      <c r="J112" s="41">
        <f>J60+J111</f>
        <v>2594.13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3391599.98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3270747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7980.84</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6670327.8200000003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1059831.67</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124156.73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15000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9444.67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1183988.3999999999</v>
      </c>
      <c r="G136" s="41">
        <f>SUM(G123:G135)</f>
        <v>9444.67</v>
      </c>
      <c r="H136" s="41">
        <f>SUM(H123:H135)</f>
        <v>15000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7854316.2200000007</v>
      </c>
      <c r="G140" s="41">
        <f>G121+SUM(G136:G137)</f>
        <v>9444.67</v>
      </c>
      <c r="H140" s="41">
        <f>H121+SUM(H136:H139)</f>
        <v>15000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592911.97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471263.15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230242.08</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930392.1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297358.53999999998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38076.089999999997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1313178.79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38076.089999999997</v>
      </c>
      <c r="G163" s="41">
        <f>SUM(G150:G162)</f>
        <v>930392.1</v>
      </c>
      <c r="H163" s="41">
        <f>SUM(H150:H162)</f>
        <v>2904954.5300000003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687.61</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38763.699999999997</v>
      </c>
      <c r="G170" s="41">
        <f>G147+G163+SUM(G164:G169)</f>
        <v>930392.1</v>
      </c>
      <c r="H170" s="41">
        <f>H147+H163+SUM(H164:H169)</f>
        <v>2904954.5300000003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331429</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331429</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43527</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60400.69</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103927.69</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103927.69</v>
      </c>
      <c r="G193" s="41">
        <f>G184+SUM(G189:G192)</f>
        <v>0</v>
      </c>
      <c r="H193" s="41">
        <f>+H184+SUM(H189:H192)</f>
        <v>0</v>
      </c>
      <c r="I193" s="41">
        <f>I178+I184+SUM(I189:I192)</f>
        <v>0</v>
      </c>
      <c r="J193" s="41">
        <f>J184</f>
        <v>331429</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34030703.289999999</v>
      </c>
      <c r="G194" s="47">
        <f>G112+G140+G170+G193</f>
        <v>950600.69</v>
      </c>
      <c r="H194" s="47">
        <f>H112+H140+H170+H193</f>
        <v>3335466.72</v>
      </c>
      <c r="I194" s="47">
        <f>I112+I140+I170+I193</f>
        <v>0</v>
      </c>
      <c r="J194" s="47">
        <f>J112+J140+J193</f>
        <v>334023.13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3069576.29</v>
      </c>
      <c r="G198" s="18">
        <v>2602199.1</v>
      </c>
      <c r="H198" s="18">
        <v>33158.800000000003</v>
      </c>
      <c r="I198" s="18">
        <v>159555.54999999999</v>
      </c>
      <c r="J198" s="18">
        <v>55634.54</v>
      </c>
      <c r="K198" s="18">
        <v>0</v>
      </c>
      <c r="L198" s="19">
        <f>SUM(F198:K198)</f>
        <v>5920124.2800000003</v>
      </c>
      <c r="M198" s="8"/>
      <c r="N198" s="265"/>
    </row>
    <row r="199" spans="1:14" s="3" customFormat="1" ht="12.2" customHeight="1" x14ac:dyDescent="0.15">
      <c r="A199" s="1" t="s">
        <v>439</v>
      </c>
      <c r="B199" s="2" t="s">
        <v>341</v>
      </c>
      <c r="C199" s="2" t="s">
        <v>291</v>
      </c>
      <c r="D199" s="2" t="s">
        <v>431</v>
      </c>
      <c r="E199" s="6">
        <v>1200</v>
      </c>
      <c r="F199" s="18">
        <v>1213400.6200000001</v>
      </c>
      <c r="G199" s="18">
        <v>788208.01</v>
      </c>
      <c r="H199" s="18">
        <v>251009.54</v>
      </c>
      <c r="I199" s="18">
        <v>2222.5300000000002</v>
      </c>
      <c r="J199" s="18">
        <v>3572.99</v>
      </c>
      <c r="K199" s="18">
        <v>0</v>
      </c>
      <c r="L199" s="19">
        <f>SUM(F199:K199)</f>
        <v>2258413.69</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43052.04</v>
      </c>
      <c r="G201" s="18">
        <v>13067.98</v>
      </c>
      <c r="H201" s="18">
        <v>3729.73</v>
      </c>
      <c r="I201" s="18">
        <v>91.71</v>
      </c>
      <c r="J201" s="18">
        <v>0</v>
      </c>
      <c r="K201" s="18">
        <v>0</v>
      </c>
      <c r="L201" s="19">
        <f>SUM(F201:K201)</f>
        <v>59941.460000000006</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539327.93000000005</v>
      </c>
      <c r="G203" s="18">
        <v>324387.13</v>
      </c>
      <c r="H203" s="18">
        <v>306596.44</v>
      </c>
      <c r="I203" s="18">
        <v>8183.41</v>
      </c>
      <c r="J203" s="18">
        <v>1963.94</v>
      </c>
      <c r="K203" s="18">
        <v>156</v>
      </c>
      <c r="L203" s="19">
        <f t="shared" ref="L203:L209" si="0">SUM(F203:K203)</f>
        <v>1180614.8499999999</v>
      </c>
      <c r="M203" s="8"/>
      <c r="N203" s="265"/>
    </row>
    <row r="204" spans="1:14" s="3" customFormat="1" ht="12.2" customHeight="1" x14ac:dyDescent="0.15">
      <c r="A204" s="1" t="s">
        <v>443</v>
      </c>
      <c r="B204" s="2" t="s">
        <v>341</v>
      </c>
      <c r="C204" s="2" t="s">
        <v>295</v>
      </c>
      <c r="D204" s="2" t="s">
        <v>431</v>
      </c>
      <c r="E204" s="6">
        <v>2200</v>
      </c>
      <c r="F204" s="18">
        <v>160293</v>
      </c>
      <c r="G204" s="18">
        <v>87532.61</v>
      </c>
      <c r="H204" s="18">
        <v>39265.01</v>
      </c>
      <c r="I204" s="18">
        <v>29254.9</v>
      </c>
      <c r="J204" s="18">
        <v>368.82</v>
      </c>
      <c r="K204" s="18">
        <v>0</v>
      </c>
      <c r="L204" s="19">
        <f t="shared" si="0"/>
        <v>316714.34000000003</v>
      </c>
      <c r="M204" s="8"/>
      <c r="N204" s="265"/>
    </row>
    <row r="205" spans="1:14" s="3" customFormat="1" ht="12.2" customHeight="1" x14ac:dyDescent="0.15">
      <c r="A205" s="1" t="s">
        <v>444</v>
      </c>
      <c r="B205" s="2" t="s">
        <v>341</v>
      </c>
      <c r="C205" s="2" t="s">
        <v>296</v>
      </c>
      <c r="D205" s="2" t="s">
        <v>431</v>
      </c>
      <c r="E205" s="6">
        <v>2300</v>
      </c>
      <c r="F205" s="18">
        <v>11437.51</v>
      </c>
      <c r="G205" s="18">
        <v>972.74</v>
      </c>
      <c r="H205" s="18">
        <v>656784.78</v>
      </c>
      <c r="I205" s="18">
        <v>788.3</v>
      </c>
      <c r="J205" s="18">
        <v>0</v>
      </c>
      <c r="K205" s="18">
        <v>2528.13</v>
      </c>
      <c r="L205" s="19">
        <f t="shared" si="0"/>
        <v>672511.46000000008</v>
      </c>
      <c r="M205" s="8"/>
      <c r="N205" s="265"/>
    </row>
    <row r="206" spans="1:14" s="3" customFormat="1" ht="12.2" customHeight="1" x14ac:dyDescent="0.15">
      <c r="A206" s="1" t="s">
        <v>445</v>
      </c>
      <c r="B206" s="2" t="s">
        <v>341</v>
      </c>
      <c r="C206" s="2" t="s">
        <v>297</v>
      </c>
      <c r="D206" s="2" t="s">
        <v>431</v>
      </c>
      <c r="E206" s="6">
        <v>2400</v>
      </c>
      <c r="F206" s="18">
        <v>386927.67</v>
      </c>
      <c r="G206" s="18">
        <v>197396.04</v>
      </c>
      <c r="H206" s="18">
        <v>64199.38</v>
      </c>
      <c r="I206" s="18">
        <v>3380.83</v>
      </c>
      <c r="J206" s="18">
        <v>101702.95</v>
      </c>
      <c r="K206" s="18">
        <v>2868</v>
      </c>
      <c r="L206" s="19">
        <f t="shared" si="0"/>
        <v>756474.86999999988</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395394.53</v>
      </c>
      <c r="G208" s="18">
        <v>198659.95</v>
      </c>
      <c r="H208" s="18">
        <v>456997.29</v>
      </c>
      <c r="I208" s="18">
        <v>265938.42</v>
      </c>
      <c r="J208" s="18">
        <v>32253.39</v>
      </c>
      <c r="K208" s="18">
        <v>0</v>
      </c>
      <c r="L208" s="19">
        <f t="shared" si="0"/>
        <v>1349243.5799999998</v>
      </c>
      <c r="M208" s="8"/>
      <c r="N208" s="265"/>
    </row>
    <row r="209" spans="1:14" s="3" customFormat="1" ht="12.2" customHeight="1" x14ac:dyDescent="0.15">
      <c r="A209" s="1" t="s">
        <v>448</v>
      </c>
      <c r="B209" s="2" t="s">
        <v>341</v>
      </c>
      <c r="C209" s="2" t="s">
        <v>300</v>
      </c>
      <c r="D209" s="2" t="s">
        <v>431</v>
      </c>
      <c r="E209" s="6">
        <v>2700</v>
      </c>
      <c r="F209" s="18">
        <v>153597.29999999999</v>
      </c>
      <c r="G209" s="18">
        <v>84012.43</v>
      </c>
      <c r="H209" s="18">
        <v>55046.9</v>
      </c>
      <c r="I209" s="18">
        <v>69445.09</v>
      </c>
      <c r="J209" s="18">
        <v>0</v>
      </c>
      <c r="K209" s="18">
        <v>0</v>
      </c>
      <c r="L209" s="19">
        <f t="shared" si="0"/>
        <v>362101.72</v>
      </c>
      <c r="M209" s="8"/>
      <c r="N209" s="265"/>
    </row>
    <row r="210" spans="1:14" s="3" customFormat="1" ht="12.2" customHeight="1" x14ac:dyDescent="0.15">
      <c r="A210" s="1" t="s">
        <v>449</v>
      </c>
      <c r="B210" s="2" t="s">
        <v>341</v>
      </c>
      <c r="C210" s="2" t="s">
        <v>343</v>
      </c>
      <c r="D210" s="2" t="s">
        <v>431</v>
      </c>
      <c r="E210" s="6">
        <v>2800</v>
      </c>
      <c r="F210" s="18">
        <v>0</v>
      </c>
      <c r="G210" s="18">
        <v>0</v>
      </c>
      <c r="H210" s="18">
        <v>1761.14</v>
      </c>
      <c r="I210" s="18">
        <v>0</v>
      </c>
      <c r="J210" s="18">
        <v>0</v>
      </c>
      <c r="K210" s="18">
        <v>0</v>
      </c>
      <c r="L210" s="19">
        <f>SUM(F210:K210)</f>
        <v>1761.14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5973006.8899999997</v>
      </c>
      <c r="G212" s="41">
        <f t="shared" si="1"/>
        <v>4296435.99</v>
      </c>
      <c r="H212" s="41">
        <f t="shared" si="1"/>
        <v>1868549.0099999998</v>
      </c>
      <c r="I212" s="41">
        <f t="shared" si="1"/>
        <v>538860.73999999987</v>
      </c>
      <c r="J212" s="41">
        <f t="shared" si="1"/>
        <v>195496.63</v>
      </c>
      <c r="K212" s="41">
        <f t="shared" si="1"/>
        <v>5552.13</v>
      </c>
      <c r="L212" s="41">
        <f t="shared" si="1"/>
        <v>12877901.390000002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1329503.8500000001</v>
      </c>
      <c r="G216" s="18">
        <v>970049.13</v>
      </c>
      <c r="H216" s="18">
        <v>10549.38</v>
      </c>
      <c r="I216" s="18">
        <v>66882.600000000006</v>
      </c>
      <c r="J216" s="18">
        <v>84664.31</v>
      </c>
      <c r="K216" s="18">
        <v>0</v>
      </c>
      <c r="L216" s="19">
        <f>SUM(F216:K216)</f>
        <v>2461649.27</v>
      </c>
      <c r="M216" s="8"/>
      <c r="N216" s="265"/>
    </row>
    <row r="217" spans="1:14" s="3" customFormat="1" ht="12.2" customHeight="1" x14ac:dyDescent="0.15">
      <c r="A217" s="1" t="s">
        <v>439</v>
      </c>
      <c r="B217" s="2" t="s">
        <v>346</v>
      </c>
      <c r="C217" s="2" t="s">
        <v>291</v>
      </c>
      <c r="D217" s="2" t="s">
        <v>431</v>
      </c>
      <c r="E217" s="6">
        <v>1200</v>
      </c>
      <c r="F217" s="18">
        <v>457550.27</v>
      </c>
      <c r="G217" s="18">
        <v>297207.33</v>
      </c>
      <c r="H217" s="18">
        <v>43837.27</v>
      </c>
      <c r="I217" s="18">
        <v>5634.75</v>
      </c>
      <c r="J217" s="18">
        <v>313.8</v>
      </c>
      <c r="K217" s="18">
        <v>0</v>
      </c>
      <c r="L217" s="19">
        <f>SUM(F217:K217)</f>
        <v>804543.42000000016</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71623</v>
      </c>
      <c r="G219" s="18">
        <v>15039.19</v>
      </c>
      <c r="H219" s="18">
        <v>15877.66</v>
      </c>
      <c r="I219" s="18">
        <v>7752.75</v>
      </c>
      <c r="J219" s="18">
        <v>2241.0300000000002</v>
      </c>
      <c r="K219" s="18">
        <v>1745.37</v>
      </c>
      <c r="L219" s="19">
        <f>SUM(F219:K219)</f>
        <v>114279</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213653.5</v>
      </c>
      <c r="G221" s="18">
        <v>118549.06</v>
      </c>
      <c r="H221" s="18">
        <v>6896.93</v>
      </c>
      <c r="I221" s="18">
        <v>6256.39</v>
      </c>
      <c r="J221" s="18">
        <v>551.98</v>
      </c>
      <c r="K221" s="18">
        <v>179</v>
      </c>
      <c r="L221" s="19">
        <f t="shared" ref="L221:L227" si="2">SUM(F221:K221)</f>
        <v>346086.86</v>
      </c>
      <c r="M221" s="8"/>
      <c r="N221" s="265"/>
    </row>
    <row r="222" spans="1:14" s="3" customFormat="1" ht="12.2" customHeight="1" x14ac:dyDescent="0.15">
      <c r="A222" s="1" t="s">
        <v>443</v>
      </c>
      <c r="B222" s="2" t="s">
        <v>346</v>
      </c>
      <c r="C222" s="2" t="s">
        <v>295</v>
      </c>
      <c r="D222" s="2" t="s">
        <v>431</v>
      </c>
      <c r="E222" s="6">
        <v>2200</v>
      </c>
      <c r="F222" s="18">
        <v>74473.539999999994</v>
      </c>
      <c r="G222" s="18">
        <v>47268.45</v>
      </c>
      <c r="H222" s="18">
        <v>17164.27</v>
      </c>
      <c r="I222" s="18">
        <v>8427.89</v>
      </c>
      <c r="J222" s="18">
        <v>0</v>
      </c>
      <c r="K222" s="18">
        <v>0</v>
      </c>
      <c r="L222" s="19">
        <f t="shared" si="2"/>
        <v>147334.14999999997</v>
      </c>
      <c r="M222" s="8"/>
      <c r="N222" s="265"/>
    </row>
    <row r="223" spans="1:14" s="3" customFormat="1" ht="12.2" customHeight="1" x14ac:dyDescent="0.15">
      <c r="A223" s="1" t="s">
        <v>444</v>
      </c>
      <c r="B223" s="2" t="s">
        <v>346</v>
      </c>
      <c r="C223" s="2" t="s">
        <v>296</v>
      </c>
      <c r="D223" s="2" t="s">
        <v>431</v>
      </c>
      <c r="E223" s="6">
        <v>2300</v>
      </c>
      <c r="F223" s="18">
        <v>3431.25</v>
      </c>
      <c r="G223" s="18">
        <v>291.82</v>
      </c>
      <c r="H223" s="18">
        <v>197035.43</v>
      </c>
      <c r="I223" s="18">
        <v>236.49</v>
      </c>
      <c r="J223" s="18">
        <v>0</v>
      </c>
      <c r="K223" s="18">
        <v>758.44</v>
      </c>
      <c r="L223" s="19">
        <f t="shared" si="2"/>
        <v>201753.43</v>
      </c>
      <c r="M223" s="8"/>
      <c r="N223" s="265"/>
    </row>
    <row r="224" spans="1:14" s="3" customFormat="1" ht="12.2" customHeight="1" x14ac:dyDescent="0.15">
      <c r="A224" s="1" t="s">
        <v>445</v>
      </c>
      <c r="B224" s="2" t="s">
        <v>346</v>
      </c>
      <c r="C224" s="2" t="s">
        <v>297</v>
      </c>
      <c r="D224" s="2" t="s">
        <v>431</v>
      </c>
      <c r="E224" s="6">
        <v>2400</v>
      </c>
      <c r="F224" s="18">
        <v>172110.58</v>
      </c>
      <c r="G224" s="18">
        <v>68946.8</v>
      </c>
      <c r="H224" s="18">
        <v>23187.11</v>
      </c>
      <c r="I224" s="18">
        <v>712.01</v>
      </c>
      <c r="J224" s="18">
        <v>0</v>
      </c>
      <c r="K224" s="18">
        <v>3134.55</v>
      </c>
      <c r="L224" s="19">
        <f t="shared" si="2"/>
        <v>268091.05</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242050.74</v>
      </c>
      <c r="G226" s="18">
        <v>116665.77</v>
      </c>
      <c r="H226" s="18">
        <v>285396.98</v>
      </c>
      <c r="I226" s="18">
        <v>202255.71</v>
      </c>
      <c r="J226" s="18">
        <v>29711.65</v>
      </c>
      <c r="K226" s="18">
        <v>0</v>
      </c>
      <c r="L226" s="19">
        <f t="shared" si="2"/>
        <v>876080.85</v>
      </c>
      <c r="M226" s="8"/>
      <c r="N226" s="265"/>
    </row>
    <row r="227" spans="1:14" s="3" customFormat="1" ht="12.2" customHeight="1" x14ac:dyDescent="0.15">
      <c r="A227" s="1" t="s">
        <v>448</v>
      </c>
      <c r="B227" s="2" t="s">
        <v>346</v>
      </c>
      <c r="C227" s="2" t="s">
        <v>300</v>
      </c>
      <c r="D227" s="2" t="s">
        <v>431</v>
      </c>
      <c r="E227" s="6">
        <v>2700</v>
      </c>
      <c r="F227" s="18">
        <v>54373.51</v>
      </c>
      <c r="G227" s="18">
        <v>25875.91</v>
      </c>
      <c r="H227" s="18">
        <v>11593.57</v>
      </c>
      <c r="I227" s="18">
        <v>20833.53</v>
      </c>
      <c r="J227" s="18">
        <v>0</v>
      </c>
      <c r="K227" s="18">
        <v>0</v>
      </c>
      <c r="L227" s="19">
        <f t="shared" si="2"/>
        <v>112676.51999999999</v>
      </c>
      <c r="M227" s="8"/>
      <c r="N227" s="265"/>
    </row>
    <row r="228" spans="1:14" s="3" customFormat="1" ht="12.2" customHeight="1" x14ac:dyDescent="0.15">
      <c r="A228" s="1" t="s">
        <v>449</v>
      </c>
      <c r="B228" s="2" t="s">
        <v>346</v>
      </c>
      <c r="C228" s="2" t="s">
        <v>343</v>
      </c>
      <c r="D228" s="2" t="s">
        <v>431</v>
      </c>
      <c r="E228" s="6">
        <v>2800</v>
      </c>
      <c r="F228" s="18">
        <v>0</v>
      </c>
      <c r="G228" s="18">
        <v>0</v>
      </c>
      <c r="H228" s="18">
        <v>528.34</v>
      </c>
      <c r="I228" s="18">
        <v>0</v>
      </c>
      <c r="J228" s="18">
        <v>0</v>
      </c>
      <c r="K228" s="18">
        <v>0</v>
      </c>
      <c r="L228" s="19">
        <f>SUM(F228:K228)</f>
        <v>528.34</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2618770.2400000002</v>
      </c>
      <c r="G230" s="41">
        <f>SUM(G216:G229)</f>
        <v>1659893.46</v>
      </c>
      <c r="H230" s="41">
        <f>SUM(H216:H229)</f>
        <v>612066.93999999994</v>
      </c>
      <c r="I230" s="41">
        <f>SUM(I216:I229)</f>
        <v>318992.12</v>
      </c>
      <c r="J230" s="41">
        <f>SUM(J216:J229)</f>
        <v>117482.76999999999</v>
      </c>
      <c r="K230" s="41">
        <f t="shared" si="3"/>
        <v>5817.3600000000006</v>
      </c>
      <c r="L230" s="41">
        <f t="shared" si="3"/>
        <v>5333022.8899999997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2782048.13</v>
      </c>
      <c r="G234" s="18">
        <v>2282532.02</v>
      </c>
      <c r="H234" s="18">
        <v>36970.589999999997</v>
      </c>
      <c r="I234" s="18">
        <v>93974.63</v>
      </c>
      <c r="J234" s="18">
        <v>148658.79</v>
      </c>
      <c r="K234" s="18">
        <v>0</v>
      </c>
      <c r="L234" s="19">
        <f>SUM(F234:K234)</f>
        <v>5344184.16</v>
      </c>
      <c r="M234" s="8"/>
      <c r="N234" s="265"/>
    </row>
    <row r="235" spans="1:14" s="3" customFormat="1" ht="12.2" customHeight="1" x14ac:dyDescent="0.15">
      <c r="A235" s="1" t="s">
        <v>439</v>
      </c>
      <c r="B235" s="2" t="s">
        <v>350</v>
      </c>
      <c r="C235" s="2" t="s">
        <v>291</v>
      </c>
      <c r="D235" s="2" t="s">
        <v>431</v>
      </c>
      <c r="E235" s="6">
        <v>1200</v>
      </c>
      <c r="F235" s="18">
        <v>579743.46</v>
      </c>
      <c r="G235" s="18">
        <v>326463.92</v>
      </c>
      <c r="H235" s="18">
        <v>170043.01</v>
      </c>
      <c r="I235" s="18">
        <v>5287.92</v>
      </c>
      <c r="J235" s="18">
        <v>2828.76</v>
      </c>
      <c r="K235" s="18">
        <v>0</v>
      </c>
      <c r="L235" s="19">
        <f>SUM(F235:K235)</f>
        <v>1084367.0699999998</v>
      </c>
      <c r="M235" s="8"/>
      <c r="N235" s="265"/>
    </row>
    <row r="236" spans="1:14" s="3" customFormat="1" ht="12.2" customHeight="1" x14ac:dyDescent="0.15">
      <c r="A236" s="1" t="s">
        <v>440</v>
      </c>
      <c r="B236" s="2" t="s">
        <v>350</v>
      </c>
      <c r="C236" s="2" t="s">
        <v>292</v>
      </c>
      <c r="D236" s="2" t="s">
        <v>431</v>
      </c>
      <c r="E236" s="6">
        <v>1300</v>
      </c>
      <c r="F236" s="18">
        <v>623605.29</v>
      </c>
      <c r="G236" s="18">
        <v>343954.94</v>
      </c>
      <c r="H236" s="18">
        <v>38685.85</v>
      </c>
      <c r="I236" s="18">
        <v>76880.13</v>
      </c>
      <c r="J236" s="18">
        <v>22914.18</v>
      </c>
      <c r="K236" s="18">
        <v>0</v>
      </c>
      <c r="L236" s="19">
        <f>SUM(F236:K236)</f>
        <v>1106040.3899999999</v>
      </c>
      <c r="M236" s="8"/>
      <c r="N236" s="265"/>
    </row>
    <row r="237" spans="1:14" s="3" customFormat="1" ht="12.2" customHeight="1" x14ac:dyDescent="0.15">
      <c r="A237" s="1" t="s">
        <v>441</v>
      </c>
      <c r="B237" s="2" t="s">
        <v>350</v>
      </c>
      <c r="C237" s="2" t="s">
        <v>293</v>
      </c>
      <c r="D237" s="2" t="s">
        <v>431</v>
      </c>
      <c r="E237" s="6">
        <v>1400</v>
      </c>
      <c r="F237" s="18">
        <v>235475</v>
      </c>
      <c r="G237" s="18">
        <v>53571.61</v>
      </c>
      <c r="H237" s="18">
        <v>107758.39999999999</v>
      </c>
      <c r="I237" s="18">
        <v>25347.82</v>
      </c>
      <c r="J237" s="18">
        <v>21100.44</v>
      </c>
      <c r="K237" s="18">
        <v>10939</v>
      </c>
      <c r="L237" s="19">
        <f>SUM(F237:K237)</f>
        <v>454192.27</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683544.38</v>
      </c>
      <c r="G239" s="18">
        <v>351396.54</v>
      </c>
      <c r="H239" s="18">
        <v>59810.85</v>
      </c>
      <c r="I239" s="18">
        <v>10408.39</v>
      </c>
      <c r="J239" s="18">
        <v>26.72</v>
      </c>
      <c r="K239" s="18">
        <v>988.5</v>
      </c>
      <c r="L239" s="19">
        <f t="shared" ref="L239:L245" si="4">SUM(F239:K239)</f>
        <v>1106175.3799999999</v>
      </c>
      <c r="M239" s="8"/>
      <c r="N239" s="265"/>
    </row>
    <row r="240" spans="1:14" s="3" customFormat="1" ht="12.2" customHeight="1" x14ac:dyDescent="0.15">
      <c r="A240" s="1" t="s">
        <v>443</v>
      </c>
      <c r="B240" s="2" t="s">
        <v>350</v>
      </c>
      <c r="C240" s="2" t="s">
        <v>295</v>
      </c>
      <c r="D240" s="2" t="s">
        <v>431</v>
      </c>
      <c r="E240" s="6">
        <v>2200</v>
      </c>
      <c r="F240" s="18">
        <v>77120.33</v>
      </c>
      <c r="G240" s="18">
        <v>53641.89</v>
      </c>
      <c r="H240" s="18">
        <v>28664.55</v>
      </c>
      <c r="I240" s="18">
        <v>3620.38</v>
      </c>
      <c r="J240" s="18">
        <v>0</v>
      </c>
      <c r="K240" s="18">
        <v>961</v>
      </c>
      <c r="L240" s="19">
        <f t="shared" si="4"/>
        <v>164008.15</v>
      </c>
      <c r="M240" s="8"/>
      <c r="N240" s="265"/>
    </row>
    <row r="241" spans="1:14" s="3" customFormat="1" ht="12.2" customHeight="1" x14ac:dyDescent="0.15">
      <c r="A241" s="1" t="s">
        <v>444</v>
      </c>
      <c r="B241" s="2" t="s">
        <v>350</v>
      </c>
      <c r="C241" s="2" t="s">
        <v>296</v>
      </c>
      <c r="D241" s="2" t="s">
        <v>431</v>
      </c>
      <c r="E241" s="6">
        <v>2300</v>
      </c>
      <c r="F241" s="18">
        <v>8006.26</v>
      </c>
      <c r="G241" s="18">
        <v>680.91</v>
      </c>
      <c r="H241" s="18">
        <v>459749.35</v>
      </c>
      <c r="I241" s="18">
        <v>551.80999999999995</v>
      </c>
      <c r="J241" s="18">
        <v>0</v>
      </c>
      <c r="K241" s="18">
        <v>1769.69</v>
      </c>
      <c r="L241" s="19">
        <f t="shared" si="4"/>
        <v>470758.01999999996</v>
      </c>
      <c r="M241" s="8"/>
      <c r="N241" s="265"/>
    </row>
    <row r="242" spans="1:14" s="3" customFormat="1" ht="12.2" customHeight="1" x14ac:dyDescent="0.15">
      <c r="A242" s="1" t="s">
        <v>445</v>
      </c>
      <c r="B242" s="2" t="s">
        <v>350</v>
      </c>
      <c r="C242" s="2" t="s">
        <v>297</v>
      </c>
      <c r="D242" s="2" t="s">
        <v>431</v>
      </c>
      <c r="E242" s="6">
        <v>2400</v>
      </c>
      <c r="F242" s="18">
        <v>509461.72</v>
      </c>
      <c r="G242" s="18">
        <v>274459.19</v>
      </c>
      <c r="H242" s="18">
        <v>65036.6</v>
      </c>
      <c r="I242" s="18">
        <v>24374.06</v>
      </c>
      <c r="J242" s="18">
        <v>3199.68</v>
      </c>
      <c r="K242" s="18">
        <v>24920.46</v>
      </c>
      <c r="L242" s="19">
        <f t="shared" si="4"/>
        <v>901451.71</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514892.43</v>
      </c>
      <c r="G244" s="18">
        <v>255306.71</v>
      </c>
      <c r="H244" s="18">
        <v>589658.65</v>
      </c>
      <c r="I244" s="18">
        <v>412604.57</v>
      </c>
      <c r="J244" s="18">
        <v>27625.67</v>
      </c>
      <c r="K244" s="18">
        <v>0</v>
      </c>
      <c r="L244" s="19">
        <f t="shared" si="4"/>
        <v>1800088.03</v>
      </c>
      <c r="M244" s="8"/>
      <c r="N244" s="265"/>
    </row>
    <row r="245" spans="1:14" s="3" customFormat="1" ht="12.2" customHeight="1" x14ac:dyDescent="0.15">
      <c r="A245" s="1" t="s">
        <v>448</v>
      </c>
      <c r="B245" s="2" t="s">
        <v>350</v>
      </c>
      <c r="C245" s="2" t="s">
        <v>300</v>
      </c>
      <c r="D245" s="2" t="s">
        <v>431</v>
      </c>
      <c r="E245" s="6">
        <v>2700</v>
      </c>
      <c r="F245" s="18">
        <v>151765.29</v>
      </c>
      <c r="G245" s="18">
        <v>64080.02</v>
      </c>
      <c r="H245" s="18">
        <v>28911.9</v>
      </c>
      <c r="I245" s="18">
        <v>48611.56</v>
      </c>
      <c r="J245" s="18">
        <v>0</v>
      </c>
      <c r="K245" s="18">
        <v>0</v>
      </c>
      <c r="L245" s="19">
        <f t="shared" si="4"/>
        <v>293368.77</v>
      </c>
      <c r="M245" s="8"/>
      <c r="N245" s="265"/>
    </row>
    <row r="246" spans="1:14" s="3" customFormat="1" ht="12.2" customHeight="1" x14ac:dyDescent="0.15">
      <c r="A246" s="1" t="s">
        <v>449</v>
      </c>
      <c r="B246" s="2" t="s">
        <v>350</v>
      </c>
      <c r="C246" s="2" t="s">
        <v>343</v>
      </c>
      <c r="D246" s="2" t="s">
        <v>431</v>
      </c>
      <c r="E246" s="6">
        <v>2800</v>
      </c>
      <c r="F246" s="18">
        <v>0</v>
      </c>
      <c r="G246" s="18">
        <v>0</v>
      </c>
      <c r="H246" s="18">
        <v>1232.79</v>
      </c>
      <c r="I246" s="18">
        <v>0</v>
      </c>
      <c r="J246" s="18">
        <v>0</v>
      </c>
      <c r="K246" s="18">
        <v>0</v>
      </c>
      <c r="L246" s="19">
        <f>SUM(F246:K246)</f>
        <v>1232.79</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6165662.2899999991</v>
      </c>
      <c r="G248" s="41">
        <f t="shared" si="5"/>
        <v>4006087.75</v>
      </c>
      <c r="H248" s="41">
        <f t="shared" si="5"/>
        <v>1586522.5399999998</v>
      </c>
      <c r="I248" s="41">
        <f t="shared" si="5"/>
        <v>701661.27</v>
      </c>
      <c r="J248" s="41">
        <f t="shared" si="5"/>
        <v>226354.24</v>
      </c>
      <c r="K248" s="41">
        <f t="shared" si="5"/>
        <v>39578.65</v>
      </c>
      <c r="L248" s="41">
        <f t="shared" si="5"/>
        <v>12725866.739999996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14757439.419999998</v>
      </c>
      <c r="G258" s="41">
        <f t="shared" si="8"/>
        <v>9962417.1999999993</v>
      </c>
      <c r="H258" s="41">
        <f t="shared" si="8"/>
        <v>4067138.4899999993</v>
      </c>
      <c r="I258" s="41">
        <f t="shared" si="8"/>
        <v>1559514.13</v>
      </c>
      <c r="J258" s="41">
        <f t="shared" si="8"/>
        <v>539333.64</v>
      </c>
      <c r="K258" s="41">
        <f t="shared" si="8"/>
        <v>50948.14</v>
      </c>
      <c r="L258" s="41">
        <f t="shared" si="8"/>
        <v>30936791.019999996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2090000</v>
      </c>
      <c r="L261" s="19">
        <f>SUM(F261:K261)</f>
        <v>2090000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363069.26</v>
      </c>
      <c r="L262" s="19">
        <f>SUM(F262:K262)</f>
        <v>363069.26</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331429</v>
      </c>
      <c r="L267" s="19">
        <f t="shared" si="9"/>
        <v>331429</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2784498.26</v>
      </c>
      <c r="L271" s="41">
        <f t="shared" si="9"/>
        <v>2784498.26</v>
      </c>
      <c r="M271" s="8"/>
      <c r="N271" s="265"/>
    </row>
    <row r="272" spans="1:14" s="34" customFormat="1" ht="12.2" customHeight="1" thickTop="1" x14ac:dyDescent="0.2">
      <c r="A272" s="43" t="s">
        <v>464</v>
      </c>
      <c r="B272" s="40">
        <v>10</v>
      </c>
      <c r="C272" s="40">
        <v>18</v>
      </c>
      <c r="D272" s="39" t="s">
        <v>431</v>
      </c>
      <c r="E272" s="40"/>
      <c r="F272" s="42">
        <f t="shared" ref="F272:L272" si="11">F258+F271</f>
        <v>14757439.419999998</v>
      </c>
      <c r="G272" s="42">
        <f t="shared" si="11"/>
        <v>9962417.1999999993</v>
      </c>
      <c r="H272" s="42">
        <f t="shared" si="11"/>
        <v>4067138.4899999993</v>
      </c>
      <c r="I272" s="42">
        <f t="shared" si="11"/>
        <v>1559514.13</v>
      </c>
      <c r="J272" s="42">
        <f t="shared" si="11"/>
        <v>539333.64</v>
      </c>
      <c r="K272" s="42">
        <f t="shared" si="11"/>
        <v>2835446.4</v>
      </c>
      <c r="L272" s="42">
        <f t="shared" si="11"/>
        <v>33721289.279999994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540056.26</v>
      </c>
      <c r="G277" s="18">
        <v>213046.7</v>
      </c>
      <c r="H277" s="18">
        <v>827.5</v>
      </c>
      <c r="I277" s="18">
        <v>31876.67</v>
      </c>
      <c r="J277" s="18">
        <v>45688.01</v>
      </c>
      <c r="K277" s="18">
        <v>0</v>
      </c>
      <c r="L277" s="19">
        <f>SUM(F277:K277)</f>
        <v>831495.14</v>
      </c>
      <c r="M277" s="8"/>
      <c r="N277" s="265"/>
    </row>
    <row r="278" spans="1:14" s="3" customFormat="1" ht="12.2" customHeight="1" x14ac:dyDescent="0.15">
      <c r="A278" s="1" t="s">
        <v>439</v>
      </c>
      <c r="B278" s="2" t="s">
        <v>357</v>
      </c>
      <c r="C278" s="2" t="s">
        <v>291</v>
      </c>
      <c r="D278" s="2" t="s">
        <v>431</v>
      </c>
      <c r="E278" s="6">
        <v>1200</v>
      </c>
      <c r="F278" s="18">
        <v>15994.43</v>
      </c>
      <c r="G278" s="18">
        <v>4585.58</v>
      </c>
      <c r="H278" s="18">
        <v>52782.29</v>
      </c>
      <c r="I278" s="18">
        <v>14791.16</v>
      </c>
      <c r="J278" s="18">
        <v>16092.12</v>
      </c>
      <c r="K278" s="18">
        <v>0</v>
      </c>
      <c r="L278" s="19">
        <f>SUM(F278:K278)</f>
        <v>104245.58</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211706.15</v>
      </c>
      <c r="G280" s="18">
        <v>39062.54</v>
      </c>
      <c r="H280" s="18">
        <v>3000</v>
      </c>
      <c r="I280" s="18">
        <v>36366.29</v>
      </c>
      <c r="J280" s="18">
        <v>8820</v>
      </c>
      <c r="K280" s="18">
        <v>0</v>
      </c>
      <c r="L280" s="19">
        <f>SUM(F280:K280)</f>
        <v>298954.98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9360</v>
      </c>
      <c r="G282" s="18">
        <v>2004.38</v>
      </c>
      <c r="H282" s="18">
        <v>184851.01</v>
      </c>
      <c r="I282" s="18"/>
      <c r="J282" s="18">
        <v>15960</v>
      </c>
      <c r="K282" s="18"/>
      <c r="L282" s="19">
        <f t="shared" ref="L282:L288" si="12">SUM(F282:K282)</f>
        <v>212175.39</v>
      </c>
      <c r="M282" s="8"/>
      <c r="N282" s="265"/>
    </row>
    <row r="283" spans="1:14" s="3" customFormat="1" ht="12.2" customHeight="1" x14ac:dyDescent="0.15">
      <c r="A283" s="1" t="s">
        <v>443</v>
      </c>
      <c r="B283" s="2" t="s">
        <v>357</v>
      </c>
      <c r="C283" s="2" t="s">
        <v>295</v>
      </c>
      <c r="D283" s="2" t="s">
        <v>431</v>
      </c>
      <c r="E283" s="6">
        <v>2200</v>
      </c>
      <c r="F283" s="18">
        <v>80804.98</v>
      </c>
      <c r="G283" s="18">
        <v>80387.59</v>
      </c>
      <c r="H283" s="18">
        <v>42660.24</v>
      </c>
      <c r="I283" s="18">
        <v>4651.2</v>
      </c>
      <c r="J283" s="18">
        <v>3071.79</v>
      </c>
      <c r="K283" s="18">
        <v>0</v>
      </c>
      <c r="L283" s="19">
        <f t="shared" si="12"/>
        <v>211575.80000000002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v>4553.63</v>
      </c>
      <c r="I286" s="18"/>
      <c r="J286" s="18"/>
      <c r="K286" s="18"/>
      <c r="L286" s="19">
        <f t="shared" si="12"/>
        <v>4553.63</v>
      </c>
      <c r="M286" s="8"/>
      <c r="N286" s="265"/>
    </row>
    <row r="287" spans="1:14" s="3" customFormat="1" ht="12.2" customHeight="1" x14ac:dyDescent="0.15">
      <c r="A287" s="1" t="s">
        <v>447</v>
      </c>
      <c r="B287" s="2" t="s">
        <v>357</v>
      </c>
      <c r="C287" s="2" t="s">
        <v>299</v>
      </c>
      <c r="D287" s="2" t="s">
        <v>431</v>
      </c>
      <c r="E287" s="6">
        <v>2600</v>
      </c>
      <c r="F287" s="18"/>
      <c r="G287" s="18"/>
      <c r="H287" s="18">
        <v>10997.79</v>
      </c>
      <c r="I287" s="18">
        <v>12184.72</v>
      </c>
      <c r="J287" s="18">
        <v>18420.490000000002</v>
      </c>
      <c r="K287" s="18"/>
      <c r="L287" s="19">
        <f t="shared" si="12"/>
        <v>41603</v>
      </c>
      <c r="M287" s="8"/>
      <c r="N287" s="265"/>
    </row>
    <row r="288" spans="1:14" s="3" customFormat="1" ht="12.2" customHeight="1" x14ac:dyDescent="0.15">
      <c r="A288" s="1" t="s">
        <v>448</v>
      </c>
      <c r="B288" s="2" t="s">
        <v>357</v>
      </c>
      <c r="C288" s="2" t="s">
        <v>300</v>
      </c>
      <c r="D288" s="2" t="s">
        <v>431</v>
      </c>
      <c r="E288" s="6">
        <v>2700</v>
      </c>
      <c r="F288" s="18">
        <v>1301.07</v>
      </c>
      <c r="G288" s="18">
        <v>1199.58</v>
      </c>
      <c r="H288" s="18">
        <v>9732.43</v>
      </c>
      <c r="I288" s="18"/>
      <c r="J288" s="18"/>
      <c r="K288" s="18"/>
      <c r="L288" s="19">
        <f t="shared" si="12"/>
        <v>12233.08</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859222.89</v>
      </c>
      <c r="G291" s="42">
        <f t="shared" si="13"/>
        <v>340286.37000000005</v>
      </c>
      <c r="H291" s="42">
        <f t="shared" si="13"/>
        <v>309404.89</v>
      </c>
      <c r="I291" s="42">
        <f t="shared" si="13"/>
        <v>99870.04</v>
      </c>
      <c r="J291" s="42">
        <f t="shared" si="13"/>
        <v>108052.41</v>
      </c>
      <c r="K291" s="42">
        <f t="shared" si="13"/>
        <v>0</v>
      </c>
      <c r="L291" s="41">
        <f t="shared" si="13"/>
        <v>1716836.5999999999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20178.82</v>
      </c>
      <c r="G296" s="18">
        <v>7228.89</v>
      </c>
      <c r="H296" s="18">
        <v>248.25</v>
      </c>
      <c r="I296" s="18">
        <v>473.32</v>
      </c>
      <c r="J296" s="18">
        <v>486.93</v>
      </c>
      <c r="K296" s="18"/>
      <c r="L296" s="19">
        <f>SUM(F296:K296)</f>
        <v>28616.21</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7140</v>
      </c>
      <c r="G302" s="18">
        <v>15377.38</v>
      </c>
      <c r="H302" s="18">
        <v>77569.8</v>
      </c>
      <c r="I302" s="18">
        <v>1395.36</v>
      </c>
      <c r="J302" s="18">
        <v>921.54</v>
      </c>
      <c r="K302" s="18"/>
      <c r="L302" s="19">
        <f t="shared" si="14"/>
        <v>102404.07999999999</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v>1366.09</v>
      </c>
      <c r="I305" s="18"/>
      <c r="J305" s="18"/>
      <c r="K305" s="18"/>
      <c r="L305" s="19">
        <f t="shared" si="14"/>
        <v>1366.09</v>
      </c>
      <c r="M305" s="8"/>
      <c r="N305" s="265"/>
    </row>
    <row r="306" spans="1:14" s="3" customFormat="1" ht="12.2" customHeight="1" x14ac:dyDescent="0.15">
      <c r="A306" s="1" t="s">
        <v>447</v>
      </c>
      <c r="B306" s="2" t="s">
        <v>358</v>
      </c>
      <c r="C306" s="2" t="s">
        <v>299</v>
      </c>
      <c r="D306" s="2" t="s">
        <v>431</v>
      </c>
      <c r="E306" s="6">
        <v>2600</v>
      </c>
      <c r="F306" s="18"/>
      <c r="G306" s="18"/>
      <c r="H306" s="18">
        <v>3299.34</v>
      </c>
      <c r="I306" s="18">
        <v>3655.41</v>
      </c>
      <c r="J306" s="18">
        <v>5526.15</v>
      </c>
      <c r="K306" s="18"/>
      <c r="L306" s="19">
        <f t="shared" si="14"/>
        <v>12480.9</v>
      </c>
      <c r="M306" s="8"/>
      <c r="N306" s="265"/>
    </row>
    <row r="307" spans="1:14" s="3" customFormat="1" ht="12.2" customHeight="1" x14ac:dyDescent="0.15">
      <c r="A307" s="1" t="s">
        <v>448</v>
      </c>
      <c r="B307" s="2" t="s">
        <v>358</v>
      </c>
      <c r="C307" s="2" t="s">
        <v>300</v>
      </c>
      <c r="D307" s="2" t="s">
        <v>431</v>
      </c>
      <c r="E307" s="6">
        <v>2700</v>
      </c>
      <c r="F307" s="18">
        <v>390.32</v>
      </c>
      <c r="G307" s="18">
        <v>359.87</v>
      </c>
      <c r="H307" s="18">
        <v>2919.73</v>
      </c>
      <c r="I307" s="18"/>
      <c r="J307" s="18"/>
      <c r="K307" s="18"/>
      <c r="L307" s="19">
        <f t="shared" si="14"/>
        <v>3669.92</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27709.14</v>
      </c>
      <c r="G310" s="42">
        <f t="shared" si="15"/>
        <v>22966.14</v>
      </c>
      <c r="H310" s="42">
        <f t="shared" si="15"/>
        <v>85403.209999999992</v>
      </c>
      <c r="I310" s="42">
        <f t="shared" si="15"/>
        <v>5524.09</v>
      </c>
      <c r="J310" s="42">
        <f t="shared" si="15"/>
        <v>6934.62</v>
      </c>
      <c r="K310" s="42">
        <f t="shared" si="15"/>
        <v>0</v>
      </c>
      <c r="L310" s="41">
        <f t="shared" si="15"/>
        <v>148537.19999999998</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169092.74</v>
      </c>
      <c r="G315" s="18">
        <v>69397.320000000007</v>
      </c>
      <c r="H315" s="18">
        <v>4933.25</v>
      </c>
      <c r="I315" s="18">
        <v>4543.88</v>
      </c>
      <c r="J315" s="18">
        <v>4674.54</v>
      </c>
      <c r="K315" s="18"/>
      <c r="L315" s="19">
        <f>SUM(F315:K315)</f>
        <v>252641.73</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14560.56</v>
      </c>
      <c r="G317" s="18">
        <v>7554.53</v>
      </c>
      <c r="H317" s="18">
        <v>20960</v>
      </c>
      <c r="I317" s="18">
        <v>21192.39</v>
      </c>
      <c r="J317" s="18">
        <v>179282.89</v>
      </c>
      <c r="K317" s="18">
        <v>0</v>
      </c>
      <c r="L317" s="19">
        <f>SUM(F317:K317)</f>
        <v>243550.37</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47433</v>
      </c>
      <c r="G320" s="18">
        <v>20762.689999999999</v>
      </c>
      <c r="H320" s="18"/>
      <c r="I320" s="18"/>
      <c r="J320" s="18"/>
      <c r="K320" s="18"/>
      <c r="L320" s="19">
        <f t="shared" ref="L320:L326" si="16">SUM(F320:K320)</f>
        <v>68195.69</v>
      </c>
      <c r="M320" s="8"/>
      <c r="N320" s="265"/>
    </row>
    <row r="321" spans="1:14" s="3" customFormat="1" ht="12.2" customHeight="1" x14ac:dyDescent="0.15">
      <c r="A321" s="1" t="s">
        <v>443</v>
      </c>
      <c r="B321" s="2" t="s">
        <v>359</v>
      </c>
      <c r="C321" s="2" t="s">
        <v>295</v>
      </c>
      <c r="D321" s="2" t="s">
        <v>431</v>
      </c>
      <c r="E321" s="6">
        <v>2200</v>
      </c>
      <c r="F321" s="18">
        <v>3550</v>
      </c>
      <c r="G321" s="18">
        <v>28914.77</v>
      </c>
      <c r="H321" s="18">
        <v>49368.88</v>
      </c>
      <c r="I321" s="18">
        <v>3255.84</v>
      </c>
      <c r="J321" s="18">
        <v>2150.2399999999998</v>
      </c>
      <c r="K321" s="18">
        <v>5617.15</v>
      </c>
      <c r="L321" s="19">
        <f t="shared" si="16"/>
        <v>92856.87999999999</v>
      </c>
      <c r="M321" s="8"/>
      <c r="N321" s="265"/>
    </row>
    <row r="322" spans="1:14" s="3" customFormat="1" ht="12.2" customHeight="1" x14ac:dyDescent="0.15">
      <c r="A322" s="1" t="s">
        <v>444</v>
      </c>
      <c r="B322" s="2" t="s">
        <v>359</v>
      </c>
      <c r="C322" s="2" t="s">
        <v>296</v>
      </c>
      <c r="D322" s="2" t="s">
        <v>431</v>
      </c>
      <c r="E322" s="6">
        <v>2300</v>
      </c>
      <c r="F322" s="18"/>
      <c r="G322" s="18"/>
      <c r="H322" s="18">
        <v>2516.4899999999998</v>
      </c>
      <c r="I322" s="18">
        <v>13387.2</v>
      </c>
      <c r="J322" s="18">
        <v>11365.94</v>
      </c>
      <c r="K322" s="18"/>
      <c r="L322" s="19">
        <f t="shared" si="16"/>
        <v>27269.63</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v>3187.54</v>
      </c>
      <c r="I324" s="18"/>
      <c r="J324" s="18"/>
      <c r="K324" s="18"/>
      <c r="L324" s="19">
        <f t="shared" si="16"/>
        <v>3187.54</v>
      </c>
      <c r="M324" s="8"/>
      <c r="N324" s="265"/>
    </row>
    <row r="325" spans="1:14" s="3" customFormat="1" ht="12.2" customHeight="1" x14ac:dyDescent="0.15">
      <c r="A325" s="1" t="s">
        <v>447</v>
      </c>
      <c r="B325" s="2" t="s">
        <v>359</v>
      </c>
      <c r="C325" s="2" t="s">
        <v>299</v>
      </c>
      <c r="D325" s="2" t="s">
        <v>431</v>
      </c>
      <c r="E325" s="6">
        <v>2600</v>
      </c>
      <c r="F325" s="18"/>
      <c r="G325" s="18"/>
      <c r="H325" s="18">
        <v>7698.45</v>
      </c>
      <c r="I325" s="18">
        <v>8529.2999999999993</v>
      </c>
      <c r="J325" s="18">
        <v>12894.35</v>
      </c>
      <c r="K325" s="18"/>
      <c r="L325" s="19">
        <f t="shared" si="16"/>
        <v>29122.1</v>
      </c>
      <c r="M325" s="8"/>
      <c r="N325" s="265"/>
    </row>
    <row r="326" spans="1:14" s="3" customFormat="1" ht="12.2" customHeight="1" x14ac:dyDescent="0.15">
      <c r="A326" s="1" t="s">
        <v>448</v>
      </c>
      <c r="B326" s="2" t="s">
        <v>359</v>
      </c>
      <c r="C326" s="2" t="s">
        <v>300</v>
      </c>
      <c r="D326" s="2" t="s">
        <v>431</v>
      </c>
      <c r="E326" s="6">
        <v>2700</v>
      </c>
      <c r="F326" s="18">
        <v>910.75</v>
      </c>
      <c r="G326" s="18">
        <v>839.71</v>
      </c>
      <c r="H326" s="18">
        <v>6812.69</v>
      </c>
      <c r="I326" s="18"/>
      <c r="J326" s="18"/>
      <c r="K326" s="18"/>
      <c r="L326" s="19">
        <f t="shared" si="16"/>
        <v>8563.15</v>
      </c>
      <c r="M326" s="8"/>
      <c r="N326" s="265"/>
    </row>
    <row r="327" spans="1:14" s="3" customFormat="1" ht="12.2" customHeight="1" x14ac:dyDescent="0.15">
      <c r="A327" s="1" t="s">
        <v>449</v>
      </c>
      <c r="B327" s="2" t="s">
        <v>359</v>
      </c>
      <c r="C327" s="2" t="s">
        <v>343</v>
      </c>
      <c r="D327" s="2" t="s">
        <v>431</v>
      </c>
      <c r="E327" s="6">
        <v>2800</v>
      </c>
      <c r="F327" s="18"/>
      <c r="G327" s="18"/>
      <c r="H327" s="18">
        <v>4000</v>
      </c>
      <c r="I327" s="18"/>
      <c r="J327" s="18"/>
      <c r="K327" s="18"/>
      <c r="L327" s="19">
        <f>SUM(F327:K327)</f>
        <v>4000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235547.05</v>
      </c>
      <c r="G329" s="42">
        <f t="shared" si="17"/>
        <v>127469.02000000002</v>
      </c>
      <c r="H329" s="42">
        <f t="shared" si="17"/>
        <v>99477.3</v>
      </c>
      <c r="I329" s="42">
        <f t="shared" si="17"/>
        <v>50908.61</v>
      </c>
      <c r="J329" s="42">
        <f t="shared" si="17"/>
        <v>210367.96000000002</v>
      </c>
      <c r="K329" s="42">
        <f t="shared" si="17"/>
        <v>5617.15</v>
      </c>
      <c r="L329" s="41">
        <f t="shared" si="17"/>
        <v>729387.09000000008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566989.1</v>
      </c>
      <c r="I337" s="18"/>
      <c r="J337" s="18"/>
      <c r="K337" s="18"/>
      <c r="L337" s="19">
        <f t="shared" si="18"/>
        <v>566989.1</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566989.1</v>
      </c>
      <c r="I338" s="41">
        <f t="shared" si="19"/>
        <v>0</v>
      </c>
      <c r="J338" s="41">
        <f t="shared" si="19"/>
        <v>0</v>
      </c>
      <c r="K338" s="41">
        <f t="shared" si="19"/>
        <v>0</v>
      </c>
      <c r="L338" s="41">
        <f t="shared" si="18"/>
        <v>566989.1</v>
      </c>
      <c r="M338" s="8"/>
      <c r="N338" s="265"/>
    </row>
    <row r="339" spans="1:43" s="3" customFormat="1" ht="12.2" customHeight="1" thickTop="1" x14ac:dyDescent="0.15">
      <c r="A339" s="38" t="s">
        <v>468</v>
      </c>
      <c r="B339" s="40">
        <v>14</v>
      </c>
      <c r="C339" s="40">
        <v>7</v>
      </c>
      <c r="D339" s="39" t="s">
        <v>431</v>
      </c>
      <c r="E339" s="40"/>
      <c r="F339" s="41">
        <f t="shared" ref="F339:L339" si="20">F291+F310+F329+F338</f>
        <v>1122479.08</v>
      </c>
      <c r="G339" s="41">
        <f t="shared" si="20"/>
        <v>490721.53000000009</v>
      </c>
      <c r="H339" s="41">
        <f t="shared" si="20"/>
        <v>1061274.5</v>
      </c>
      <c r="I339" s="41">
        <f t="shared" si="20"/>
        <v>156302.74</v>
      </c>
      <c r="J339" s="41">
        <f t="shared" si="20"/>
        <v>325354.99</v>
      </c>
      <c r="K339" s="41">
        <f t="shared" si="20"/>
        <v>5617.15</v>
      </c>
      <c r="L339" s="41">
        <f t="shared" si="20"/>
        <v>3161749.9899999998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1122479.08</v>
      </c>
      <c r="G353" s="41">
        <f>G339</f>
        <v>490721.53000000009</v>
      </c>
      <c r="H353" s="41">
        <f>H339</f>
        <v>1061274.5</v>
      </c>
      <c r="I353" s="41">
        <f>I339</f>
        <v>156302.74</v>
      </c>
      <c r="J353" s="41">
        <f>J339</f>
        <v>325354.99</v>
      </c>
      <c r="K353" s="47">
        <f>K339+K352</f>
        <v>5617.15</v>
      </c>
      <c r="L353" s="41">
        <f>L339+L352</f>
        <v>3161749.9899999998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1607.03</v>
      </c>
      <c r="G359" s="18">
        <v>336.55</v>
      </c>
      <c r="H359" s="18">
        <v>350154</v>
      </c>
      <c r="I359" s="18">
        <v>207.07</v>
      </c>
      <c r="J359" s="18"/>
      <c r="K359" s="18"/>
      <c r="L359" s="13">
        <f>SUM(F359:K359)</f>
        <v>352304.65</v>
      </c>
      <c r="M359" s="8"/>
      <c r="N359" s="265"/>
    </row>
    <row r="360" spans="1:22" s="3" customFormat="1" ht="12.2" customHeight="1" x14ac:dyDescent="0.15">
      <c r="A360" s="1" t="s">
        <v>542</v>
      </c>
      <c r="B360" s="2" t="s">
        <v>366</v>
      </c>
      <c r="C360" s="6">
        <v>2</v>
      </c>
      <c r="D360" s="2" t="s">
        <v>431</v>
      </c>
      <c r="E360" s="6"/>
      <c r="F360" s="18">
        <v>619.80999999999995</v>
      </c>
      <c r="G360" s="18">
        <v>129.80000000000001</v>
      </c>
      <c r="H360" s="18">
        <v>135048.82</v>
      </c>
      <c r="I360" s="18">
        <v>79.86</v>
      </c>
      <c r="J360" s="18"/>
      <c r="K360" s="18"/>
      <c r="L360" s="19">
        <f>SUM(F360:K360)</f>
        <v>135878.28999999998</v>
      </c>
      <c r="M360" s="8"/>
      <c r="N360" s="265"/>
    </row>
    <row r="361" spans="1:22" s="3" customFormat="1" ht="12.2" customHeight="1" x14ac:dyDescent="0.15">
      <c r="A361" s="3" t="s">
        <v>543</v>
      </c>
      <c r="B361" s="2" t="s">
        <v>366</v>
      </c>
      <c r="C361" s="6">
        <v>3</v>
      </c>
      <c r="D361" s="2" t="s">
        <v>431</v>
      </c>
      <c r="E361" s="6"/>
      <c r="F361" s="18">
        <v>1901.16</v>
      </c>
      <c r="G361" s="18">
        <v>398.15</v>
      </c>
      <c r="H361" s="18">
        <v>414241.38</v>
      </c>
      <c r="I361" s="18">
        <v>244.97</v>
      </c>
      <c r="J361" s="18"/>
      <c r="K361" s="18"/>
      <c r="L361" s="19">
        <f>SUM(F361:K361)</f>
        <v>416785.66</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4128</v>
      </c>
      <c r="G363" s="47">
        <f t="shared" si="22"/>
        <v>864.5</v>
      </c>
      <c r="H363" s="47">
        <f t="shared" si="22"/>
        <v>899444.2</v>
      </c>
      <c r="I363" s="47">
        <f t="shared" si="22"/>
        <v>531.9</v>
      </c>
      <c r="J363" s="47">
        <f t="shared" si="22"/>
        <v>0</v>
      </c>
      <c r="K363" s="47">
        <f t="shared" si="22"/>
        <v>0</v>
      </c>
      <c r="L363" s="47">
        <f t="shared" si="22"/>
        <v>904968.6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207.07</v>
      </c>
      <c r="G369" s="63">
        <v>79.86</v>
      </c>
      <c r="H369" s="63">
        <v>244.97</v>
      </c>
      <c r="I369" s="56">
        <f>SUM(F369:H369)</f>
        <v>531.9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207.07</v>
      </c>
      <c r="G370" s="47">
        <f>SUM(G368:G369)</f>
        <v>79.86</v>
      </c>
      <c r="H370" s="47">
        <f>SUM(H368:H369)</f>
        <v>244.97</v>
      </c>
      <c r="I370" s="47">
        <f>SUM(I368:I369)</f>
        <v>531.9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v>250000</v>
      </c>
      <c r="H391" s="18">
        <v>324.33999999999997</v>
      </c>
      <c r="I391" s="18"/>
      <c r="J391" s="24" t="s">
        <v>288</v>
      </c>
      <c r="K391" s="24" t="s">
        <v>288</v>
      </c>
      <c r="L391" s="56">
        <f t="shared" si="25"/>
        <v>250324.34</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250000</v>
      </c>
      <c r="H394" s="139">
        <f>SUM(H388:H393)</f>
        <v>324.33999999999997</v>
      </c>
      <c r="I394" s="65">
        <f>SUM(I388:I393)</f>
        <v>0</v>
      </c>
      <c r="J394" s="45" t="s">
        <v>288</v>
      </c>
      <c r="K394" s="45" t="s">
        <v>288</v>
      </c>
      <c r="L394" s="47">
        <f>SUM(L388:L393)</f>
        <v>250324.34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81429</v>
      </c>
      <c r="H397" s="18">
        <v>1678.22</v>
      </c>
      <c r="I397" s="18"/>
      <c r="J397" s="24" t="s">
        <v>288</v>
      </c>
      <c r="K397" s="24" t="s">
        <v>288</v>
      </c>
      <c r="L397" s="56">
        <f t="shared" si="26"/>
        <v>83107.22</v>
      </c>
      <c r="M397" s="8"/>
      <c r="N397" s="265"/>
    </row>
    <row r="398" spans="1:14" s="3" customFormat="1" ht="12.2" customHeight="1" x14ac:dyDescent="0.15">
      <c r="A398" s="79" t="s">
        <v>515</v>
      </c>
      <c r="B398" s="2" t="s">
        <v>381</v>
      </c>
      <c r="C398" s="6">
        <v>10</v>
      </c>
      <c r="D398" s="2" t="s">
        <v>432</v>
      </c>
      <c r="E398" s="6"/>
      <c r="F398" s="18"/>
      <c r="G398" s="18">
        <v>0</v>
      </c>
      <c r="H398" s="18">
        <v>511.1</v>
      </c>
      <c r="I398" s="18"/>
      <c r="J398" s="24" t="s">
        <v>288</v>
      </c>
      <c r="K398" s="24" t="s">
        <v>288</v>
      </c>
      <c r="L398" s="56">
        <f t="shared" si="26"/>
        <v>511.1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39.18</v>
      </c>
      <c r="I401" s="18"/>
      <c r="J401" s="24" t="s">
        <v>288</v>
      </c>
      <c r="K401" s="24" t="s">
        <v>288</v>
      </c>
      <c r="L401" s="56">
        <f t="shared" si="26"/>
        <v>39.18</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81429</v>
      </c>
      <c r="H402" s="47">
        <f>SUM(H396:H401)</f>
        <v>2228.5</v>
      </c>
      <c r="I402" s="47">
        <f>SUM(I396:I401)</f>
        <v>0</v>
      </c>
      <c r="J402" s="45" t="s">
        <v>288</v>
      </c>
      <c r="K402" s="45" t="s">
        <v>288</v>
      </c>
      <c r="L402" s="47">
        <f>SUM(L396:L401)</f>
        <v>83657.5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v>41.29</v>
      </c>
      <c r="I404" s="18"/>
      <c r="J404" s="24" t="s">
        <v>288</v>
      </c>
      <c r="K404" s="24" t="s">
        <v>288</v>
      </c>
      <c r="L404" s="56">
        <f>SUM(F404:K404)</f>
        <v>41.29</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41.29</v>
      </c>
      <c r="I408" s="47">
        <f>SUM(I404:I407)</f>
        <v>0</v>
      </c>
      <c r="J408" s="49" t="s">
        <v>288</v>
      </c>
      <c r="K408" s="49" t="s">
        <v>288</v>
      </c>
      <c r="L408" s="47">
        <f>SUM(L404:L407)</f>
        <v>41.29</v>
      </c>
      <c r="M408" s="8"/>
      <c r="N408" s="265"/>
    </row>
    <row r="409" spans="1:21" s="3" customFormat="1" ht="12.2" customHeight="1" thickTop="1" x14ac:dyDescent="0.15">
      <c r="A409" s="78" t="s">
        <v>421</v>
      </c>
      <c r="B409" s="2" t="s">
        <v>381</v>
      </c>
      <c r="C409" s="6">
        <v>20</v>
      </c>
      <c r="D409" s="6"/>
      <c r="E409" s="40"/>
      <c r="F409" s="47">
        <f>F394+F402+F408</f>
        <v>0</v>
      </c>
      <c r="G409" s="47">
        <f>G394+G402+G408</f>
        <v>331429</v>
      </c>
      <c r="H409" s="47">
        <f>H394+H402+H408</f>
        <v>2594.13</v>
      </c>
      <c r="I409" s="47">
        <f>I394+I402+I408</f>
        <v>0</v>
      </c>
      <c r="J409" s="24" t="s">
        <v>288</v>
      </c>
      <c r="K409" s="24" t="s">
        <v>288</v>
      </c>
      <c r="L409" s="47">
        <f>L394+L402+L408</f>
        <v>334023.12999999995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v>237995</v>
      </c>
      <c r="L417" s="56">
        <f t="shared" si="27"/>
        <v>237995</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237995</v>
      </c>
      <c r="L420" s="47">
        <f t="shared" si="28"/>
        <v>237995</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237995</v>
      </c>
      <c r="L435" s="47">
        <f t="shared" si="32"/>
        <v>237995</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228511.89</v>
      </c>
      <c r="G440" s="18">
        <v>1809400.52</v>
      </c>
      <c r="H440" s="18">
        <v>33852.61</v>
      </c>
      <c r="I440" s="56">
        <f t="shared" ref="I440:I446" si="33">SUM(F440:H440)</f>
        <v>2071765.0200000003</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228511.89</v>
      </c>
      <c r="G447" s="13">
        <f>SUM(G440:G446)</f>
        <v>1809400.52</v>
      </c>
      <c r="H447" s="13">
        <f>SUM(H440:H446)</f>
        <v>33852.61</v>
      </c>
      <c r="I447" s="13">
        <f>SUM(I440:I446)</f>
        <v>2071765.0200000003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228511.89</v>
      </c>
      <c r="G460" s="18">
        <v>1809400.52</v>
      </c>
      <c r="H460" s="18">
        <v>33852.61</v>
      </c>
      <c r="I460" s="56">
        <f t="shared" si="34"/>
        <v>2071765.0200000003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228511.89</v>
      </c>
      <c r="G461" s="83">
        <f>SUM(G455:G460)</f>
        <v>1809400.52</v>
      </c>
      <c r="H461" s="83">
        <f>SUM(H455:H460)</f>
        <v>33852.61</v>
      </c>
      <c r="I461" s="83">
        <f>SUM(I455:I460)</f>
        <v>2071765.0200000003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228511.89</v>
      </c>
      <c r="G462" s="42">
        <f>G453+G461</f>
        <v>1809400.52</v>
      </c>
      <c r="H462" s="42">
        <f>H453+H461</f>
        <v>33852.61</v>
      </c>
      <c r="I462" s="42">
        <f>I453+I461</f>
        <v>2071765.0200000003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3606556.65</v>
      </c>
      <c r="G466" s="18">
        <v>14688.98</v>
      </c>
      <c r="H466" s="18">
        <v>407054.14</v>
      </c>
      <c r="I466" s="18">
        <v>0</v>
      </c>
      <c r="J466" s="18">
        <v>1975736.89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34030703.289999999</v>
      </c>
      <c r="G469" s="18">
        <v>950600.69</v>
      </c>
      <c r="H469" s="18">
        <v>3335466.72</v>
      </c>
      <c r="I469" s="18">
        <v>0</v>
      </c>
      <c r="J469" s="18">
        <v>334023.13</v>
      </c>
      <c r="K469" s="24" t="s">
        <v>288</v>
      </c>
      <c r="L469" s="24" t="s">
        <v>288</v>
      </c>
      <c r="N469" s="264"/>
    </row>
    <row r="470" spans="1:14" s="52" customFormat="1" ht="12.2" customHeight="1" x14ac:dyDescent="0.2">
      <c r="A470" s="93" t="s">
        <v>611</v>
      </c>
      <c r="B470" s="75">
        <v>19</v>
      </c>
      <c r="C470" s="80">
        <v>3</v>
      </c>
      <c r="D470" s="2" t="s">
        <v>432</v>
      </c>
      <c r="E470" s="80"/>
      <c r="F470" s="18">
        <v>59086.46</v>
      </c>
      <c r="G470" s="18">
        <v>37264.239999999998</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34089789.75</v>
      </c>
      <c r="G471" s="53">
        <f>SUM(G469:G470)</f>
        <v>987864.92999999993</v>
      </c>
      <c r="H471" s="53">
        <f>SUM(H469:H470)</f>
        <v>3335466.72</v>
      </c>
      <c r="I471" s="53">
        <f>SUM(I469:I470)</f>
        <v>0</v>
      </c>
      <c r="J471" s="53">
        <f>SUM(J469:J470)</f>
        <v>334023.13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33721289.280000001</v>
      </c>
      <c r="G473" s="18">
        <v>904968.6</v>
      </c>
      <c r="H473" s="18">
        <v>3161749.99</v>
      </c>
      <c r="I473" s="18">
        <v>0</v>
      </c>
      <c r="J473" s="18">
        <v>237995</v>
      </c>
      <c r="K473" s="24" t="s">
        <v>288</v>
      </c>
      <c r="L473" s="24" t="s">
        <v>288</v>
      </c>
      <c r="N473" s="264"/>
    </row>
    <row r="474" spans="1:14" s="52" customFormat="1" ht="12.2" customHeight="1" x14ac:dyDescent="0.2">
      <c r="A474" s="93" t="s">
        <v>613</v>
      </c>
      <c r="B474" s="75">
        <v>19</v>
      </c>
      <c r="C474" s="80">
        <v>6</v>
      </c>
      <c r="D474" s="2" t="s">
        <v>432</v>
      </c>
      <c r="E474" s="80"/>
      <c r="F474" s="18"/>
      <c r="G474" s="18"/>
      <c r="H474" s="18">
        <v>58966.46</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33721289.280000001</v>
      </c>
      <c r="G475" s="53">
        <f>SUM(G473:G474)</f>
        <v>904968.6</v>
      </c>
      <c r="H475" s="53">
        <f>SUM(H473:H474)</f>
        <v>3220716.45</v>
      </c>
      <c r="I475" s="53">
        <f>SUM(I473:I474)</f>
        <v>0</v>
      </c>
      <c r="J475" s="53">
        <f>SUM(J473:J474)</f>
        <v>237995</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3975057.1199999973</v>
      </c>
      <c r="G477" s="53">
        <f>(G466+G471)- G475</f>
        <v>97585.309999999939</v>
      </c>
      <c r="H477" s="53">
        <f>(H466+H471)- H475</f>
        <v>521804.41000000015</v>
      </c>
      <c r="I477" s="53">
        <f>(I466+I471)- I475</f>
        <v>0</v>
      </c>
      <c r="J477" s="53">
        <f>(J466+J471)- J475</f>
        <v>2071765.02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1803</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t="s">
        <v>1804</v>
      </c>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20</v>
      </c>
      <c r="H491" s="154">
        <v>20</v>
      </c>
      <c r="I491" s="154">
        <v>20</v>
      </c>
      <c r="J491" s="154"/>
      <c r="K491" s="24" t="s">
        <v>288</v>
      </c>
      <c r="L491" s="24" t="s">
        <v>288</v>
      </c>
      <c r="N491" s="264"/>
    </row>
    <row r="492" spans="1:14" s="52" customFormat="1" ht="12.2" customHeight="1" x14ac:dyDescent="0.2">
      <c r="A492" s="22" t="s">
        <v>615</v>
      </c>
      <c r="B492" s="75">
        <v>20</v>
      </c>
      <c r="C492" s="115">
        <v>2</v>
      </c>
      <c r="D492" s="2" t="s">
        <v>432</v>
      </c>
      <c r="E492" s="115"/>
      <c r="F492" s="155" t="s">
        <v>1805</v>
      </c>
      <c r="G492" s="155" t="s">
        <v>1806</v>
      </c>
      <c r="H492" s="155" t="s">
        <v>1807</v>
      </c>
      <c r="I492" s="155" t="s">
        <v>1808</v>
      </c>
      <c r="J492" s="154"/>
      <c r="K492" s="24" t="s">
        <v>288</v>
      </c>
      <c r="L492" s="24" t="s">
        <v>288</v>
      </c>
      <c r="N492" s="264"/>
    </row>
    <row r="493" spans="1:14" s="52" customFormat="1" ht="12.2" customHeight="1" x14ac:dyDescent="0.2">
      <c r="A493" s="22" t="s">
        <v>616</v>
      </c>
      <c r="B493" s="75">
        <v>20</v>
      </c>
      <c r="C493" s="115">
        <v>3</v>
      </c>
      <c r="D493" s="2" t="s">
        <v>432</v>
      </c>
      <c r="E493" s="115"/>
      <c r="F493" s="155" t="s">
        <v>1809</v>
      </c>
      <c r="G493" s="155" t="s">
        <v>1810</v>
      </c>
      <c r="H493" s="155" t="s">
        <v>1811</v>
      </c>
      <c r="I493" s="155" t="s">
        <v>1812</v>
      </c>
      <c r="J493" s="154"/>
      <c r="K493" s="24" t="s">
        <v>288</v>
      </c>
      <c r="L493" s="24" t="s">
        <v>288</v>
      </c>
      <c r="N493" s="264"/>
    </row>
    <row r="494" spans="1:14" s="52" customFormat="1" ht="12.2" customHeight="1" x14ac:dyDescent="0.2">
      <c r="A494" s="22" t="s">
        <v>617</v>
      </c>
      <c r="B494" s="75">
        <v>20</v>
      </c>
      <c r="C494" s="115">
        <v>4</v>
      </c>
      <c r="D494" s="2" t="s">
        <v>432</v>
      </c>
      <c r="E494" s="115"/>
      <c r="F494" s="18">
        <v>42120000</v>
      </c>
      <c r="G494" s="18">
        <v>1837000</v>
      </c>
      <c r="H494" s="18">
        <v>1871000</v>
      </c>
      <c r="I494" s="18">
        <v>1122900</v>
      </c>
      <c r="J494" s="18"/>
      <c r="K494" s="24" t="s">
        <v>288</v>
      </c>
      <c r="L494" s="24" t="s">
        <v>288</v>
      </c>
      <c r="N494" s="264"/>
    </row>
    <row r="495" spans="1:14" s="52" customFormat="1" ht="12.2" customHeight="1" x14ac:dyDescent="0.2">
      <c r="A495" s="22" t="s">
        <v>618</v>
      </c>
      <c r="B495" s="75">
        <v>20</v>
      </c>
      <c r="C495" s="115">
        <v>5</v>
      </c>
      <c r="D495" s="2" t="s">
        <v>432</v>
      </c>
      <c r="E495" s="115"/>
      <c r="F495" s="18">
        <v>4</v>
      </c>
      <c r="G495" s="18">
        <v>2.5</v>
      </c>
      <c r="H495" s="18">
        <v>2.66</v>
      </c>
      <c r="I495" s="18">
        <v>3.24</v>
      </c>
      <c r="J495" s="18"/>
      <c r="K495" s="24" t="s">
        <v>288</v>
      </c>
      <c r="L495" s="24" t="s">
        <v>288</v>
      </c>
      <c r="N495" s="264"/>
    </row>
    <row r="496" spans="1:14" s="52" customFormat="1" ht="12.2" customHeight="1" x14ac:dyDescent="0.2">
      <c r="A496" s="22" t="s">
        <v>619</v>
      </c>
      <c r="B496" s="75">
        <v>20</v>
      </c>
      <c r="C496" s="115">
        <v>6</v>
      </c>
      <c r="D496" s="2" t="s">
        <v>432</v>
      </c>
      <c r="E496" s="115"/>
      <c r="F496" s="18">
        <v>5520000</v>
      </c>
      <c r="G496" s="18">
        <v>1464300</v>
      </c>
      <c r="H496" s="18">
        <v>1590000</v>
      </c>
      <c r="I496" s="18">
        <v>1005000</v>
      </c>
      <c r="J496" s="18"/>
      <c r="K496" s="53">
        <f>SUM(F496:J496)</f>
        <v>9579300</v>
      </c>
      <c r="L496" s="24" t="s">
        <v>288</v>
      </c>
      <c r="N496" s="264"/>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1840000</v>
      </c>
      <c r="G498" s="18">
        <v>95000</v>
      </c>
      <c r="H498" s="18">
        <v>95000</v>
      </c>
      <c r="I498" s="18">
        <v>60000</v>
      </c>
      <c r="J498" s="18"/>
      <c r="K498" s="53">
        <f t="shared" si="35"/>
        <v>2090000</v>
      </c>
      <c r="L498" s="24" t="s">
        <v>288</v>
      </c>
      <c r="N498" s="264"/>
    </row>
    <row r="499" spans="1:14" s="52" customFormat="1" ht="12.2" customHeight="1" x14ac:dyDescent="0.2">
      <c r="A499" s="199" t="s">
        <v>622</v>
      </c>
      <c r="B499" s="200">
        <v>20</v>
      </c>
      <c r="C499" s="201">
        <v>9</v>
      </c>
      <c r="D499" s="202" t="s">
        <v>432</v>
      </c>
      <c r="E499" s="201"/>
      <c r="F499" s="203">
        <v>3680000</v>
      </c>
      <c r="G499" s="203">
        <v>1369300</v>
      </c>
      <c r="H499" s="203">
        <v>1495000</v>
      </c>
      <c r="I499" s="203">
        <v>945000</v>
      </c>
      <c r="J499" s="203"/>
      <c r="K499" s="204">
        <f t="shared" si="35"/>
        <v>7489300</v>
      </c>
      <c r="L499" s="205" t="s">
        <v>288</v>
      </c>
      <c r="N499" s="264"/>
    </row>
    <row r="500" spans="1:14" s="52" customFormat="1" ht="12.2" customHeight="1" thickBot="1" x14ac:dyDescent="0.25">
      <c r="A500" s="22" t="s">
        <v>623</v>
      </c>
      <c r="B500" s="75">
        <v>20</v>
      </c>
      <c r="C500" s="115">
        <v>10</v>
      </c>
      <c r="D500" s="2" t="s">
        <v>432</v>
      </c>
      <c r="E500" s="115"/>
      <c r="F500" s="18">
        <v>166087</v>
      </c>
      <c r="G500" s="18">
        <v>327976.75</v>
      </c>
      <c r="H500" s="18">
        <v>447247.5</v>
      </c>
      <c r="I500" s="18">
        <v>306798.28000000003</v>
      </c>
      <c r="J500" s="18"/>
      <c r="K500" s="53">
        <f t="shared" si="35"/>
        <v>1248109.53</v>
      </c>
      <c r="L500" s="24" t="s">
        <v>288</v>
      </c>
      <c r="N500" s="264"/>
    </row>
    <row r="501" spans="1:14" s="52" customFormat="1" ht="12.2" customHeight="1" thickTop="1" x14ac:dyDescent="0.2">
      <c r="A501" s="139" t="s">
        <v>624</v>
      </c>
      <c r="B501" s="44">
        <v>20</v>
      </c>
      <c r="C501" s="194">
        <v>11</v>
      </c>
      <c r="D501" s="39" t="s">
        <v>432</v>
      </c>
      <c r="E501" s="194"/>
      <c r="F501" s="42">
        <f>SUM(F499:F500)</f>
        <v>3846087</v>
      </c>
      <c r="G501" s="42">
        <f>SUM(G499:G500)</f>
        <v>1697276.75</v>
      </c>
      <c r="H501" s="42">
        <f>SUM(H499:H500)</f>
        <v>1942247.5</v>
      </c>
      <c r="I501" s="42">
        <f>SUM(I499:I500)</f>
        <v>1251798.28</v>
      </c>
      <c r="J501" s="42">
        <f>SUM(J499:J500)</f>
        <v>0</v>
      </c>
      <c r="K501" s="42">
        <f t="shared" si="35"/>
        <v>8737409.5299999993</v>
      </c>
      <c r="L501" s="45" t="s">
        <v>288</v>
      </c>
      <c r="N501" s="264"/>
    </row>
    <row r="502" spans="1:14" s="52" customFormat="1" ht="12.2" customHeight="1" x14ac:dyDescent="0.2">
      <c r="A502" s="199" t="s">
        <v>651</v>
      </c>
      <c r="B502" s="200">
        <v>20</v>
      </c>
      <c r="C502" s="201">
        <v>12</v>
      </c>
      <c r="D502" s="202" t="s">
        <v>432</v>
      </c>
      <c r="E502" s="201"/>
      <c r="F502" s="203">
        <v>1840000</v>
      </c>
      <c r="G502" s="203">
        <v>95000</v>
      </c>
      <c r="H502" s="203">
        <v>95000</v>
      </c>
      <c r="I502" s="203">
        <v>60000</v>
      </c>
      <c r="J502" s="203"/>
      <c r="K502" s="204">
        <f t="shared" si="35"/>
        <v>2090000</v>
      </c>
      <c r="L502" s="205" t="s">
        <v>288</v>
      </c>
      <c r="N502" s="264"/>
    </row>
    <row r="503" spans="1:14" s="52" customFormat="1" ht="12.2" customHeight="1" thickBot="1" x14ac:dyDescent="0.25">
      <c r="A503" s="22" t="s">
        <v>625</v>
      </c>
      <c r="B503" s="75">
        <v>20</v>
      </c>
      <c r="C503" s="115">
        <v>13</v>
      </c>
      <c r="D503" s="2" t="s">
        <v>432</v>
      </c>
      <c r="E503" s="115"/>
      <c r="F503" s="18">
        <v>78687</v>
      </c>
      <c r="G503" s="18">
        <v>45702</v>
      </c>
      <c r="H503" s="18">
        <v>61022.5</v>
      </c>
      <c r="I503" s="18">
        <v>38483.760000000002</v>
      </c>
      <c r="J503" s="18"/>
      <c r="K503" s="53">
        <f t="shared" si="35"/>
        <v>223895.26</v>
      </c>
      <c r="L503" s="24" t="s">
        <v>288</v>
      </c>
      <c r="N503" s="264"/>
    </row>
    <row r="504" spans="1:14" s="52" customFormat="1" ht="12.2" customHeight="1" thickTop="1" x14ac:dyDescent="0.2">
      <c r="A504" s="139" t="s">
        <v>626</v>
      </c>
      <c r="B504" s="44">
        <v>20</v>
      </c>
      <c r="C504" s="194">
        <v>14</v>
      </c>
      <c r="D504" s="39" t="s">
        <v>432</v>
      </c>
      <c r="E504" s="194"/>
      <c r="F504" s="42">
        <f>SUM(F502:F503)</f>
        <v>1918687</v>
      </c>
      <c r="G504" s="42">
        <f>SUM(G502:G503)</f>
        <v>140702</v>
      </c>
      <c r="H504" s="42">
        <f>SUM(H502:H503)</f>
        <v>156022.5</v>
      </c>
      <c r="I504" s="42">
        <f>SUM(I502:I503)</f>
        <v>98483.760000000009</v>
      </c>
      <c r="J504" s="42">
        <f>SUM(J502:J503)</f>
        <v>0</v>
      </c>
      <c r="K504" s="42">
        <f t="shared" si="35"/>
        <v>2313895.2599999998</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1229395.05</v>
      </c>
      <c r="G522" s="18">
        <v>792793.59</v>
      </c>
      <c r="H522" s="18">
        <v>303791.83</v>
      </c>
      <c r="I522" s="18">
        <v>17013.689999999999</v>
      </c>
      <c r="J522" s="18">
        <v>19665.11</v>
      </c>
      <c r="K522" s="18">
        <v>0</v>
      </c>
      <c r="L522" s="88">
        <f>SUM(F522:K522)</f>
        <v>2362659.27</v>
      </c>
      <c r="N522" s="264"/>
    </row>
    <row r="523" spans="1:14" s="52" customFormat="1" ht="12.2" customHeight="1" x14ac:dyDescent="0.2">
      <c r="A523" s="22" t="s">
        <v>634</v>
      </c>
      <c r="B523" s="105">
        <v>21</v>
      </c>
      <c r="C523" s="115">
        <v>2</v>
      </c>
      <c r="D523" s="2" t="s">
        <v>432</v>
      </c>
      <c r="E523" s="115"/>
      <c r="F523" s="18">
        <v>457550.27</v>
      </c>
      <c r="G523" s="18">
        <v>297207.33</v>
      </c>
      <c r="H523" s="18">
        <v>43837.27</v>
      </c>
      <c r="I523" s="18">
        <v>5634.75</v>
      </c>
      <c r="J523" s="18">
        <v>313.8</v>
      </c>
      <c r="K523" s="18">
        <v>0</v>
      </c>
      <c r="L523" s="88">
        <f>SUM(F523:K523)</f>
        <v>804543.42000000016</v>
      </c>
      <c r="N523" s="264"/>
    </row>
    <row r="524" spans="1:14" s="52" customFormat="1" ht="12.2" customHeight="1" thickBot="1" x14ac:dyDescent="0.25">
      <c r="A524" s="22" t="s">
        <v>635</v>
      </c>
      <c r="B524" s="105">
        <v>21</v>
      </c>
      <c r="C524" s="115">
        <v>3</v>
      </c>
      <c r="D524" s="2" t="s">
        <v>432</v>
      </c>
      <c r="E524" s="115"/>
      <c r="F524" s="18">
        <v>579743.46</v>
      </c>
      <c r="G524" s="18">
        <v>326463.92</v>
      </c>
      <c r="H524" s="18">
        <v>170043.01</v>
      </c>
      <c r="I524" s="18">
        <v>5287.92</v>
      </c>
      <c r="J524" s="18">
        <v>2828.76</v>
      </c>
      <c r="K524" s="18">
        <v>0</v>
      </c>
      <c r="L524" s="88">
        <f>SUM(F524:K524)</f>
        <v>1084367.0699999998</v>
      </c>
      <c r="N524" s="264"/>
    </row>
    <row r="525" spans="1:14" s="52" customFormat="1" ht="12.2" customHeight="1" thickTop="1" x14ac:dyDescent="0.2">
      <c r="A525" s="139" t="s">
        <v>63</v>
      </c>
      <c r="B525" s="107">
        <v>21</v>
      </c>
      <c r="C525" s="194">
        <v>4</v>
      </c>
      <c r="D525" s="195" t="s">
        <v>432</v>
      </c>
      <c r="E525" s="194"/>
      <c r="F525" s="108">
        <f>SUM(F522:F524)</f>
        <v>2266688.7800000003</v>
      </c>
      <c r="G525" s="108">
        <f t="shared" ref="G525:L525" si="36">SUM(G522:G524)</f>
        <v>1416464.8399999999</v>
      </c>
      <c r="H525" s="108">
        <f t="shared" si="36"/>
        <v>517672.11000000004</v>
      </c>
      <c r="I525" s="108">
        <f t="shared" si="36"/>
        <v>27936.36</v>
      </c>
      <c r="J525" s="108">
        <f t="shared" si="36"/>
        <v>22807.67</v>
      </c>
      <c r="K525" s="108">
        <f t="shared" si="36"/>
        <v>0</v>
      </c>
      <c r="L525" s="89">
        <f t="shared" si="36"/>
        <v>4251569.76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65045.35</v>
      </c>
      <c r="G527" s="18">
        <v>231073.49</v>
      </c>
      <c r="H527" s="18">
        <v>22941.360000000001</v>
      </c>
      <c r="I527" s="18">
        <v>0</v>
      </c>
      <c r="J527" s="18">
        <v>0</v>
      </c>
      <c r="K527" s="18">
        <v>0</v>
      </c>
      <c r="L527" s="88">
        <f>SUM(F527:K527)</f>
        <v>319060.19999999995</v>
      </c>
      <c r="M527" s="8"/>
      <c r="N527" s="265"/>
    </row>
    <row r="528" spans="1:14" s="3" customFormat="1" ht="12.2" customHeight="1" x14ac:dyDescent="0.15">
      <c r="A528" s="22" t="s">
        <v>634</v>
      </c>
      <c r="B528" s="105">
        <v>21</v>
      </c>
      <c r="C528" s="115">
        <v>6</v>
      </c>
      <c r="D528" s="2" t="s">
        <v>432</v>
      </c>
      <c r="E528" s="115"/>
      <c r="F528" s="18">
        <v>34028.5</v>
      </c>
      <c r="G528" s="18">
        <v>14389.22</v>
      </c>
      <c r="H528" s="18">
        <v>32</v>
      </c>
      <c r="I528" s="18">
        <v>0</v>
      </c>
      <c r="J528" s="18">
        <v>0</v>
      </c>
      <c r="K528" s="18">
        <v>0</v>
      </c>
      <c r="L528" s="88">
        <f>SUM(F528:K528)</f>
        <v>48449.72</v>
      </c>
      <c r="M528" s="8"/>
      <c r="N528" s="265"/>
    </row>
    <row r="529" spans="1:14" s="3" customFormat="1" ht="12.2" customHeight="1" thickBot="1" x14ac:dyDescent="0.2">
      <c r="A529" s="22" t="s">
        <v>635</v>
      </c>
      <c r="B529" s="118">
        <v>21</v>
      </c>
      <c r="C529" s="118">
        <v>7</v>
      </c>
      <c r="D529" s="2" t="s">
        <v>432</v>
      </c>
      <c r="E529" s="118"/>
      <c r="F529" s="18">
        <v>309641.38</v>
      </c>
      <c r="G529" s="18">
        <v>140739.12</v>
      </c>
      <c r="H529" s="18">
        <v>6561.9</v>
      </c>
      <c r="I529" s="18">
        <v>318.7</v>
      </c>
      <c r="J529" s="18">
        <v>0</v>
      </c>
      <c r="K529" s="18">
        <v>0</v>
      </c>
      <c r="L529" s="88">
        <f>SUM(F529:K529)</f>
        <v>457261.10000000003</v>
      </c>
      <c r="M529" s="8"/>
      <c r="N529" s="265"/>
    </row>
    <row r="530" spans="1:14" s="3" customFormat="1" ht="12.2" customHeight="1" thickTop="1" x14ac:dyDescent="0.15">
      <c r="A530" s="139" t="s">
        <v>65</v>
      </c>
      <c r="B530" s="107">
        <v>21</v>
      </c>
      <c r="C530" s="107">
        <v>8</v>
      </c>
      <c r="D530" s="158" t="s">
        <v>432</v>
      </c>
      <c r="E530" s="107"/>
      <c r="F530" s="89">
        <f>SUM(F527:F529)</f>
        <v>408715.23</v>
      </c>
      <c r="G530" s="89">
        <f t="shared" ref="G530:L530" si="37">SUM(G527:G529)</f>
        <v>386201.82999999996</v>
      </c>
      <c r="H530" s="89">
        <f t="shared" si="37"/>
        <v>29535.260000000002</v>
      </c>
      <c r="I530" s="89">
        <f t="shared" si="37"/>
        <v>318.7</v>
      </c>
      <c r="J530" s="89">
        <f t="shared" si="37"/>
        <v>0</v>
      </c>
      <c r="K530" s="89">
        <f t="shared" si="37"/>
        <v>0</v>
      </c>
      <c r="L530" s="89">
        <f t="shared" si="37"/>
        <v>824771.02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108166.81</v>
      </c>
      <c r="I532" s="18">
        <v>0</v>
      </c>
      <c r="J532" s="18">
        <v>0</v>
      </c>
      <c r="K532" s="18">
        <v>0</v>
      </c>
      <c r="L532" s="88">
        <f>SUM(F532:K532)</f>
        <v>108166.81</v>
      </c>
      <c r="M532" s="8"/>
      <c r="N532" s="265"/>
    </row>
    <row r="533" spans="1:14" s="3" customFormat="1" ht="12.2" customHeight="1" x14ac:dyDescent="0.15">
      <c r="A533" s="22" t="s">
        <v>634</v>
      </c>
      <c r="B533" s="105">
        <v>21</v>
      </c>
      <c r="C533" s="105">
        <v>10</v>
      </c>
      <c r="D533" s="2" t="s">
        <v>432</v>
      </c>
      <c r="E533" s="105"/>
      <c r="F533" s="18">
        <v>0</v>
      </c>
      <c r="G533" s="18">
        <v>0</v>
      </c>
      <c r="H533" s="18">
        <v>32450.04</v>
      </c>
      <c r="I533" s="18">
        <v>0</v>
      </c>
      <c r="J533" s="18">
        <v>0</v>
      </c>
      <c r="K533" s="18">
        <v>0</v>
      </c>
      <c r="L533" s="88">
        <f>SUM(F533:K533)</f>
        <v>32450.04</v>
      </c>
      <c r="M533" s="8"/>
      <c r="N533" s="265"/>
    </row>
    <row r="534" spans="1:14" s="3" customFormat="1" ht="12.2" customHeight="1" thickBot="1" x14ac:dyDescent="0.2">
      <c r="A534" s="22" t="s">
        <v>635</v>
      </c>
      <c r="B534" s="105">
        <v>21</v>
      </c>
      <c r="C534" s="105">
        <v>11</v>
      </c>
      <c r="D534" s="2" t="s">
        <v>432</v>
      </c>
      <c r="E534" s="105"/>
      <c r="F534" s="18">
        <v>0</v>
      </c>
      <c r="G534" s="18">
        <v>0</v>
      </c>
      <c r="H534" s="18">
        <v>75716.759999999995</v>
      </c>
      <c r="I534" s="18">
        <v>0</v>
      </c>
      <c r="J534" s="18">
        <v>0</v>
      </c>
      <c r="K534" s="18">
        <v>0</v>
      </c>
      <c r="L534" s="88">
        <f>SUM(F534:K534)</f>
        <v>75716.759999999995</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216333.61</v>
      </c>
      <c r="I535" s="89">
        <f t="shared" si="38"/>
        <v>0</v>
      </c>
      <c r="J535" s="89">
        <f t="shared" si="38"/>
        <v>0</v>
      </c>
      <c r="K535" s="89">
        <f t="shared" si="38"/>
        <v>0</v>
      </c>
      <c r="L535" s="89">
        <f t="shared" si="38"/>
        <v>216333.61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18315.099999999999</v>
      </c>
      <c r="G542" s="18">
        <v>9173.08</v>
      </c>
      <c r="H542" s="18">
        <v>17420</v>
      </c>
      <c r="I542" s="18">
        <v>0</v>
      </c>
      <c r="J542" s="18">
        <v>0</v>
      </c>
      <c r="K542" s="18">
        <v>0</v>
      </c>
      <c r="L542" s="88">
        <f>SUM(F542:K542)</f>
        <v>44908.18</v>
      </c>
      <c r="M542" s="8"/>
      <c r="N542" s="265"/>
    </row>
    <row r="543" spans="1:14" s="3" customFormat="1" ht="12.2" customHeight="1" x14ac:dyDescent="0.15">
      <c r="A543" s="22" t="s">
        <v>634</v>
      </c>
      <c r="B543" s="105">
        <v>21</v>
      </c>
      <c r="C543" s="105">
        <v>18</v>
      </c>
      <c r="D543" s="2" t="s">
        <v>432</v>
      </c>
      <c r="E543" s="105"/>
      <c r="F543" s="18">
        <v>5494.53</v>
      </c>
      <c r="G543" s="18">
        <v>2751.92</v>
      </c>
      <c r="H543" s="18">
        <v>305.5</v>
      </c>
      <c r="I543" s="18">
        <v>0</v>
      </c>
      <c r="J543" s="18">
        <v>0</v>
      </c>
      <c r="K543" s="18">
        <v>0</v>
      </c>
      <c r="L543" s="88">
        <f>SUM(F543:K543)</f>
        <v>8551.9500000000007</v>
      </c>
      <c r="M543" s="8"/>
      <c r="N543" s="265"/>
    </row>
    <row r="544" spans="1:14" s="3" customFormat="1" ht="12.2" customHeight="1" thickBot="1" x14ac:dyDescent="0.2">
      <c r="A544" s="22" t="s">
        <v>635</v>
      </c>
      <c r="B544" s="105">
        <v>21</v>
      </c>
      <c r="C544" s="105">
        <v>19</v>
      </c>
      <c r="D544" s="2" t="s">
        <v>432</v>
      </c>
      <c r="E544" s="105"/>
      <c r="F544" s="18">
        <v>12820.57</v>
      </c>
      <c r="G544" s="18">
        <v>6421.15</v>
      </c>
      <c r="H544" s="18">
        <v>2573.0700000000002</v>
      </c>
      <c r="I544" s="18">
        <v>0</v>
      </c>
      <c r="J544" s="18">
        <v>0</v>
      </c>
      <c r="K544" s="18">
        <v>0</v>
      </c>
      <c r="L544" s="88">
        <f>SUM(F544:K544)</f>
        <v>21814.79</v>
      </c>
      <c r="M544" s="8"/>
      <c r="N544" s="265"/>
    </row>
    <row r="545" spans="1:14" s="3" customFormat="1" ht="12.2" customHeight="1" thickTop="1" thickBot="1" x14ac:dyDescent="0.2">
      <c r="A545" s="130" t="s">
        <v>71</v>
      </c>
      <c r="B545" s="190">
        <v>21</v>
      </c>
      <c r="C545" s="190">
        <v>20</v>
      </c>
      <c r="D545" s="191" t="s">
        <v>432</v>
      </c>
      <c r="E545" s="190"/>
      <c r="F545" s="192">
        <f>SUM(F542:F544)</f>
        <v>36630.199999999997</v>
      </c>
      <c r="G545" s="192">
        <f t="shared" ref="G545:L545" si="40">SUM(G542:G544)</f>
        <v>18346.150000000001</v>
      </c>
      <c r="H545" s="192">
        <f t="shared" si="40"/>
        <v>20298.57</v>
      </c>
      <c r="I545" s="192">
        <f t="shared" si="40"/>
        <v>0</v>
      </c>
      <c r="J545" s="192">
        <f t="shared" si="40"/>
        <v>0</v>
      </c>
      <c r="K545" s="192">
        <f t="shared" si="40"/>
        <v>0</v>
      </c>
      <c r="L545" s="192">
        <f t="shared" si="40"/>
        <v>75274.920000000013</v>
      </c>
      <c r="M545" s="8"/>
      <c r="N545" s="265"/>
    </row>
    <row r="546" spans="1:14" s="3" customFormat="1" ht="12.2" customHeight="1" thickTop="1" x14ac:dyDescent="0.15">
      <c r="A546" s="98" t="s">
        <v>72</v>
      </c>
      <c r="B546" s="107">
        <v>21</v>
      </c>
      <c r="C546" s="107">
        <v>21</v>
      </c>
      <c r="D546" s="158" t="s">
        <v>432</v>
      </c>
      <c r="E546" s="107"/>
      <c r="F546" s="89">
        <f>F525+F530+F535+F540+F545</f>
        <v>2712034.2100000004</v>
      </c>
      <c r="G546" s="89">
        <f t="shared" ref="G546:L546" si="41">G525+G530+G535+G540+G545</f>
        <v>1821012.8199999998</v>
      </c>
      <c r="H546" s="89">
        <f t="shared" si="41"/>
        <v>783839.54999999993</v>
      </c>
      <c r="I546" s="89">
        <f t="shared" si="41"/>
        <v>28255.06</v>
      </c>
      <c r="J546" s="89">
        <f t="shared" si="41"/>
        <v>22807.67</v>
      </c>
      <c r="K546" s="89">
        <f t="shared" si="41"/>
        <v>0</v>
      </c>
      <c r="L546" s="89">
        <f t="shared" si="41"/>
        <v>5367949.3099999996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2362659.27</v>
      </c>
      <c r="G550" s="87">
        <f>L527</f>
        <v>319060.19999999995</v>
      </c>
      <c r="H550" s="87">
        <f>L532</f>
        <v>108166.81</v>
      </c>
      <c r="I550" s="87">
        <f>L537</f>
        <v>0</v>
      </c>
      <c r="J550" s="87">
        <f>L542</f>
        <v>44908.18</v>
      </c>
      <c r="K550" s="87">
        <f>SUM(F550:J550)</f>
        <v>2834794.46</v>
      </c>
      <c r="L550" s="24" t="s">
        <v>288</v>
      </c>
      <c r="M550" s="8"/>
      <c r="N550" s="265"/>
    </row>
    <row r="551" spans="1:14" s="3" customFormat="1" ht="12.2" customHeight="1" x14ac:dyDescent="0.15">
      <c r="A551" s="22" t="s">
        <v>634</v>
      </c>
      <c r="B551" s="75">
        <v>21</v>
      </c>
      <c r="C551" s="75">
        <v>23</v>
      </c>
      <c r="D551" s="2" t="s">
        <v>432</v>
      </c>
      <c r="E551" s="75"/>
      <c r="F551" s="87">
        <f>L523</f>
        <v>804543.42000000016</v>
      </c>
      <c r="G551" s="87">
        <f>L528</f>
        <v>48449.72</v>
      </c>
      <c r="H551" s="87">
        <f>L533</f>
        <v>32450.04</v>
      </c>
      <c r="I551" s="87">
        <f>L538</f>
        <v>0</v>
      </c>
      <c r="J551" s="87">
        <f>L543</f>
        <v>8551.9500000000007</v>
      </c>
      <c r="K551" s="87">
        <f>SUM(F551:J551)</f>
        <v>893995.13000000012</v>
      </c>
      <c r="L551" s="24" t="s">
        <v>288</v>
      </c>
      <c r="M551" s="8"/>
      <c r="N551" s="265"/>
    </row>
    <row r="552" spans="1:14" s="3" customFormat="1" ht="12.2" customHeight="1" thickBot="1" x14ac:dyDescent="0.2">
      <c r="A552" s="22" t="s">
        <v>635</v>
      </c>
      <c r="B552" s="75">
        <v>21</v>
      </c>
      <c r="C552" s="75">
        <v>24</v>
      </c>
      <c r="D552" s="2" t="s">
        <v>432</v>
      </c>
      <c r="E552" s="75"/>
      <c r="F552" s="87">
        <f>L524</f>
        <v>1084367.0699999998</v>
      </c>
      <c r="G552" s="87">
        <f>L529</f>
        <v>457261.10000000003</v>
      </c>
      <c r="H552" s="87">
        <f>L534</f>
        <v>75716.759999999995</v>
      </c>
      <c r="I552" s="87">
        <f>L539</f>
        <v>0</v>
      </c>
      <c r="J552" s="87">
        <f>L544</f>
        <v>21814.79</v>
      </c>
      <c r="K552" s="87">
        <f>SUM(F552:J552)</f>
        <v>1639159.72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4251569.76</v>
      </c>
      <c r="G553" s="89">
        <f t="shared" si="42"/>
        <v>824771.02</v>
      </c>
      <c r="H553" s="89">
        <f t="shared" si="42"/>
        <v>216333.61</v>
      </c>
      <c r="I553" s="89">
        <f t="shared" si="42"/>
        <v>0</v>
      </c>
      <c r="J553" s="89">
        <f t="shared" si="42"/>
        <v>75274.920000000013</v>
      </c>
      <c r="K553" s="89">
        <f t="shared" si="42"/>
        <v>5367949.3099999996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20472.18</v>
      </c>
      <c r="G581" s="18">
        <v>0</v>
      </c>
      <c r="H581" s="18">
        <v>0</v>
      </c>
      <c r="I581" s="87">
        <f t="shared" si="47"/>
        <v>20472.18</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218226.38</v>
      </c>
      <c r="G583" s="18">
        <v>0</v>
      </c>
      <c r="H583" s="18">
        <v>71108.399999999994</v>
      </c>
      <c r="I583" s="87">
        <f t="shared" si="47"/>
        <v>289334.78000000003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294117.31</v>
      </c>
      <c r="I592" s="18">
        <v>88235.19</v>
      </c>
      <c r="J592" s="18">
        <v>205882.11</v>
      </c>
      <c r="K592" s="104">
        <f t="shared" ref="K592:K598" si="48">SUM(H592:J592)</f>
        <v>588234.61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44908.18</v>
      </c>
      <c r="I593" s="18">
        <v>8551.9500000000007</v>
      </c>
      <c r="J593" s="18">
        <v>21814.79</v>
      </c>
      <c r="K593" s="104">
        <f t="shared" si="48"/>
        <v>75274.920000000013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13081.37</v>
      </c>
      <c r="J595" s="18">
        <v>53880.68</v>
      </c>
      <c r="K595" s="104">
        <f t="shared" si="48"/>
        <v>66962.05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11814.95</v>
      </c>
      <c r="I596" s="18">
        <v>2808.01</v>
      </c>
      <c r="J596" s="18">
        <v>11791.19</v>
      </c>
      <c r="K596" s="104">
        <f t="shared" si="48"/>
        <v>26414.15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11261.28</v>
      </c>
      <c r="I598" s="18"/>
      <c r="J598" s="18"/>
      <c r="K598" s="104">
        <f t="shared" si="48"/>
        <v>11261.28</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362101.72000000003</v>
      </c>
      <c r="I599" s="108">
        <f>SUM(I592:I598)</f>
        <v>112676.51999999999</v>
      </c>
      <c r="J599" s="108">
        <f>SUM(J592:J598)</f>
        <v>293368.77</v>
      </c>
      <c r="K599" s="108">
        <f>SUM(K592:K598)</f>
        <v>768147.01000000013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303549.03999999998</v>
      </c>
      <c r="I605" s="18">
        <v>124417.39</v>
      </c>
      <c r="J605" s="18">
        <v>436722.2</v>
      </c>
      <c r="K605" s="104">
        <f>SUM(H605:J605)</f>
        <v>864688.63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303549.03999999998</v>
      </c>
      <c r="I606" s="108">
        <f>SUM(I603:I605)</f>
        <v>124417.39</v>
      </c>
      <c r="J606" s="108">
        <f>SUM(J603:J605)</f>
        <v>436722.2</v>
      </c>
      <c r="K606" s="108">
        <f>SUM(K603:K605)</f>
        <v>864688.63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10711562.979999999</v>
      </c>
      <c r="H618" s="109">
        <f>SUM(F52)</f>
        <v>10711562.98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1821298.45</v>
      </c>
      <c r="H619" s="109">
        <f>SUM(G52)</f>
        <v>1821298.45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4348094.26</v>
      </c>
      <c r="H620" s="109">
        <f>SUM(H52)</f>
        <v>4348094.26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2071765.0200000003</v>
      </c>
      <c r="H622" s="109">
        <f>SUM(J52)</f>
        <v>2071765.0200000003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3975057.12</v>
      </c>
      <c r="H623" s="109">
        <f>F477</f>
        <v>3975057.1199999973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97585.31</v>
      </c>
      <c r="H624" s="109">
        <f>G477</f>
        <v>97585.309999999939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521804.41</v>
      </c>
      <c r="H625" s="109">
        <f>H477</f>
        <v>521804.41000000015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2071765.0200000003</v>
      </c>
      <c r="H627" s="109">
        <f>J477</f>
        <v>2071765.02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34030703.289999999</v>
      </c>
      <c r="H628" s="104">
        <f>SUM(F469)</f>
        <v>34030703.289999999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950600.69</v>
      </c>
      <c r="H629" s="104">
        <f>SUM(G469)</f>
        <v>950600.69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3335466.72</v>
      </c>
      <c r="H630" s="104">
        <f>SUM(H469)</f>
        <v>3335466.72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334023.13</v>
      </c>
      <c r="H632" s="104">
        <f>SUM(J469)</f>
        <v>334023.13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33721289.279999994</v>
      </c>
      <c r="H633" s="104">
        <f>SUM(F473)</f>
        <v>33721289.280000001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3161749.9899999998</v>
      </c>
      <c r="H634" s="104">
        <f>SUM(H473)</f>
        <v>3161749.99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531.9</v>
      </c>
      <c r="H635" s="104">
        <f>I370</f>
        <v>531.9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904968.6</v>
      </c>
      <c r="H636" s="104">
        <f>SUM(G473)</f>
        <v>904968.6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334023.12999999995</v>
      </c>
      <c r="H638" s="164">
        <f>SUM(J469)</f>
        <v>334023.13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237995</v>
      </c>
      <c r="H639" s="164">
        <f>SUM(J473)</f>
        <v>237995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228511.89</v>
      </c>
      <c r="H640" s="104">
        <f>SUM(F462)</f>
        <v>228511.89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1809400.52</v>
      </c>
      <c r="H641" s="104">
        <f>SUM(G462)</f>
        <v>1809400.52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33852.61</v>
      </c>
      <c r="H642" s="104">
        <f>SUM(H462)</f>
        <v>33852.61</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2071765.0200000003</v>
      </c>
      <c r="H643" s="104">
        <f>SUM(I462)</f>
        <v>2071765.0200000003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2594.13</v>
      </c>
      <c r="H645" s="104">
        <f>H409</f>
        <v>2594.13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331429</v>
      </c>
      <c r="H646" s="104">
        <f>G409</f>
        <v>331429</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334023.13</v>
      </c>
      <c r="H647" s="104">
        <f>L409</f>
        <v>334023.12999999995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768147.01000000013</v>
      </c>
      <c r="H648" s="104">
        <f>L209+L227+L245</f>
        <v>768147.01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864688.63</v>
      </c>
      <c r="H649" s="104">
        <f>(J258+J339)-(J256+J337)</f>
        <v>864688.63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362101.72</v>
      </c>
      <c r="H650" s="104">
        <f>H599</f>
        <v>362101.72000000003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112676.51999999999</v>
      </c>
      <c r="H651" s="104">
        <f>I599</f>
        <v>112676.51999999999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293368.77</v>
      </c>
      <c r="H652" s="104">
        <f>J599</f>
        <v>293368.77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331429</v>
      </c>
      <c r="H656" s="104">
        <f>K267+K348</f>
        <v>331429</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14947042.640000002</v>
      </c>
      <c r="G661" s="19">
        <f>(L230+L310+L360)</f>
        <v>5617438.3799999999</v>
      </c>
      <c r="H661" s="19">
        <f>(L248+L329+L361)</f>
        <v>13872039.489999996</v>
      </c>
      <c r="I661" s="19">
        <f>SUM(F661:H661)</f>
        <v>34436520.509999998</v>
      </c>
      <c r="J661" s="13"/>
      <c r="K661" s="13"/>
      <c r="L661" s="13"/>
      <c r="M661" s="9"/>
    </row>
    <row r="662" spans="1:13" s="3" customFormat="1" ht="12.2" customHeight="1" x14ac:dyDescent="0.2">
      <c r="A662" s="1" t="s">
        <v>127</v>
      </c>
      <c r="F662" s="19">
        <f>(L359/IF(SUM(L359:L361)=0,1,SUM(L359:L361))*(SUM(G97:G110)))</f>
        <v>4190.3985046862399</v>
      </c>
      <c r="G662" s="19">
        <f>(L360/IF(SUM(L359:L361)=0,1,SUM(L359:L361))*(SUM(G97:G110)))</f>
        <v>1616.1699348428219</v>
      </c>
      <c r="H662" s="19">
        <f>(L361/IF(SUM(L359:L361)=0,1,SUM(L359:L361))*(SUM(G97:G110)))</f>
        <v>4957.3515604709373</v>
      </c>
      <c r="I662" s="19">
        <f>SUM(F662:H662)</f>
        <v>10763.919999999998</v>
      </c>
      <c r="J662"/>
      <c r="K662" s="13"/>
      <c r="L662" s="13"/>
      <c r="M662" s="8"/>
    </row>
    <row r="663" spans="1:13" s="3" customFormat="1" ht="12.2" customHeight="1" x14ac:dyDescent="0.2">
      <c r="A663" s="1" t="s">
        <v>128</v>
      </c>
      <c r="F663" s="19">
        <f>(L209+L288)-(J209+J288)</f>
        <v>374334.8</v>
      </c>
      <c r="G663" s="19">
        <f>(L227+L307)-(J227+J307)</f>
        <v>116346.43999999999</v>
      </c>
      <c r="H663" s="19">
        <f>(L245+L326)-(J245+J326)</f>
        <v>301931.92000000004</v>
      </c>
      <c r="I663" s="19">
        <f>SUM(F663:H663)</f>
        <v>792613.16</v>
      </c>
      <c r="J663"/>
      <c r="K663" s="13"/>
      <c r="L663" s="13"/>
      <c r="M663" s="9"/>
    </row>
    <row r="664" spans="1:13" s="3" customFormat="1" ht="12.2" customHeight="1" x14ac:dyDescent="0.15">
      <c r="A664" s="197" t="s">
        <v>129</v>
      </c>
      <c r="B664" s="169"/>
      <c r="C664" s="169"/>
      <c r="D664" s="169"/>
      <c r="E664" s="169"/>
      <c r="F664" s="198">
        <f>SUM(F576:F588)+SUM(H603:H605)+SUM(L612)</f>
        <v>542247.6</v>
      </c>
      <c r="G664" s="198">
        <f>SUM(G576:G588)+SUM(I603:I605)+L613</f>
        <v>124417.39</v>
      </c>
      <c r="H664" s="198">
        <f>SUM(H576:H588)+SUM(J603:J605)+L614</f>
        <v>507830.6</v>
      </c>
      <c r="I664" s="19">
        <f>SUM(F664:H664)</f>
        <v>1174495.5899999999</v>
      </c>
      <c r="J664" s="13"/>
      <c r="K664" s="13"/>
      <c r="L664" s="13"/>
      <c r="M664" s="9"/>
    </row>
    <row r="665" spans="1:13" s="3" customFormat="1" ht="12.2" customHeight="1" x14ac:dyDescent="0.15">
      <c r="A665" s="1" t="s">
        <v>130</v>
      </c>
      <c r="F665" s="19">
        <f>F661-SUM(F662:F664)</f>
        <v>14026269.841495316</v>
      </c>
      <c r="G665" s="19">
        <f>G661-SUM(G662:G664)</f>
        <v>5375058.3800651571</v>
      </c>
      <c r="H665" s="19">
        <f>H661-SUM(H662:H664)</f>
        <v>13057319.618439525</v>
      </c>
      <c r="I665" s="19">
        <f>I661-SUM(I662:I664)</f>
        <v>32458647.839999996</v>
      </c>
      <c r="J665" s="13"/>
      <c r="K665" s="13"/>
      <c r="L665" s="13"/>
      <c r="M665" s="8"/>
    </row>
    <row r="666" spans="1:13" s="3" customFormat="1" ht="12.2" customHeight="1" x14ac:dyDescent="0.2">
      <c r="A666" s="1" t="s">
        <v>131</v>
      </c>
      <c r="F666" s="245">
        <v>595.94000000000005</v>
      </c>
      <c r="G666" s="246">
        <v>229.86</v>
      </c>
      <c r="H666" s="246">
        <v>705.06</v>
      </c>
      <c r="I666" s="19">
        <f>SUM(F666:H666)</f>
        <v>1530.8600000000001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23536.38</v>
      </c>
      <c r="G668" s="19">
        <f>ROUND(G665/G666,2)</f>
        <v>23384.05</v>
      </c>
      <c r="H668" s="19">
        <f>ROUND(H665/H666,2)</f>
        <v>18519.439999999999</v>
      </c>
      <c r="I668" s="19">
        <f>ROUND(I665/I666,2)</f>
        <v>21202.880000000001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23536.38</v>
      </c>
      <c r="G673" s="19">
        <f>ROUND((G665+G670)/(G666+G671),2)</f>
        <v>23384.05</v>
      </c>
      <c r="H673" s="19">
        <f>ROUND((H665+H670)/(H666+H671),2)</f>
        <v>18519.439999999999</v>
      </c>
      <c r="I673" s="19">
        <f>ROUND((I665+I670)/(I666+I671),2)</f>
        <v>21202.880000000001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C6" sqref="C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471263.15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94437.82</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168038.22</v>
      </c>
      <c r="F13" s="349" t="s">
        <v>1646</v>
      </c>
    </row>
    <row r="14" spans="2:8" x14ac:dyDescent="0.25">
      <c r="B14" s="348"/>
      <c r="C14" s="348"/>
      <c r="D14" s="349"/>
      <c r="E14" s="348"/>
      <c r="F14" s="348"/>
    </row>
    <row r="15" spans="2:8" x14ac:dyDescent="0.25">
      <c r="B15" s="348"/>
      <c r="C15" s="349" t="s">
        <v>1640</v>
      </c>
      <c r="D15" s="349" t="s">
        <v>1653</v>
      </c>
      <c r="E15" s="336">
        <v>180868.73</v>
      </c>
      <c r="F15" s="349" t="s">
        <v>1647</v>
      </c>
    </row>
    <row r="16" spans="2:8" x14ac:dyDescent="0.25">
      <c r="B16" s="348"/>
      <c r="C16" s="348"/>
      <c r="D16" s="348"/>
      <c r="E16" s="348"/>
      <c r="F16" s="348"/>
    </row>
    <row r="17" spans="2:8" x14ac:dyDescent="0.25">
      <c r="B17" s="348"/>
      <c r="C17" s="349" t="s">
        <v>1639</v>
      </c>
      <c r="D17" s="349" t="s">
        <v>1654</v>
      </c>
      <c r="E17" s="336">
        <v>27918.38</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Conway</v>
      </c>
      <c r="C5" s="375"/>
      <c r="D5" s="375"/>
      <c r="E5" s="375"/>
      <c r="F5" s="375"/>
    </row>
    <row r="8" spans="1:9" ht="18" x14ac:dyDescent="0.25">
      <c r="A8" s="312" t="s">
        <v>1568</v>
      </c>
      <c r="F8" s="319" t="s">
        <v>1586</v>
      </c>
    </row>
    <row r="9" spans="1:9" ht="15" x14ac:dyDescent="0.2">
      <c r="A9" s="310" t="s">
        <v>1569</v>
      </c>
      <c r="B9" s="313">
        <f>'DOE25'!G97</f>
        <v>10763.92</v>
      </c>
      <c r="F9" s="310" t="s">
        <v>1582</v>
      </c>
    </row>
    <row r="10" spans="1:9" ht="15" x14ac:dyDescent="0.2">
      <c r="A10" s="310" t="s">
        <v>1570</v>
      </c>
      <c r="B10" s="313">
        <f>'DOE25'!G112-'DOE25'!G97</f>
        <v>0</v>
      </c>
      <c r="F10" s="310" t="s">
        <v>1583</v>
      </c>
    </row>
    <row r="11" spans="1:9" ht="15" x14ac:dyDescent="0.2">
      <c r="A11" s="310" t="s">
        <v>1571</v>
      </c>
      <c r="B11" s="313">
        <f>'DOE25'!G140</f>
        <v>9444.67</v>
      </c>
      <c r="F11" s="310" t="s">
        <v>1584</v>
      </c>
    </row>
    <row r="12" spans="1:9" ht="15" x14ac:dyDescent="0.2">
      <c r="A12" s="310" t="s">
        <v>1572</v>
      </c>
      <c r="B12" s="313">
        <f>'DOE25'!G170</f>
        <v>930392.1</v>
      </c>
      <c r="F12" s="310" t="s">
        <v>1585</v>
      </c>
    </row>
    <row r="13" spans="1:9" ht="15" x14ac:dyDescent="0.2">
      <c r="A13" s="310" t="s">
        <v>1573</v>
      </c>
      <c r="B13" s="313">
        <f>'DOE25'!G193-'DOE25'!G180</f>
        <v>0</v>
      </c>
      <c r="F13" s="310" t="s">
        <v>1595</v>
      </c>
    </row>
    <row r="14" spans="1:9" ht="18" x14ac:dyDescent="0.25">
      <c r="A14" s="312" t="s">
        <v>732</v>
      </c>
      <c r="B14" s="314">
        <f>SUM(B9:B13)</f>
        <v>950600.69</v>
      </c>
    </row>
    <row r="16" spans="1:9" ht="18" x14ac:dyDescent="0.25">
      <c r="A16" s="312" t="s">
        <v>786</v>
      </c>
      <c r="F16" s="319" t="s">
        <v>1587</v>
      </c>
    </row>
    <row r="17" spans="1:6" ht="15" x14ac:dyDescent="0.2">
      <c r="A17" s="310" t="s">
        <v>1574</v>
      </c>
      <c r="B17" s="313">
        <f>'DOE25'!L363-'DOE25'!L362</f>
        <v>904968.6</v>
      </c>
      <c r="F17" s="310" t="s">
        <v>1588</v>
      </c>
    </row>
    <row r="18" spans="1:6" ht="15" x14ac:dyDescent="0.2">
      <c r="A18" s="310" t="s">
        <v>1575</v>
      </c>
      <c r="B18" s="323"/>
      <c r="F18" s="319" t="s">
        <v>1612</v>
      </c>
    </row>
    <row r="19" spans="1:6" ht="18" x14ac:dyDescent="0.25">
      <c r="A19" s="312" t="s">
        <v>725</v>
      </c>
      <c r="B19" s="314">
        <f>SUM(B17:B18)</f>
        <v>904968.6</v>
      </c>
    </row>
    <row r="21" spans="1:6" ht="18.75" thickBot="1" x14ac:dyDescent="0.3">
      <c r="A21" s="312" t="s">
        <v>1576</v>
      </c>
    </row>
    <row r="22" spans="1:6" ht="18.75" thickTop="1" x14ac:dyDescent="0.25">
      <c r="A22" s="312" t="s">
        <v>1577</v>
      </c>
      <c r="B22" s="318">
        <f>B14-B19</f>
        <v>45632.089999999967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14688.98</v>
      </c>
      <c r="F31" s="310" t="s">
        <v>1592</v>
      </c>
    </row>
    <row r="33" spans="1:6" ht="15" x14ac:dyDescent="0.2">
      <c r="A33" s="310" t="s">
        <v>1635</v>
      </c>
      <c r="B33" s="313">
        <f>'DOE25'!G477</f>
        <v>97585.309999999939</v>
      </c>
      <c r="F33" s="310" t="s">
        <v>1593</v>
      </c>
    </row>
    <row r="36" spans="1:6" ht="15" x14ac:dyDescent="0.2">
      <c r="A36" s="310" t="s">
        <v>1579</v>
      </c>
      <c r="B36" s="324">
        <v>72043.38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Conway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7910456.0900000008</v>
      </c>
      <c r="C9" s="228">
        <f>'DOE25'!G198+'DOE25'!G216+'DOE25'!G234+'DOE25'!G277+'DOE25'!G296+'DOE25'!G315</f>
        <v>6144453.1600000001</v>
      </c>
    </row>
    <row r="10" spans="1:3" x14ac:dyDescent="0.2">
      <c r="A10" t="s">
        <v>775</v>
      </c>
      <c r="B10" s="239">
        <v>6716007.4000000004</v>
      </c>
      <c r="C10" s="239">
        <v>3769067.27</v>
      </c>
    </row>
    <row r="11" spans="1:3" x14ac:dyDescent="0.2">
      <c r="A11" t="s">
        <v>776</v>
      </c>
      <c r="B11" s="239">
        <v>148034.04</v>
      </c>
      <c r="C11" s="239">
        <v>102976.06</v>
      </c>
    </row>
    <row r="12" spans="1:3" x14ac:dyDescent="0.2">
      <c r="A12" t="s">
        <v>777</v>
      </c>
      <c r="B12" s="239">
        <v>1046414.65</v>
      </c>
      <c r="C12" s="239">
        <v>2272409.83</v>
      </c>
    </row>
    <row r="13" spans="1:3" x14ac:dyDescent="0.2">
      <c r="A13" t="str">
        <f>IF(B9=B13,IF(C9=C13,"Check Total OK","Check Total Error"),"Check Total Error")</f>
        <v>Check Total OK</v>
      </c>
      <c r="B13" s="230">
        <f>SUM(B10:B12)</f>
        <v>7910456.0900000008</v>
      </c>
      <c r="C13" s="230">
        <f>SUM(C10:C12)</f>
        <v>6144453.1600000001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2266688.7800000003</v>
      </c>
      <c r="C18" s="228">
        <f>'DOE25'!G199+'DOE25'!G217+'DOE25'!G235+'DOE25'!G278+'DOE25'!G297+'DOE25'!G316</f>
        <v>1416464.84</v>
      </c>
    </row>
    <row r="19" spans="1:3" x14ac:dyDescent="0.2">
      <c r="A19" t="s">
        <v>775</v>
      </c>
      <c r="B19" s="239">
        <v>1175719.68</v>
      </c>
      <c r="C19" s="239">
        <v>692072.11</v>
      </c>
    </row>
    <row r="20" spans="1:3" x14ac:dyDescent="0.2">
      <c r="A20" t="s">
        <v>776</v>
      </c>
      <c r="B20" s="239">
        <v>967223.14</v>
      </c>
      <c r="C20" s="239">
        <v>654735.12</v>
      </c>
    </row>
    <row r="21" spans="1:3" x14ac:dyDescent="0.2">
      <c r="A21" t="s">
        <v>777</v>
      </c>
      <c r="B21" s="239">
        <v>123745.96</v>
      </c>
      <c r="C21" s="239">
        <v>69657.61</v>
      </c>
    </row>
    <row r="22" spans="1:3" x14ac:dyDescent="0.2">
      <c r="A22" t="str">
        <f>IF(B18=B22,IF(C18=C22,"Check Total OK","Check Total Error"),"Check Total Error")</f>
        <v>Check Total OK</v>
      </c>
      <c r="B22" s="230">
        <f>SUM(B19:B21)</f>
        <v>2266688.7799999998</v>
      </c>
      <c r="C22" s="230">
        <f>SUM(C19:C21)</f>
        <v>1416464.84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638165.85000000009</v>
      </c>
      <c r="C27" s="233">
        <f>'DOE25'!G200+'DOE25'!G218+'DOE25'!G236+'DOE25'!G279+'DOE25'!G298+'DOE25'!G317</f>
        <v>351509.47000000003</v>
      </c>
    </row>
    <row r="28" spans="1:3" x14ac:dyDescent="0.2">
      <c r="A28" t="s">
        <v>775</v>
      </c>
      <c r="B28" s="239">
        <v>576435.48</v>
      </c>
      <c r="C28" s="239">
        <v>336115.22</v>
      </c>
    </row>
    <row r="29" spans="1:3" x14ac:dyDescent="0.2">
      <c r="A29" t="s">
        <v>776</v>
      </c>
      <c r="B29" s="239">
        <v>19835.419999999998</v>
      </c>
      <c r="C29" s="239">
        <v>14076.46</v>
      </c>
    </row>
    <row r="30" spans="1:3" x14ac:dyDescent="0.2">
      <c r="A30" t="s">
        <v>777</v>
      </c>
      <c r="B30" s="239">
        <v>41894.949999999997</v>
      </c>
      <c r="C30" s="239">
        <v>1317.79</v>
      </c>
    </row>
    <row r="31" spans="1:3" x14ac:dyDescent="0.2">
      <c r="A31" t="str">
        <f>IF(B27=B31,IF(C27=C31,"Check Total OK","Check Total Error"),"Check Total Error")</f>
        <v>Check Total OK</v>
      </c>
      <c r="B31" s="230">
        <f>SUM(B28:B30)</f>
        <v>638165.85</v>
      </c>
      <c r="C31" s="230">
        <f>SUM(C28:C30)</f>
        <v>351509.47</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561856.19000000006</v>
      </c>
      <c r="C36" s="234">
        <f>'DOE25'!G201+'DOE25'!G219+'DOE25'!G237+'DOE25'!G280+'DOE25'!G299+'DOE25'!G318</f>
        <v>120741.32</v>
      </c>
    </row>
    <row r="37" spans="1:3" x14ac:dyDescent="0.2">
      <c r="A37" t="s">
        <v>775</v>
      </c>
      <c r="B37" s="239">
        <v>0</v>
      </c>
      <c r="C37" s="239">
        <v>0</v>
      </c>
    </row>
    <row r="38" spans="1:3" x14ac:dyDescent="0.2">
      <c r="A38" t="s">
        <v>776</v>
      </c>
      <c r="B38" s="239">
        <v>211706.15</v>
      </c>
      <c r="C38" s="239">
        <v>39062.54</v>
      </c>
    </row>
    <row r="39" spans="1:3" x14ac:dyDescent="0.2">
      <c r="A39" t="s">
        <v>777</v>
      </c>
      <c r="B39" s="239">
        <v>350150.04</v>
      </c>
      <c r="C39" s="239">
        <v>81678.78</v>
      </c>
    </row>
    <row r="40" spans="1:3" x14ac:dyDescent="0.2">
      <c r="A40" t="str">
        <f>IF(B36=B40,IF(C36=C40,"Check Total OK","Check Total Error"),"Check Total Error")</f>
        <v>Check Total OK</v>
      </c>
      <c r="B40" s="230">
        <f>SUM(B37:B39)</f>
        <v>561856.18999999994</v>
      </c>
      <c r="C40" s="230">
        <f>SUM(C37:C39)</f>
        <v>120741.32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Conway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19607735.010000002</v>
      </c>
      <c r="D5" s="20">
        <f>SUM('DOE25'!L198:L201)+SUM('DOE25'!L216:L219)+SUM('DOE25'!L234:L237)-F5-G5-H5</f>
        <v>19253121.800000001</v>
      </c>
      <c r="E5" s="242"/>
      <c r="F5" s="243"/>
      <c r="G5" s="53">
        <f>SUM('DOE25'!J198:J201)+SUM('DOE25'!J216:J219)+SUM('DOE25'!J234:J237)</f>
        <v>341928.83999999997</v>
      </c>
      <c r="H5" s="53">
        <f>SUM('DOE25'!K198:K201)+SUM('DOE25'!K216:K219)+SUM('DOE25'!K234:K237)</f>
        <v>12684.369999999999</v>
      </c>
      <c r="I5" s="255"/>
    </row>
    <row r="6" spans="1:9" x14ac:dyDescent="0.2">
      <c r="A6" s="32">
        <v>2100</v>
      </c>
      <c r="B6" t="s">
        <v>796</v>
      </c>
      <c r="C6" s="274">
        <f t="shared" si="0"/>
        <v>2632877.09</v>
      </c>
      <c r="D6" s="20">
        <f>'DOE25'!L203+'DOE25'!L221+'DOE25'!L239-F6-G6-H6</f>
        <v>2510517.9899999998</v>
      </c>
      <c r="E6" s="242"/>
      <c r="F6" s="243">
        <v>118492.96</v>
      </c>
      <c r="G6" s="53">
        <f>'DOE25'!J203+'DOE25'!J221+'DOE25'!J239</f>
        <v>2542.64</v>
      </c>
      <c r="H6" s="53">
        <f>'DOE25'!K203+'DOE25'!K221+'DOE25'!K239</f>
        <v>1323.5</v>
      </c>
      <c r="I6" s="255"/>
    </row>
    <row r="7" spans="1:9" x14ac:dyDescent="0.2">
      <c r="A7" s="32">
        <v>2200</v>
      </c>
      <c r="B7" t="s">
        <v>821</v>
      </c>
      <c r="C7" s="274">
        <f t="shared" si="0"/>
        <v>628056.64</v>
      </c>
      <c r="D7" s="20">
        <f>'DOE25'!L204+'DOE25'!L222+'DOE25'!L240-F7-G7-H7</f>
        <v>626726.82000000007</v>
      </c>
      <c r="E7" s="242"/>
      <c r="F7" s="243"/>
      <c r="G7" s="53">
        <f>'DOE25'!J204+'DOE25'!J222+'DOE25'!J240</f>
        <v>368.82</v>
      </c>
      <c r="H7" s="53">
        <f>'DOE25'!K204+'DOE25'!K222+'DOE25'!K240</f>
        <v>961</v>
      </c>
      <c r="I7" s="255"/>
    </row>
    <row r="8" spans="1:9" x14ac:dyDescent="0.2">
      <c r="A8" s="32">
        <v>2300</v>
      </c>
      <c r="B8" t="s">
        <v>797</v>
      </c>
      <c r="C8" s="274">
        <f t="shared" si="0"/>
        <v>793974.91000000027</v>
      </c>
      <c r="D8" s="242"/>
      <c r="E8" s="20">
        <f>'DOE25'!L205+'DOE25'!L223+'DOE25'!L241-F8-G8-H8-D9-D11</f>
        <v>788918.65000000026</v>
      </c>
      <c r="F8" s="243"/>
      <c r="G8" s="53">
        <f>'DOE25'!J205+'DOE25'!J223+'DOE25'!J241</f>
        <v>0</v>
      </c>
      <c r="H8" s="53">
        <f>'DOE25'!K205+'DOE25'!K223+'DOE25'!K241</f>
        <v>5056.26</v>
      </c>
      <c r="I8" s="255"/>
    </row>
    <row r="9" spans="1:9" ht="14.25" x14ac:dyDescent="0.2">
      <c r="A9" s="32">
        <v>2310</v>
      </c>
      <c r="B9" s="184" t="s">
        <v>888</v>
      </c>
      <c r="C9" s="274">
        <f t="shared" si="0"/>
        <v>173511.9</v>
      </c>
      <c r="D9" s="243">
        <v>173511.9</v>
      </c>
      <c r="E9" s="242"/>
      <c r="F9" s="252"/>
      <c r="G9" s="252"/>
      <c r="H9" s="252"/>
      <c r="I9" s="255"/>
    </row>
    <row r="10" spans="1:9" ht="14.25" x14ac:dyDescent="0.2">
      <c r="A10" s="32">
        <v>2317</v>
      </c>
      <c r="B10" s="184" t="s">
        <v>889</v>
      </c>
      <c r="C10" s="274">
        <f t="shared" si="0"/>
        <v>21150</v>
      </c>
      <c r="D10" s="242"/>
      <c r="E10" s="243">
        <v>21150</v>
      </c>
      <c r="F10" s="252"/>
      <c r="G10" s="252"/>
      <c r="H10" s="252"/>
      <c r="I10" s="255"/>
    </row>
    <row r="11" spans="1:9" ht="14.25" x14ac:dyDescent="0.2">
      <c r="A11" s="32">
        <v>2321</v>
      </c>
      <c r="B11" s="184" t="s">
        <v>890</v>
      </c>
      <c r="C11" s="274">
        <f t="shared" si="0"/>
        <v>377536.1</v>
      </c>
      <c r="D11" s="243">
        <v>377536.1</v>
      </c>
      <c r="E11" s="242"/>
      <c r="F11" s="252"/>
      <c r="G11" s="252"/>
      <c r="H11" s="252"/>
      <c r="I11" s="255"/>
    </row>
    <row r="12" spans="1:9" x14ac:dyDescent="0.2">
      <c r="A12" s="32">
        <v>2400</v>
      </c>
      <c r="B12" t="s">
        <v>711</v>
      </c>
      <c r="C12" s="274">
        <f t="shared" si="0"/>
        <v>1926017.63</v>
      </c>
      <c r="D12" s="20">
        <f>'DOE25'!L206+'DOE25'!L224+'DOE25'!L242-F12-G12-H12</f>
        <v>1790191.99</v>
      </c>
      <c r="E12" s="242"/>
      <c r="F12" s="243"/>
      <c r="G12" s="53">
        <f>'DOE25'!J206+'DOE25'!J224+'DOE25'!J242</f>
        <v>104902.62999999999</v>
      </c>
      <c r="H12" s="53">
        <f>'DOE25'!K206+'DOE25'!K224+'DOE25'!K242</f>
        <v>30923.01</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4025412.46</v>
      </c>
      <c r="D14" s="20">
        <f>'DOE25'!L208+'DOE25'!L226+'DOE25'!L244-F14-G14-H14</f>
        <v>3523621.26</v>
      </c>
      <c r="E14" s="242"/>
      <c r="F14" s="243">
        <v>412200.49</v>
      </c>
      <c r="G14" s="53">
        <f>'DOE25'!J208+'DOE25'!J226+'DOE25'!J244</f>
        <v>89590.709999999992</v>
      </c>
      <c r="H14" s="53">
        <f>'DOE25'!K208+'DOE25'!K226+'DOE25'!K244</f>
        <v>0</v>
      </c>
      <c r="I14" s="255"/>
    </row>
    <row r="15" spans="1:9" x14ac:dyDescent="0.2">
      <c r="A15" s="32">
        <v>2700</v>
      </c>
      <c r="B15" t="s">
        <v>799</v>
      </c>
      <c r="C15" s="274">
        <f t="shared" si="0"/>
        <v>768147.01</v>
      </c>
      <c r="D15" s="20">
        <f>'DOE25'!L209+'DOE25'!L227+'DOE25'!L245-F15-G15-H15</f>
        <v>768147.01</v>
      </c>
      <c r="E15" s="242"/>
      <c r="F15" s="243"/>
      <c r="G15" s="53">
        <f>'DOE25'!J209+'DOE25'!J227+'DOE25'!J245</f>
        <v>0</v>
      </c>
      <c r="H15" s="53">
        <f>'DOE25'!K209+'DOE25'!K227+'DOE25'!K245</f>
        <v>0</v>
      </c>
      <c r="I15" s="255"/>
    </row>
    <row r="16" spans="1:9" x14ac:dyDescent="0.2">
      <c r="A16" s="32">
        <v>2800</v>
      </c>
      <c r="B16" t="s">
        <v>800</v>
      </c>
      <c r="C16" s="274">
        <f t="shared" si="0"/>
        <v>3522.27</v>
      </c>
      <c r="D16" s="242"/>
      <c r="E16" s="20">
        <f>'DOE25'!L210+'DOE25'!L228+'DOE25'!L246-F16-G16-H16</f>
        <v>3522.27</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566989.1</v>
      </c>
      <c r="D22" s="242"/>
      <c r="E22" s="242"/>
      <c r="F22" s="242"/>
      <c r="G22" s="53">
        <f>'DOE25'!L256+'DOE25'!L337</f>
        <v>566989.1</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2453069.2599999998</v>
      </c>
      <c r="D25" s="242"/>
      <c r="E25" s="242"/>
      <c r="F25" s="254"/>
      <c r="G25" s="252"/>
      <c r="H25" s="252"/>
      <c r="I25" s="253">
        <f>'DOE25'!L261+'DOE25'!L262+'DOE25'!L342+'DOE25'!L343</f>
        <v>2453069.2599999998</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904968.6</v>
      </c>
      <c r="D29" s="282">
        <f>'DOE25'!L359+'DOE25'!L360+'DOE25'!L361-'DOE25'!I368-F29-G29-H29</f>
        <v>37274.599999999977</v>
      </c>
      <c r="E29" s="242"/>
      <c r="F29" s="243">
        <v>867694</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2594760.8899999992</v>
      </c>
      <c r="D31" s="20">
        <f>'DOE25'!L291+'DOE25'!L310+'DOE25'!L329+'DOE25'!L334+'DOE25'!L335+'DOE25'!L336-F31-G31-H31</f>
        <v>2137333.6999999997</v>
      </c>
      <c r="E31" s="242"/>
      <c r="F31" s="243">
        <v>126455.05</v>
      </c>
      <c r="G31" s="53">
        <f>'DOE25'!J291+'DOE25'!J310+'DOE25'!J329+'DOE25'!J334+'DOE25'!J335+'DOE25'!J336</f>
        <v>325354.99</v>
      </c>
      <c r="H31" s="53">
        <f>'DOE25'!K291+'DOE25'!K310+'DOE25'!K329+'DOE25'!K334+'DOE25'!K335+'DOE25'!K336</f>
        <v>5617.15</v>
      </c>
      <c r="I31" s="255"/>
    </row>
    <row r="32" spans="1:9" ht="12" thickBot="1" x14ac:dyDescent="0.25">
      <c r="C32" s="275"/>
      <c r="G32" s="250"/>
      <c r="H32" s="250"/>
      <c r="I32" s="257"/>
    </row>
    <row r="33" spans="1:9" ht="12" thickTop="1" x14ac:dyDescent="0.2">
      <c r="B33" t="s">
        <v>809</v>
      </c>
      <c r="D33" s="244">
        <f t="shared" ref="D33:I33" si="1">SUM(D5:D31)</f>
        <v>31197983.170000002</v>
      </c>
      <c r="E33" s="244">
        <f t="shared" si="1"/>
        <v>813590.92000000027</v>
      </c>
      <c r="F33" s="244">
        <f t="shared" si="1"/>
        <v>1524842.5</v>
      </c>
      <c r="G33" s="244">
        <f t="shared" si="1"/>
        <v>1431677.73</v>
      </c>
      <c r="H33" s="244">
        <f t="shared" si="1"/>
        <v>56565.29</v>
      </c>
      <c r="I33" s="244">
        <f t="shared" si="1"/>
        <v>2453069.2599999998</v>
      </c>
    </row>
    <row r="35" spans="1:9" ht="12" thickBot="1" x14ac:dyDescent="0.25">
      <c r="B35" s="250" t="s">
        <v>831</v>
      </c>
      <c r="D35" s="251">
        <f>E33</f>
        <v>813590.92000000027</v>
      </c>
      <c r="E35" s="247"/>
      <c r="F35" s="328" t="s">
        <v>1617</v>
      </c>
      <c r="G35" s="329"/>
      <c r="H35" s="329"/>
      <c r="I35" s="329"/>
    </row>
    <row r="36" spans="1:9" ht="12" thickTop="1" x14ac:dyDescent="0.2">
      <c r="B36" t="s">
        <v>810</v>
      </c>
      <c r="D36" s="20">
        <f>D33</f>
        <v>31197983.170000002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25" sqref="A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Conway</v>
      </c>
      <c r="B2" s="126">
        <f>'DOE25'!B2</f>
        <v>113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14594737.99</v>
      </c>
      <c r="G4" s="299">
        <f>'DOE25'!L212+'DOE25'!L291</f>
        <v>14594737.990000002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Conway Elementary School</v>
      </c>
      <c r="B6" s="300">
        <f>IFERROR(VLOOKUP(A6,'School Tables'!$C$3:$D$365,2,FALSE),"")</f>
        <v>20340</v>
      </c>
      <c r="C6" s="293" t="str">
        <f>IFERROR(INDEX('School Tables'!$B$3:$B$365,MATCH('School Level Expenditures'!B6,'School Tables'!$D$3:$D$365,0)),"")</f>
        <v>Conway</v>
      </c>
      <c r="D6" s="290">
        <v>4281420.49</v>
      </c>
      <c r="E6" s="290">
        <v>660146.64</v>
      </c>
      <c r="F6" s="303">
        <f t="shared" ref="F6:F20" si="0">D6+E6</f>
        <v>4941567.13</v>
      </c>
      <c r="G6" s="293"/>
      <c r="H6" s="293"/>
      <c r="I6" s="384"/>
      <c r="N6"/>
    </row>
    <row r="7" spans="1:18" x14ac:dyDescent="0.2">
      <c r="A7" s="126" t="str" cm="1">
        <f t="array" ref="A7">IFERROR(INDEX('School Tables'!$A$4:$G$325,'School Tables'!$J5,3),"")</f>
        <v>John H. Fuller School</v>
      </c>
      <c r="B7" s="300">
        <f>IFERROR(VLOOKUP(A7,'School Tables'!$C$3:$D$365,2,FALSE),"")</f>
        <v>20335</v>
      </c>
      <c r="C7" s="293" t="str">
        <f>IFERROR(INDEX('School Tables'!$B$3:$B$365,MATCH('School Level Expenditures'!B7,'School Tables'!$D$3:$D$365,0)),"")</f>
        <v>Conway</v>
      </c>
      <c r="D7" s="290">
        <v>4020307.22</v>
      </c>
      <c r="E7" s="290">
        <v>444532.4</v>
      </c>
      <c r="F7" s="303">
        <f t="shared" si="0"/>
        <v>4464839.62</v>
      </c>
      <c r="G7" s="293"/>
      <c r="H7" s="293"/>
      <c r="I7" s="341"/>
      <c r="N7"/>
    </row>
    <row r="8" spans="1:18" x14ac:dyDescent="0.2">
      <c r="A8" s="126" t="str" cm="1">
        <f t="array" ref="A8">IFERROR(INDEX('School Tables'!$A$4:$G$325,'School Tables'!$J6,3),"")</f>
        <v>Pine Tree Elementary School</v>
      </c>
      <c r="B8" s="300">
        <f>IFERROR(VLOOKUP(A8,'School Tables'!$C$3:$D$365,2,FALSE),"")</f>
        <v>20330</v>
      </c>
      <c r="C8" s="293" t="str">
        <f>IFERROR(INDEX('School Tables'!$B$3:$B$365,MATCH('School Level Expenditures'!B8,'School Tables'!$D$3:$D$365,0)),"")</f>
        <v>Conway</v>
      </c>
      <c r="D8" s="290">
        <v>4576173.68</v>
      </c>
      <c r="E8" s="290">
        <v>612157.56000000006</v>
      </c>
      <c r="F8" s="303">
        <f t="shared" si="0"/>
        <v>5188331.24</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12877901.390000001</v>
      </c>
      <c r="E21" s="338">
        <f>SUM(E5:E20)</f>
        <v>1716836.6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5481560.0899999999</v>
      </c>
      <c r="G24" s="299">
        <f>'DOE25'!L230+'DOE25'!L310</f>
        <v>5481560.0899999999</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A. Crosby Kennett Middle School</v>
      </c>
      <c r="B26" s="300">
        <f>IFERROR(VLOOKUP(A26,'School Tables'!$N$4:$O$75,2,FALSE),"")</f>
        <v>27010</v>
      </c>
      <c r="C26" s="293" t="str">
        <f>IFERROR(INDEX('School Tables'!$M$4:$M$75,MATCH('School Level Expenditures'!A26,'School Tables'!$N$4:$N$75,0)),"")</f>
        <v>Conway</v>
      </c>
      <c r="D26" s="290">
        <v>5333022.8899999997</v>
      </c>
      <c r="E26" s="290">
        <v>148537.20000000001</v>
      </c>
      <c r="F26" s="303">
        <f t="shared" ref="F26:F32" si="1">D26+E26</f>
        <v>5481560.0899999999</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5333022.8899999997</v>
      </c>
      <c r="E33" s="338">
        <f>SUM(E25:E32)</f>
        <v>148537.20000000001</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13455253.83</v>
      </c>
      <c r="G36" s="299">
        <f>'DOE25'!L248+'DOE25'!L329</f>
        <v>13455253.829999996</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Kennett High School</v>
      </c>
      <c r="B38" s="300">
        <f>IFERROR(VLOOKUP(A38,'School Tables'!$Y$4:$Z$100,2,FALSE),"")</f>
        <v>20345</v>
      </c>
      <c r="C38" s="293" t="str">
        <f>IFERROR(INDEX('School Tables'!$X$4:$X$100,MATCH('School Level Expenditures'!A38,'School Tables'!$Y$4:$Y$100,0)),"")</f>
        <v>Conway</v>
      </c>
      <c r="D38" s="290">
        <v>12725866.74</v>
      </c>
      <c r="E38" s="290">
        <v>729387.09</v>
      </c>
      <c r="F38" s="303">
        <f t="shared" si="2"/>
        <v>13455253.83</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12725866.74</v>
      </c>
      <c r="E43" s="339">
        <f>SUM(E37:E42)</f>
        <v>729387.09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topLeftCell="A34"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Conway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5093423.88</v>
      </c>
      <c r="D8" s="95">
        <f>'DOE25'!G9</f>
        <v>701204.37</v>
      </c>
      <c r="E8" s="95">
        <f>'DOE25'!H9</f>
        <v>0</v>
      </c>
      <c r="F8" s="95">
        <f>'DOE25'!I9</f>
        <v>0</v>
      </c>
      <c r="G8" s="95">
        <f>'DOE25'!J9</f>
        <v>2071765.0200000003</v>
      </c>
      <c r="H8" s="124">
        <f>SUM(C8:G8)</f>
        <v>7866393.2700000005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5474529.7699999996</v>
      </c>
      <c r="D11" s="95">
        <f>'DOE25'!G12</f>
        <v>710306.83</v>
      </c>
      <c r="E11" s="95">
        <f>'DOE25'!H12</f>
        <v>3658388.07</v>
      </c>
      <c r="F11" s="95">
        <f>'DOE25'!I12</f>
        <v>0</v>
      </c>
      <c r="G11" s="95">
        <f>'DOE25'!J12</f>
        <v>0</v>
      </c>
      <c r="H11" s="124">
        <f t="shared" si="0"/>
        <v>9843224.6699999999</v>
      </c>
      <c r="I11" s="124"/>
    </row>
    <row r="12" spans="1:9" x14ac:dyDescent="0.2">
      <c r="A12" s="1" t="s">
        <v>143</v>
      </c>
      <c r="B12" s="6">
        <v>140</v>
      </c>
      <c r="C12" s="95">
        <f>'DOE25'!F13</f>
        <v>74073.850000000006</v>
      </c>
      <c r="D12" s="95">
        <f>'DOE25'!G13</f>
        <v>357834.03</v>
      </c>
      <c r="E12" s="95">
        <f>'DOE25'!H13</f>
        <v>689706.19</v>
      </c>
      <c r="F12" s="95">
        <f>'DOE25'!I13</f>
        <v>0</v>
      </c>
      <c r="G12" s="95">
        <f>'DOE25'!J13</f>
        <v>0</v>
      </c>
      <c r="H12" s="124">
        <f t="shared" si="0"/>
        <v>1121614.0699999998</v>
      </c>
      <c r="I12" s="124"/>
    </row>
    <row r="13" spans="1:9" x14ac:dyDescent="0.2">
      <c r="A13" s="1" t="s">
        <v>144</v>
      </c>
      <c r="B13" s="6">
        <v>150</v>
      </c>
      <c r="C13" s="95">
        <f>'DOE25'!F14</f>
        <v>69535.48</v>
      </c>
      <c r="D13" s="95">
        <f>'DOE25'!G14</f>
        <v>0</v>
      </c>
      <c r="E13" s="95">
        <f>'DOE25'!H14</f>
        <v>0</v>
      </c>
      <c r="F13" s="95">
        <f>'DOE25'!I14</f>
        <v>0</v>
      </c>
      <c r="G13" s="95">
        <f>'DOE25'!J14</f>
        <v>0</v>
      </c>
      <c r="H13" s="124">
        <f t="shared" si="0"/>
        <v>69535.48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51953.22</v>
      </c>
      <c r="E15" s="95">
        <f>'DOE25'!H16</f>
        <v>0</v>
      </c>
      <c r="F15" s="95">
        <f>'DOE25'!I16</f>
        <v>0</v>
      </c>
      <c r="G15" s="24" t="s">
        <v>288</v>
      </c>
      <c r="H15" s="124">
        <f t="shared" si="0"/>
        <v>51953.22</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10711562.979999999</v>
      </c>
      <c r="D18" s="41">
        <f>SUM(D8:D17)</f>
        <v>1821298.45</v>
      </c>
      <c r="E18" s="41">
        <f>SUM(E8:E17)</f>
        <v>4348094.26</v>
      </c>
      <c r="F18" s="41">
        <f>SUM(F8:F17)</f>
        <v>0</v>
      </c>
      <c r="G18" s="41">
        <f>SUM(G8:G17)</f>
        <v>2071765.0200000003</v>
      </c>
      <c r="H18" s="41">
        <f t="shared" si="0"/>
        <v>18952720.709999997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4354825.9000000004</v>
      </c>
      <c r="D21" s="95">
        <f>'DOE25'!G22</f>
        <v>1723399.89</v>
      </c>
      <c r="E21" s="95">
        <f>'DOE25'!H22</f>
        <v>3764875.4</v>
      </c>
      <c r="F21" s="95">
        <f>'DOE25'!I22</f>
        <v>0</v>
      </c>
      <c r="G21" s="95">
        <f>'DOE25'!J22</f>
        <v>0</v>
      </c>
      <c r="H21" s="124">
        <f t="shared" ref="H21:H31" si="1">SUM(C21:G21)</f>
        <v>9843101.1899999995</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326545.59000000003</v>
      </c>
      <c r="D23" s="95">
        <f>'DOE25'!G24</f>
        <v>313.25</v>
      </c>
      <c r="E23" s="95">
        <f>'DOE25'!H24</f>
        <v>61414.45</v>
      </c>
      <c r="F23" s="95">
        <f>'DOE25'!I24</f>
        <v>0</v>
      </c>
      <c r="G23" s="95">
        <f>'DOE25'!J24</f>
        <v>0</v>
      </c>
      <c r="H23" s="124">
        <f t="shared" si="1"/>
        <v>388273.29000000004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59894.35</v>
      </c>
      <c r="D27" s="95">
        <f>'DOE25'!G28</f>
        <v>0</v>
      </c>
      <c r="E27" s="95">
        <f>'DOE25'!H28</f>
        <v>0</v>
      </c>
      <c r="F27" s="95">
        <f>'DOE25'!I28</f>
        <v>0</v>
      </c>
      <c r="G27" s="24" t="s">
        <v>288</v>
      </c>
      <c r="H27" s="124">
        <f t="shared" si="1"/>
        <v>59894.35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1995240.02</v>
      </c>
      <c r="D29" s="95">
        <f>'DOE25'!G30</f>
        <v>0</v>
      </c>
      <c r="E29" s="95">
        <f>'DOE25'!H30</f>
        <v>0</v>
      </c>
      <c r="F29" s="95">
        <f>'DOE25'!I30</f>
        <v>0</v>
      </c>
      <c r="G29" s="24" t="s">
        <v>288</v>
      </c>
      <c r="H29" s="124">
        <f t="shared" si="1"/>
        <v>1995240.02</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6736505.8599999994</v>
      </c>
      <c r="D31" s="41">
        <f>SUM(D21:D30)</f>
        <v>1723713.14</v>
      </c>
      <c r="E31" s="41">
        <f>SUM(E21:E30)</f>
        <v>3826289.85</v>
      </c>
      <c r="F31" s="41">
        <f>SUM(F21:F30)</f>
        <v>0</v>
      </c>
      <c r="G31" s="41">
        <f>SUM(G21:G30)</f>
        <v>0</v>
      </c>
      <c r="H31" s="41">
        <f t="shared" si="1"/>
        <v>12286508.85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51953.22</v>
      </c>
      <c r="E34" s="95">
        <f>'DOE25'!H35</f>
        <v>0</v>
      </c>
      <c r="F34" s="95">
        <f>'DOE25'!I35</f>
        <v>0</v>
      </c>
      <c r="G34" s="24" t="s">
        <v>288</v>
      </c>
      <c r="H34" s="124">
        <f t="shared" ref="H34:H51" si="2">SUM(C34:G34)</f>
        <v>51953.22</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223455</v>
      </c>
      <c r="D45" s="24" t="s">
        <v>288</v>
      </c>
      <c r="E45" s="24" t="s">
        <v>288</v>
      </c>
      <c r="F45" s="24" t="s">
        <v>288</v>
      </c>
      <c r="G45" s="24" t="s">
        <v>288</v>
      </c>
      <c r="H45" s="124">
        <f t="shared" si="2"/>
        <v>223455</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45632.09</v>
      </c>
      <c r="E47" s="95">
        <f>'DOE25'!H48</f>
        <v>0</v>
      </c>
      <c r="F47" s="95">
        <f>'DOE25'!I48</f>
        <v>0</v>
      </c>
      <c r="G47" s="95">
        <f>'DOE25'!J48</f>
        <v>2071765.0200000003</v>
      </c>
      <c r="H47" s="124">
        <f t="shared" si="2"/>
        <v>2117397.1100000003</v>
      </c>
      <c r="I47" s="124"/>
    </row>
    <row r="48" spans="1:9" x14ac:dyDescent="0.2">
      <c r="A48" s="1" t="s">
        <v>882</v>
      </c>
      <c r="B48" s="6">
        <v>753</v>
      </c>
      <c r="C48" s="95">
        <f>'DOE25'!F49</f>
        <v>0</v>
      </c>
      <c r="D48" s="95">
        <f>'DOE25'!G49</f>
        <v>0</v>
      </c>
      <c r="E48" s="95">
        <f>'DOE25'!H49</f>
        <v>521804.41</v>
      </c>
      <c r="F48" s="95">
        <f>'DOE25'!I49</f>
        <v>0</v>
      </c>
      <c r="G48" s="95">
        <f>'DOE25'!J49</f>
        <v>0</v>
      </c>
      <c r="H48" s="124">
        <f t="shared" si="2"/>
        <v>521804.41</v>
      </c>
      <c r="I48" s="124"/>
    </row>
    <row r="49" spans="1:9" ht="12" thickBot="1" x14ac:dyDescent="0.25">
      <c r="A49" s="29" t="s">
        <v>883</v>
      </c>
      <c r="B49" s="71">
        <v>770</v>
      </c>
      <c r="C49" s="95">
        <f>'DOE25'!F50</f>
        <v>3751602.12</v>
      </c>
      <c r="D49" s="24" t="s">
        <v>288</v>
      </c>
      <c r="E49" s="24" t="s">
        <v>288</v>
      </c>
      <c r="F49" s="24" t="s">
        <v>288</v>
      </c>
      <c r="G49" s="24" t="s">
        <v>288</v>
      </c>
      <c r="H49" s="124">
        <f t="shared" si="2"/>
        <v>3751602.12</v>
      </c>
      <c r="I49" s="124"/>
    </row>
    <row r="50" spans="1:9" ht="12.75" thickTop="1" thickBot="1" x14ac:dyDescent="0.25">
      <c r="A50" s="38" t="s">
        <v>884</v>
      </c>
      <c r="B50" s="48"/>
      <c r="C50" s="41">
        <f>SUM(C34:C49)</f>
        <v>3975057.12</v>
      </c>
      <c r="D50" s="41">
        <f>SUM(D34:D49)</f>
        <v>97585.31</v>
      </c>
      <c r="E50" s="41">
        <f>SUM(E34:E49)</f>
        <v>521804.41</v>
      </c>
      <c r="F50" s="41">
        <f>SUM(F34:F49)</f>
        <v>0</v>
      </c>
      <c r="G50" s="41">
        <f>SUM(G34:G49)</f>
        <v>2071765.0200000003</v>
      </c>
      <c r="H50" s="41">
        <f t="shared" si="2"/>
        <v>6666211.8600000003</v>
      </c>
      <c r="I50" s="124"/>
    </row>
    <row r="51" spans="1:9" ht="12" thickTop="1" x14ac:dyDescent="0.2">
      <c r="A51" s="38" t="s">
        <v>885</v>
      </c>
      <c r="B51" s="2"/>
      <c r="C51" s="41">
        <f>C50+C31</f>
        <v>10711562.98</v>
      </c>
      <c r="D51" s="41">
        <f>D50+D31</f>
        <v>1821298.45</v>
      </c>
      <c r="E51" s="41">
        <f>E50+E31</f>
        <v>4348094.26</v>
      </c>
      <c r="F51" s="41">
        <f>F50+F31</f>
        <v>0</v>
      </c>
      <c r="G51" s="41">
        <f>G50+G31</f>
        <v>2071765.0200000003</v>
      </c>
      <c r="H51" s="41">
        <f t="shared" si="2"/>
        <v>18952720.709999997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14605692</v>
      </c>
      <c r="D56" s="95">
        <f>'DOE25'!G60</f>
        <v>0</v>
      </c>
      <c r="E56" s="95">
        <f>'DOE25'!H60</f>
        <v>0</v>
      </c>
      <c r="F56" s="95">
        <f>'DOE25'!I60</f>
        <v>0</v>
      </c>
      <c r="G56" s="95">
        <f>'DOE25'!J60</f>
        <v>0</v>
      </c>
      <c r="H56" s="124">
        <f t="shared" ref="H56:H63" si="3">SUM(C56:G56)</f>
        <v>14605692</v>
      </c>
      <c r="I56"/>
    </row>
    <row r="57" spans="1:9" x14ac:dyDescent="0.2">
      <c r="A57" s="1" t="s">
        <v>164</v>
      </c>
      <c r="B57" s="6" t="s">
        <v>165</v>
      </c>
      <c r="C57" s="95">
        <f>'DOE25'!F79</f>
        <v>10696918.34</v>
      </c>
      <c r="D57" s="24" t="s">
        <v>288</v>
      </c>
      <c r="E57" s="95">
        <f>'DOE25'!H79</f>
        <v>0</v>
      </c>
      <c r="F57" s="24" t="s">
        <v>288</v>
      </c>
      <c r="G57" s="24" t="s">
        <v>288</v>
      </c>
      <c r="H57" s="124">
        <f t="shared" si="3"/>
        <v>10696918.34</v>
      </c>
      <c r="I57"/>
    </row>
    <row r="58" spans="1:9" x14ac:dyDescent="0.2">
      <c r="A58" s="1" t="s">
        <v>166</v>
      </c>
      <c r="B58" s="6" t="s">
        <v>167</v>
      </c>
      <c r="C58" s="95">
        <f>'DOE25'!F94</f>
        <v>24132.720000000001</v>
      </c>
      <c r="D58" s="24" t="s">
        <v>288</v>
      </c>
      <c r="E58" s="95">
        <f>'DOE25'!H94</f>
        <v>0</v>
      </c>
      <c r="F58" s="24" t="s">
        <v>288</v>
      </c>
      <c r="G58" s="24" t="s">
        <v>288</v>
      </c>
      <c r="H58" s="124">
        <f t="shared" si="3"/>
        <v>24132.720000000001</v>
      </c>
      <c r="I58"/>
    </row>
    <row r="59" spans="1:9" x14ac:dyDescent="0.2">
      <c r="A59" s="69" t="s">
        <v>168</v>
      </c>
      <c r="B59" s="37" t="s">
        <v>169</v>
      </c>
      <c r="C59" s="95">
        <f>'DOE25'!F96</f>
        <v>5351.25</v>
      </c>
      <c r="D59" s="95">
        <f>'DOE25'!G96</f>
        <v>0</v>
      </c>
      <c r="E59" s="95">
        <f>'DOE25'!H96</f>
        <v>0</v>
      </c>
      <c r="F59" s="95">
        <f>'DOE25'!I96</f>
        <v>0</v>
      </c>
      <c r="G59" s="95">
        <f>'DOE25'!J96</f>
        <v>2594.13</v>
      </c>
      <c r="H59" s="124">
        <f t="shared" si="3"/>
        <v>7945.38</v>
      </c>
      <c r="I59"/>
    </row>
    <row r="60" spans="1:9" x14ac:dyDescent="0.2">
      <c r="A60" s="1" t="s">
        <v>170</v>
      </c>
      <c r="B60" s="118" t="s">
        <v>171</v>
      </c>
      <c r="C60" s="24" t="s">
        <v>288</v>
      </c>
      <c r="D60" s="95">
        <f>'DOE25'!G97</f>
        <v>10763.92</v>
      </c>
      <c r="E60" s="24" t="s">
        <v>288</v>
      </c>
      <c r="F60" s="24" t="s">
        <v>288</v>
      </c>
      <c r="G60" s="24" t="s">
        <v>288</v>
      </c>
      <c r="H60" s="124">
        <f t="shared" si="3"/>
        <v>10763.92</v>
      </c>
      <c r="I60"/>
    </row>
    <row r="61" spans="1:9" ht="12" thickBot="1" x14ac:dyDescent="0.25">
      <c r="A61" s="1" t="s">
        <v>172</v>
      </c>
      <c r="B61" s="118" t="s">
        <v>173</v>
      </c>
      <c r="C61" s="95">
        <f>SUM('DOE25'!F98:F110)</f>
        <v>701601.37</v>
      </c>
      <c r="D61" s="95">
        <f>SUM('DOE25'!G98:G110)</f>
        <v>0</v>
      </c>
      <c r="E61" s="95">
        <f>SUM('DOE25'!H98:H110)</f>
        <v>415512.19</v>
      </c>
      <c r="F61" s="95">
        <f>SUM('DOE25'!I98:I110)</f>
        <v>0</v>
      </c>
      <c r="G61" s="95">
        <f>SUM('DOE25'!J98:J110)</f>
        <v>0</v>
      </c>
      <c r="H61" s="124">
        <f t="shared" si="3"/>
        <v>1117113.56</v>
      </c>
      <c r="I61"/>
    </row>
    <row r="62" spans="1:9" ht="12.75" thickTop="1" thickBot="1" x14ac:dyDescent="0.25">
      <c r="A62" s="29" t="s">
        <v>174</v>
      </c>
      <c r="B62" s="6"/>
      <c r="C62" s="130">
        <f>SUM(C57:C61)</f>
        <v>11428003.68</v>
      </c>
      <c r="D62" s="130">
        <f>SUM(D57:D61)</f>
        <v>10763.92</v>
      </c>
      <c r="E62" s="130">
        <f>SUM(E57:E61)</f>
        <v>415512.19</v>
      </c>
      <c r="F62" s="130">
        <f>SUM(F57:F61)</f>
        <v>0</v>
      </c>
      <c r="G62" s="130">
        <f>SUM(G57:G61)</f>
        <v>2594.13</v>
      </c>
      <c r="H62" s="124">
        <f t="shared" si="3"/>
        <v>11856873.92</v>
      </c>
      <c r="I62"/>
    </row>
    <row r="63" spans="1:9" ht="12" thickTop="1" x14ac:dyDescent="0.2">
      <c r="A63" s="29" t="s">
        <v>175</v>
      </c>
      <c r="B63" s="6"/>
      <c r="C63" s="22">
        <f>C56+C62</f>
        <v>26033695.68</v>
      </c>
      <c r="D63" s="22">
        <f>D56+D62</f>
        <v>10763.92</v>
      </c>
      <c r="E63" s="22">
        <f>E56+E62</f>
        <v>415512.19</v>
      </c>
      <c r="F63" s="22">
        <f>F56+F62</f>
        <v>0</v>
      </c>
      <c r="G63" s="22">
        <f>G56+G62</f>
        <v>2594.13</v>
      </c>
      <c r="H63" s="124">
        <f t="shared" si="3"/>
        <v>26462565.920000002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3391599.98</v>
      </c>
      <c r="D66" s="24" t="s">
        <v>288</v>
      </c>
      <c r="E66" s="24" t="s">
        <v>288</v>
      </c>
      <c r="F66" s="24" t="s">
        <v>288</v>
      </c>
      <c r="G66" s="24" t="s">
        <v>288</v>
      </c>
      <c r="H66" s="124">
        <f t="shared" ref="H66:H81" si="4">SUM(C66:G66)</f>
        <v>3391599.98</v>
      </c>
      <c r="I66"/>
    </row>
    <row r="67" spans="1:9" x14ac:dyDescent="0.2">
      <c r="A67" s="1" t="s">
        <v>770</v>
      </c>
      <c r="B67" s="6">
        <v>3112</v>
      </c>
      <c r="C67" s="95">
        <f>'DOE25'!F118</f>
        <v>3270747</v>
      </c>
      <c r="D67" s="24"/>
      <c r="E67" s="24"/>
      <c r="F67" s="24"/>
      <c r="G67" s="24"/>
      <c r="H67" s="124">
        <f t="shared" si="4"/>
        <v>3270747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7980.84</v>
      </c>
      <c r="D69" s="95">
        <f>'DOE25'!G120</f>
        <v>0</v>
      </c>
      <c r="E69" s="95">
        <f>'DOE25'!H120</f>
        <v>0</v>
      </c>
      <c r="F69" s="95">
        <f>'DOE25'!I120</f>
        <v>0</v>
      </c>
      <c r="G69" s="95">
        <f>'DOE25'!J120</f>
        <v>0</v>
      </c>
      <c r="H69" s="124">
        <f t="shared" si="4"/>
        <v>7980.84</v>
      </c>
      <c r="I69"/>
    </row>
    <row r="70" spans="1:9" ht="12" thickTop="1" x14ac:dyDescent="0.2">
      <c r="A70" s="29" t="s">
        <v>252</v>
      </c>
      <c r="B70" s="2"/>
      <c r="C70" s="139">
        <f>SUM(C66:C69)</f>
        <v>6670327.8200000003</v>
      </c>
      <c r="D70" s="139">
        <f>D69</f>
        <v>0</v>
      </c>
      <c r="E70" s="139">
        <f>E69</f>
        <v>0</v>
      </c>
      <c r="F70" s="139">
        <f>F69</f>
        <v>0</v>
      </c>
      <c r="G70" s="139">
        <f>G69</f>
        <v>0</v>
      </c>
      <c r="H70" s="124">
        <f t="shared" si="4"/>
        <v>6670327.8200000003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1059831.67</v>
      </c>
      <c r="D72" s="24" t="s">
        <v>288</v>
      </c>
      <c r="E72" s="24" t="s">
        <v>288</v>
      </c>
      <c r="F72" s="95">
        <f>'DOE25'!I123</f>
        <v>0</v>
      </c>
      <c r="G72" s="24" t="s">
        <v>288</v>
      </c>
      <c r="H72" s="124">
        <f t="shared" si="4"/>
        <v>1059831.67</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124156.73</v>
      </c>
      <c r="D75" s="24" t="s">
        <v>288</v>
      </c>
      <c r="E75" s="24" t="s">
        <v>288</v>
      </c>
      <c r="F75" s="24" t="s">
        <v>288</v>
      </c>
      <c r="G75" s="24" t="s">
        <v>288</v>
      </c>
      <c r="H75" s="124">
        <f t="shared" si="4"/>
        <v>124156.73</v>
      </c>
      <c r="I75"/>
    </row>
    <row r="76" spans="1:9" x14ac:dyDescent="0.2">
      <c r="A76" s="1" t="s">
        <v>257</v>
      </c>
      <c r="B76" s="6" t="s">
        <v>179</v>
      </c>
      <c r="C76" s="95">
        <f>SUM('DOE25'!F127:F130)</f>
        <v>0</v>
      </c>
      <c r="D76" s="24" t="s">
        <v>288</v>
      </c>
      <c r="E76" s="95">
        <f>SUM('DOE25'!H127:H130)</f>
        <v>15000</v>
      </c>
      <c r="F76" s="95">
        <f>SUM('DOE25'!I127:I130)</f>
        <v>0</v>
      </c>
      <c r="G76" s="24" t="s">
        <v>288</v>
      </c>
      <c r="H76" s="124">
        <f t="shared" si="4"/>
        <v>15000</v>
      </c>
      <c r="I76"/>
    </row>
    <row r="77" spans="1:9" ht="12" thickBot="1" x14ac:dyDescent="0.25">
      <c r="A77" s="1" t="s">
        <v>258</v>
      </c>
      <c r="B77" s="6" t="s">
        <v>180</v>
      </c>
      <c r="C77" s="95">
        <f>SUM('DOE25'!F131:F135)</f>
        <v>0</v>
      </c>
      <c r="D77" s="95">
        <f>SUM('DOE25'!G131:G135)</f>
        <v>9444.67</v>
      </c>
      <c r="E77" s="95">
        <f>SUM('DOE25'!H131:H135)</f>
        <v>0</v>
      </c>
      <c r="F77" s="95">
        <f>SUM('DOE25'!I131:I135)</f>
        <v>0</v>
      </c>
      <c r="G77" s="95">
        <f>SUM('DOE25'!J131:J135)</f>
        <v>0</v>
      </c>
      <c r="H77" s="124">
        <f t="shared" si="4"/>
        <v>9444.67</v>
      </c>
      <c r="I77"/>
    </row>
    <row r="78" spans="1:9" ht="12.75" thickTop="1" thickBot="1" x14ac:dyDescent="0.25">
      <c r="A78" s="29" t="s">
        <v>259</v>
      </c>
      <c r="B78" s="6"/>
      <c r="C78" s="130">
        <f>SUM(C72:C77)</f>
        <v>1183988.3999999999</v>
      </c>
      <c r="D78" s="130">
        <f>SUM(D72:D77)</f>
        <v>9444.67</v>
      </c>
      <c r="E78" s="130">
        <f>SUM(E72:E77)</f>
        <v>15000</v>
      </c>
      <c r="F78" s="130">
        <f>SUM(F72:F77)</f>
        <v>0</v>
      </c>
      <c r="G78" s="130">
        <f>SUM(G72:G77)</f>
        <v>0</v>
      </c>
      <c r="H78" s="124">
        <f t="shared" si="4"/>
        <v>1208433.0699999998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7854316.2200000007</v>
      </c>
      <c r="D81" s="130">
        <f>SUM(D79:D80)+D78+D70</f>
        <v>9444.67</v>
      </c>
      <c r="E81" s="130">
        <f>SUM(E79:E80)+E78+E70</f>
        <v>15000</v>
      </c>
      <c r="F81" s="130">
        <f>SUM(F79:F80)+F78+F70</f>
        <v>0</v>
      </c>
      <c r="G81" s="130">
        <f>SUM(G79:G80)+G78+G70</f>
        <v>0</v>
      </c>
      <c r="H81" s="130">
        <f t="shared" si="4"/>
        <v>7878760.8900000006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38076.089999999997</v>
      </c>
      <c r="D88" s="326">
        <f>SUM('DOE25'!G153:G162)</f>
        <v>930392.1</v>
      </c>
      <c r="E88" s="326">
        <f>SUM('DOE25'!H153:H162)</f>
        <v>2904954.5300000003</v>
      </c>
      <c r="F88" s="326">
        <f>SUM('DOE25'!I153:I162)</f>
        <v>0</v>
      </c>
      <c r="G88" s="24" t="s">
        <v>288</v>
      </c>
      <c r="H88" s="124">
        <f t="shared" si="5"/>
        <v>3873422.72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687.61</v>
      </c>
      <c r="D90" s="24" t="s">
        <v>288</v>
      </c>
      <c r="E90" s="24" t="s">
        <v>288</v>
      </c>
      <c r="F90" s="24" t="s">
        <v>288</v>
      </c>
      <c r="G90" s="24" t="s">
        <v>288</v>
      </c>
      <c r="H90" s="124">
        <f t="shared" si="5"/>
        <v>687.61</v>
      </c>
    </row>
    <row r="91" spans="1:9" ht="12.75" thickTop="1" thickBot="1" x14ac:dyDescent="0.25">
      <c r="A91" s="33" t="s">
        <v>750</v>
      </c>
      <c r="C91" s="131">
        <f>SUM(C85:C90)</f>
        <v>38763.699999999997</v>
      </c>
      <c r="D91" s="131">
        <f>SUM(D85:D90)</f>
        <v>930392.1</v>
      </c>
      <c r="E91" s="131">
        <f>SUM(E85:E90)</f>
        <v>2904954.5300000003</v>
      </c>
      <c r="F91" s="131">
        <f>SUM(F85:F90)</f>
        <v>0</v>
      </c>
      <c r="G91" s="24" t="s">
        <v>288</v>
      </c>
      <c r="H91" s="124">
        <f t="shared" si="5"/>
        <v>3874110.33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331429</v>
      </c>
      <c r="H96" s="124">
        <f t="shared" si="5"/>
        <v>331429</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43527</v>
      </c>
      <c r="D99" s="95">
        <f>'DOE25'!G186</f>
        <v>0</v>
      </c>
      <c r="E99" s="95">
        <f>'DOE25'!H186</f>
        <v>0</v>
      </c>
      <c r="F99" s="95">
        <f>'DOE25'!I186</f>
        <v>0</v>
      </c>
      <c r="G99" s="24" t="s">
        <v>288</v>
      </c>
      <c r="H99" s="124">
        <f t="shared" si="5"/>
        <v>43527</v>
      </c>
    </row>
    <row r="100" spans="1:8" x14ac:dyDescent="0.2">
      <c r="A100" t="s">
        <v>757</v>
      </c>
      <c r="B100" s="32" t="s">
        <v>190</v>
      </c>
      <c r="C100" s="95">
        <f>SUM('DOE25'!F187:F188)</f>
        <v>60400.69</v>
      </c>
      <c r="D100" s="95">
        <f>SUM('DOE25'!G187:G188)</f>
        <v>0</v>
      </c>
      <c r="E100" s="95">
        <f>SUM('DOE25'!H187:H188)</f>
        <v>0</v>
      </c>
      <c r="F100" s="95">
        <f>SUM('DOE25'!I187:I188)</f>
        <v>0</v>
      </c>
      <c r="G100" s="24" t="s">
        <v>288</v>
      </c>
      <c r="H100" s="124">
        <f t="shared" si="5"/>
        <v>60400.69</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103927.69</v>
      </c>
      <c r="D103" s="86">
        <f>SUM(D93:D102)</f>
        <v>0</v>
      </c>
      <c r="E103" s="86">
        <f>SUM(E93:E102)</f>
        <v>0</v>
      </c>
      <c r="F103" s="86">
        <f>SUM(F93:F102)</f>
        <v>0</v>
      </c>
      <c r="G103" s="86">
        <f>SUM(G93:G102)</f>
        <v>331429</v>
      </c>
      <c r="H103" s="86">
        <f t="shared" si="5"/>
        <v>435356.69</v>
      </c>
    </row>
    <row r="104" spans="1:8" ht="12.75" thickTop="1" thickBot="1" x14ac:dyDescent="0.25">
      <c r="A104" s="33" t="s">
        <v>761</v>
      </c>
      <c r="C104" s="86">
        <f>C63+C81+C91+C103</f>
        <v>34030703.289999999</v>
      </c>
      <c r="D104" s="86">
        <f>D63+D81+D91+D103</f>
        <v>950600.69</v>
      </c>
      <c r="E104" s="86">
        <f>E63+E81+E91+E103</f>
        <v>3335466.72</v>
      </c>
      <c r="F104" s="86">
        <f>F63+F81+F91+F103</f>
        <v>0</v>
      </c>
      <c r="G104" s="86">
        <f>G63+G81+G103</f>
        <v>334023.13</v>
      </c>
      <c r="H104" s="86">
        <f t="shared" si="5"/>
        <v>38650793.829999998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13725957.710000001</v>
      </c>
      <c r="D109" s="24" t="s">
        <v>288</v>
      </c>
      <c r="E109" s="95">
        <f>('DOE25'!L277)+('DOE25'!L296)+('DOE25'!L315)</f>
        <v>1112753.08</v>
      </c>
      <c r="F109" s="24" t="s">
        <v>288</v>
      </c>
      <c r="G109" s="24" t="s">
        <v>288</v>
      </c>
      <c r="H109" s="124">
        <f t="shared" ref="H109:H115" si="6">SUM(C109:G109)</f>
        <v>14838710.790000001</v>
      </c>
    </row>
    <row r="110" spans="1:8" x14ac:dyDescent="0.2">
      <c r="A110" t="s">
        <v>198</v>
      </c>
      <c r="B110" s="32" t="s">
        <v>199</v>
      </c>
      <c r="C110" s="95">
        <f>('DOE25'!L199)+('DOE25'!L217)+('DOE25'!L235)</f>
        <v>4147324.18</v>
      </c>
      <c r="D110" s="24" t="s">
        <v>288</v>
      </c>
      <c r="E110" s="95">
        <f>('DOE25'!L278)+('DOE25'!L297)+('DOE25'!L316)</f>
        <v>104245.58</v>
      </c>
      <c r="F110" s="24" t="s">
        <v>288</v>
      </c>
      <c r="G110" s="24" t="s">
        <v>288</v>
      </c>
      <c r="H110" s="124">
        <f t="shared" si="6"/>
        <v>4251569.76</v>
      </c>
    </row>
    <row r="111" spans="1:8" x14ac:dyDescent="0.2">
      <c r="A111" t="s">
        <v>200</v>
      </c>
      <c r="B111" s="32" t="s">
        <v>165</v>
      </c>
      <c r="C111" s="95">
        <f>('DOE25'!L200)+('DOE25'!L218)+('DOE25'!L236)</f>
        <v>1106040.3899999999</v>
      </c>
      <c r="D111" s="24" t="s">
        <v>288</v>
      </c>
      <c r="E111" s="95">
        <f>('DOE25'!L279)+('DOE25'!L298)+('DOE25'!L317)</f>
        <v>243550.37</v>
      </c>
      <c r="F111" s="24" t="s">
        <v>288</v>
      </c>
      <c r="G111" s="24" t="s">
        <v>288</v>
      </c>
      <c r="H111" s="124">
        <f t="shared" si="6"/>
        <v>1349590.7599999998</v>
      </c>
    </row>
    <row r="112" spans="1:8" x14ac:dyDescent="0.2">
      <c r="A112" t="s">
        <v>201</v>
      </c>
      <c r="B112" s="32" t="s">
        <v>167</v>
      </c>
      <c r="C112" s="95">
        <f>('DOE25'!L201)+('DOE25'!L219)+('DOE25'!L237)</f>
        <v>628412.73</v>
      </c>
      <c r="D112" s="24" t="s">
        <v>288</v>
      </c>
      <c r="E112" s="95">
        <f>+('DOE25'!L280)+('DOE25'!L299)+('DOE25'!L318)</f>
        <v>298954.98</v>
      </c>
      <c r="F112" s="24" t="s">
        <v>288</v>
      </c>
      <c r="G112" s="24" t="s">
        <v>288</v>
      </c>
      <c r="H112" s="124">
        <f t="shared" si="6"/>
        <v>927367.71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19607735.010000002</v>
      </c>
      <c r="D115" s="86">
        <f>SUM(D109:D114)</f>
        <v>0</v>
      </c>
      <c r="E115" s="86">
        <f>SUM(E109:E114)</f>
        <v>1759504.0100000002</v>
      </c>
      <c r="F115" s="86">
        <f>SUM(F109:F114)</f>
        <v>0</v>
      </c>
      <c r="G115" s="86">
        <f>SUM(G109:G114)</f>
        <v>0</v>
      </c>
      <c r="H115" s="86">
        <f t="shared" si="6"/>
        <v>21367239.020000003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2632877.09</v>
      </c>
      <c r="D118" s="24" t="s">
        <v>288</v>
      </c>
      <c r="E118" s="95">
        <f>+('DOE25'!L282)+('DOE25'!L301)+('DOE25'!L320)</f>
        <v>280371.08</v>
      </c>
      <c r="F118" s="24" t="s">
        <v>288</v>
      </c>
      <c r="G118" s="24" t="s">
        <v>288</v>
      </c>
      <c r="H118" s="124">
        <f t="shared" ref="H118:H145" si="7">SUM(C118:G118)</f>
        <v>2913248.17</v>
      </c>
    </row>
    <row r="119" spans="1:8" x14ac:dyDescent="0.2">
      <c r="A119" t="s">
        <v>208</v>
      </c>
      <c r="B119" s="32" t="s">
        <v>209</v>
      </c>
      <c r="C119" s="95">
        <f>('DOE25'!L204)+('DOE25'!L222)+('DOE25'!L240)</f>
        <v>628056.64</v>
      </c>
      <c r="D119" s="24" t="s">
        <v>288</v>
      </c>
      <c r="E119" s="95">
        <f>+('DOE25'!L283)+('DOE25'!L302)+('DOE25'!L321)</f>
        <v>406836.76</v>
      </c>
      <c r="F119" s="24" t="s">
        <v>288</v>
      </c>
      <c r="G119" s="24" t="s">
        <v>288</v>
      </c>
      <c r="H119" s="124">
        <f t="shared" si="7"/>
        <v>1034893.4</v>
      </c>
    </row>
    <row r="120" spans="1:8" x14ac:dyDescent="0.2">
      <c r="A120" t="s">
        <v>210</v>
      </c>
      <c r="B120" s="32" t="s">
        <v>211</v>
      </c>
      <c r="C120" s="95">
        <f>('DOE25'!L205)+('DOE25'!L223)+('DOE25'!L241)</f>
        <v>1345022.9100000001</v>
      </c>
      <c r="D120" s="24" t="s">
        <v>288</v>
      </c>
      <c r="E120" s="95">
        <f>+('DOE25'!L284)+('DOE25'!L303)+('DOE25'!L322)</f>
        <v>27269.63</v>
      </c>
      <c r="F120" s="24" t="s">
        <v>288</v>
      </c>
      <c r="G120" s="24" t="s">
        <v>288</v>
      </c>
      <c r="H120" s="124">
        <f t="shared" si="7"/>
        <v>1372292.54</v>
      </c>
    </row>
    <row r="121" spans="1:8" x14ac:dyDescent="0.2">
      <c r="A121" t="s">
        <v>212</v>
      </c>
      <c r="B121" s="32" t="s">
        <v>213</v>
      </c>
      <c r="C121" s="95">
        <f>('DOE25'!L206)+('DOE25'!L224)+('DOE25'!L242)</f>
        <v>1926017.63</v>
      </c>
      <c r="D121" s="24" t="s">
        <v>288</v>
      </c>
      <c r="E121" s="95">
        <f>+('DOE25'!L285)+('DOE25'!L304)+('DOE25'!L323)</f>
        <v>0</v>
      </c>
      <c r="F121" s="24" t="s">
        <v>288</v>
      </c>
      <c r="G121" s="24" t="s">
        <v>288</v>
      </c>
      <c r="H121" s="124">
        <f t="shared" si="7"/>
        <v>1926017.63</v>
      </c>
    </row>
    <row r="122" spans="1:8" x14ac:dyDescent="0.2">
      <c r="A122" t="s">
        <v>214</v>
      </c>
      <c r="B122" s="32" t="s">
        <v>215</v>
      </c>
      <c r="C122" s="95">
        <f>('DOE25'!L207)+('DOE25'!L225)+('DOE25'!L243)</f>
        <v>0</v>
      </c>
      <c r="D122" s="24" t="s">
        <v>288</v>
      </c>
      <c r="E122" s="95">
        <f>+('DOE25'!L286)+('DOE25'!L305)+('DOE25'!L324)</f>
        <v>9107.26</v>
      </c>
      <c r="F122" s="24" t="s">
        <v>288</v>
      </c>
      <c r="G122" s="24" t="s">
        <v>288</v>
      </c>
      <c r="H122" s="124">
        <f t="shared" si="7"/>
        <v>9107.26</v>
      </c>
    </row>
    <row r="123" spans="1:8" x14ac:dyDescent="0.2">
      <c r="A123" t="s">
        <v>216</v>
      </c>
      <c r="B123" s="32" t="s">
        <v>217</v>
      </c>
      <c r="C123" s="95">
        <f>('DOE25'!L208)+('DOE25'!L226)+('DOE25'!L244)</f>
        <v>4025412.46</v>
      </c>
      <c r="D123" s="24" t="s">
        <v>288</v>
      </c>
      <c r="E123" s="95">
        <f>+('DOE25'!L287)+('DOE25'!L306)+('DOE25'!L325)</f>
        <v>83206</v>
      </c>
      <c r="F123" s="24" t="s">
        <v>288</v>
      </c>
      <c r="G123" s="24" t="s">
        <v>288</v>
      </c>
      <c r="H123" s="124">
        <f t="shared" si="7"/>
        <v>4108618.46</v>
      </c>
    </row>
    <row r="124" spans="1:8" x14ac:dyDescent="0.2">
      <c r="A124" t="s">
        <v>218</v>
      </c>
      <c r="B124" s="32" t="s">
        <v>219</v>
      </c>
      <c r="C124" s="95">
        <f>('DOE25'!L209)+('DOE25'!L227)+('DOE25'!L245+'DOE25'!L255)</f>
        <v>768147.01</v>
      </c>
      <c r="D124" s="24" t="s">
        <v>288</v>
      </c>
      <c r="E124" s="95">
        <f>+('DOE25'!L288)+('DOE25'!L307)+('DOE25'!L326)</f>
        <v>24466.15</v>
      </c>
      <c r="F124" s="24" t="s">
        <v>288</v>
      </c>
      <c r="G124" s="24" t="s">
        <v>288</v>
      </c>
      <c r="H124" s="124">
        <f t="shared" si="7"/>
        <v>792613.16</v>
      </c>
    </row>
    <row r="125" spans="1:8" x14ac:dyDescent="0.2">
      <c r="A125" t="s">
        <v>220</v>
      </c>
      <c r="B125" s="32" t="s">
        <v>221</v>
      </c>
      <c r="C125" s="95">
        <f>('DOE25'!L210)+('DOE25'!L228)+('DOE25'!L246)</f>
        <v>3522.27</v>
      </c>
      <c r="D125" s="24" t="s">
        <v>288</v>
      </c>
      <c r="E125" s="95">
        <f>+('DOE25'!L289)+('DOE25'!L308)+('DOE25'!L327)</f>
        <v>4000</v>
      </c>
      <c r="F125" s="24" t="s">
        <v>288</v>
      </c>
      <c r="G125" s="24" t="s">
        <v>288</v>
      </c>
      <c r="H125" s="124">
        <f t="shared" si="7"/>
        <v>7522.27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904968.6</v>
      </c>
      <c r="E127" s="24" t="s">
        <v>288</v>
      </c>
      <c r="F127" s="24" t="s">
        <v>288</v>
      </c>
      <c r="G127" s="24" t="s">
        <v>288</v>
      </c>
      <c r="H127" s="124">
        <f t="shared" si="7"/>
        <v>904968.6</v>
      </c>
    </row>
    <row r="128" spans="1:8" ht="12.75" thickTop="1" thickBot="1" x14ac:dyDescent="0.25">
      <c r="A128" s="33" t="s">
        <v>226</v>
      </c>
      <c r="C128" s="86">
        <f>SUM(C118:C127)</f>
        <v>11329056.01</v>
      </c>
      <c r="D128" s="86">
        <f>SUM(D118:D127)</f>
        <v>904968.6</v>
      </c>
      <c r="E128" s="86">
        <f>SUM(E118:E127)</f>
        <v>835256.88000000012</v>
      </c>
      <c r="F128" s="86">
        <f>SUM(F118:F127)</f>
        <v>0</v>
      </c>
      <c r="G128" s="86">
        <f>SUM(G118:G127)</f>
        <v>0</v>
      </c>
      <c r="H128" s="86">
        <f t="shared" si="7"/>
        <v>13069281.49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566989.1</v>
      </c>
      <c r="F130" s="129">
        <f>SUM('DOE25'!L375:'DOE25'!L381)</f>
        <v>0</v>
      </c>
      <c r="G130" s="24" t="s">
        <v>288</v>
      </c>
      <c r="H130" s="124">
        <f t="shared" si="7"/>
        <v>566989.1</v>
      </c>
    </row>
    <row r="131" spans="1:8" x14ac:dyDescent="0.2">
      <c r="A131" t="s">
        <v>229</v>
      </c>
      <c r="B131" s="32">
        <v>5110</v>
      </c>
      <c r="C131" s="95">
        <f>'DOE25'!L261</f>
        <v>2090000</v>
      </c>
      <c r="D131" s="24" t="s">
        <v>288</v>
      </c>
      <c r="E131" s="129">
        <f>'DOE25'!L342</f>
        <v>0</v>
      </c>
      <c r="F131" s="24" t="s">
        <v>288</v>
      </c>
      <c r="G131" s="24" t="s">
        <v>288</v>
      </c>
      <c r="H131" s="124">
        <f t="shared" si="7"/>
        <v>2090000</v>
      </c>
    </row>
    <row r="132" spans="1:8" x14ac:dyDescent="0.2">
      <c r="A132" t="s">
        <v>230</v>
      </c>
      <c r="B132" s="32">
        <v>5120</v>
      </c>
      <c r="C132" s="95">
        <f>'DOE25'!L262</f>
        <v>363069.26</v>
      </c>
      <c r="D132" s="24" t="s">
        <v>288</v>
      </c>
      <c r="E132" s="129">
        <f>'DOE25'!L343</f>
        <v>0</v>
      </c>
      <c r="F132" s="24" t="s">
        <v>288</v>
      </c>
      <c r="G132" s="24" t="s">
        <v>288</v>
      </c>
      <c r="H132" s="124">
        <f t="shared" si="7"/>
        <v>363069.26</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237995</v>
      </c>
      <c r="H134" s="124">
        <f t="shared" si="7"/>
        <v>237995</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250324.34</v>
      </c>
      <c r="D138" s="24" t="s">
        <v>288</v>
      </c>
      <c r="E138" s="24" t="s">
        <v>288</v>
      </c>
      <c r="F138" s="24" t="s">
        <v>288</v>
      </c>
      <c r="G138" s="24" t="s">
        <v>288</v>
      </c>
      <c r="H138" s="124">
        <f t="shared" si="7"/>
        <v>250324.34</v>
      </c>
    </row>
    <row r="139" spans="1:8" x14ac:dyDescent="0.2">
      <c r="A139" t="s">
        <v>239</v>
      </c>
      <c r="B139" s="32">
        <v>5252</v>
      </c>
      <c r="C139" s="95">
        <f>'DOE25'!L402</f>
        <v>83657.5</v>
      </c>
      <c r="D139" s="24" t="s">
        <v>288</v>
      </c>
      <c r="E139" s="24" t="s">
        <v>288</v>
      </c>
      <c r="F139" s="24" t="s">
        <v>288</v>
      </c>
      <c r="G139" s="24" t="s">
        <v>288</v>
      </c>
      <c r="H139" s="124">
        <f t="shared" si="7"/>
        <v>83657.5</v>
      </c>
    </row>
    <row r="140" spans="1:8" x14ac:dyDescent="0.2">
      <c r="A140" t="s">
        <v>240</v>
      </c>
      <c r="B140" s="32">
        <v>5253</v>
      </c>
      <c r="C140" s="95">
        <f>'DOE25'!L408</f>
        <v>41.29</v>
      </c>
      <c r="D140" s="24" t="s">
        <v>288</v>
      </c>
      <c r="E140" s="24" t="s">
        <v>288</v>
      </c>
      <c r="F140" s="24" t="s">
        <v>288</v>
      </c>
      <c r="G140" s="24" t="s">
        <v>288</v>
      </c>
      <c r="H140" s="124">
        <f t="shared" si="7"/>
        <v>41.29</v>
      </c>
    </row>
    <row r="141" spans="1:8" x14ac:dyDescent="0.2">
      <c r="A141" t="s">
        <v>762</v>
      </c>
      <c r="B141" s="32">
        <v>5254</v>
      </c>
      <c r="C141" s="95">
        <f>('DOE25'!L267+'DOE25'!K348) - (C138+C139+C140)</f>
        <v>-2594.1299999999464</v>
      </c>
      <c r="D141" s="24" t="s">
        <v>288</v>
      </c>
      <c r="E141" s="24" t="s">
        <v>288</v>
      </c>
      <c r="F141" s="24" t="s">
        <v>288</v>
      </c>
      <c r="G141" s="24" t="s">
        <v>288</v>
      </c>
      <c r="H141" s="124">
        <f t="shared" si="7"/>
        <v>-2594.1299999999464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2784498.26</v>
      </c>
      <c r="D144" s="141">
        <f>SUM(D130:D143)</f>
        <v>0</v>
      </c>
      <c r="E144" s="141">
        <f>SUM(E130:E143)</f>
        <v>566989.1</v>
      </c>
      <c r="F144" s="141">
        <f>SUM(F130:F143)</f>
        <v>0</v>
      </c>
      <c r="G144" s="141">
        <f>SUM(G130:G143)</f>
        <v>237995</v>
      </c>
      <c r="H144" s="141">
        <f t="shared" si="7"/>
        <v>3589482.36</v>
      </c>
    </row>
    <row r="145" spans="1:9" ht="12.75" thickTop="1" thickBot="1" x14ac:dyDescent="0.25">
      <c r="A145" s="33" t="s">
        <v>244</v>
      </c>
      <c r="C145" s="86">
        <f>(C115+C128+C144)</f>
        <v>33721289.280000001</v>
      </c>
      <c r="D145" s="86">
        <f>(D115+D128+D144)</f>
        <v>904968.6</v>
      </c>
      <c r="E145" s="86">
        <f>(E115+E128+E144)</f>
        <v>3161749.9900000007</v>
      </c>
      <c r="F145" s="86">
        <f>(F115+F128+F144)</f>
        <v>0</v>
      </c>
      <c r="G145" s="86">
        <f>(G115+G128+G144)</f>
        <v>237995</v>
      </c>
      <c r="H145" s="86">
        <f t="shared" si="7"/>
        <v>38026002.870000005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0</v>
      </c>
      <c r="G151" s="24" t="s">
        <v>288</v>
      </c>
    </row>
    <row r="152" spans="1:9" x14ac:dyDescent="0.2">
      <c r="A152" s="136" t="s">
        <v>28</v>
      </c>
      <c r="B152" s="152" t="str">
        <f>'DOE25'!F492</f>
        <v>12/03</v>
      </c>
      <c r="C152" s="152" t="str">
        <f>'DOE25'!G492</f>
        <v>07/16</v>
      </c>
      <c r="D152" s="152" t="str">
        <f>'DOE25'!H492</f>
        <v>07/17</v>
      </c>
      <c r="E152" s="152" t="str">
        <f>'DOE25'!I492</f>
        <v>06/18</v>
      </c>
      <c r="F152" s="152">
        <f>'DOE25'!J492</f>
        <v>0</v>
      </c>
      <c r="G152" s="24" t="s">
        <v>288</v>
      </c>
    </row>
    <row r="153" spans="1:9" x14ac:dyDescent="0.2">
      <c r="A153" s="136" t="s">
        <v>29</v>
      </c>
      <c r="B153" s="152" t="str">
        <f>'DOE25'!F493</f>
        <v>11/24</v>
      </c>
      <c r="C153" s="152" t="str">
        <f>'DOE25'!G493</f>
        <v>08/36</v>
      </c>
      <c r="D153" s="152" t="str">
        <f>'DOE25'!H493</f>
        <v>08/37</v>
      </c>
      <c r="E153" s="152" t="str">
        <f>'DOE25'!I493</f>
        <v>08/38</v>
      </c>
      <c r="F153" s="152">
        <f>'DOE25'!J493</f>
        <v>0</v>
      </c>
      <c r="G153" s="24" t="s">
        <v>288</v>
      </c>
    </row>
    <row r="154" spans="1:9" x14ac:dyDescent="0.2">
      <c r="A154" s="136" t="s">
        <v>30</v>
      </c>
      <c r="B154" s="137">
        <f>'DOE25'!F494</f>
        <v>42120000</v>
      </c>
      <c r="C154" s="137">
        <f>'DOE25'!G494</f>
        <v>1837000</v>
      </c>
      <c r="D154" s="137">
        <f>'DOE25'!H494</f>
        <v>1871000</v>
      </c>
      <c r="E154" s="137">
        <f>'DOE25'!I494</f>
        <v>1122900</v>
      </c>
      <c r="F154" s="137">
        <f>'DOE25'!J494</f>
        <v>0</v>
      </c>
      <c r="G154" s="24" t="s">
        <v>288</v>
      </c>
    </row>
    <row r="155" spans="1:9" x14ac:dyDescent="0.2">
      <c r="A155" s="136" t="s">
        <v>31</v>
      </c>
      <c r="B155" s="137">
        <f>'DOE25'!F495</f>
        <v>4</v>
      </c>
      <c r="C155" s="137">
        <f>'DOE25'!G495</f>
        <v>2.5</v>
      </c>
      <c r="D155" s="137">
        <f>'DOE25'!H495</f>
        <v>2.66</v>
      </c>
      <c r="E155" s="137">
        <f>'DOE25'!I495</f>
        <v>3.24</v>
      </c>
      <c r="F155" s="137">
        <f>'DOE25'!J495</f>
        <v>0</v>
      </c>
      <c r="G155" s="24" t="s">
        <v>288</v>
      </c>
    </row>
    <row r="156" spans="1:9" x14ac:dyDescent="0.2">
      <c r="A156" s="22" t="s">
        <v>32</v>
      </c>
      <c r="B156" s="137">
        <f>'DOE25'!F496</f>
        <v>5520000</v>
      </c>
      <c r="C156" s="137">
        <f>'DOE25'!G496</f>
        <v>1464300</v>
      </c>
      <c r="D156" s="137">
        <f>'DOE25'!H496</f>
        <v>1590000</v>
      </c>
      <c r="E156" s="137">
        <f>'DOE25'!I496</f>
        <v>1005000</v>
      </c>
      <c r="F156" s="137">
        <f>'DOE25'!J496</f>
        <v>0</v>
      </c>
      <c r="G156" s="138">
        <f>SUM(B156:F156)</f>
        <v>9579300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1840000</v>
      </c>
      <c r="C158" s="137">
        <f>'DOE25'!G498</f>
        <v>95000</v>
      </c>
      <c r="D158" s="137">
        <f>'DOE25'!H498</f>
        <v>95000</v>
      </c>
      <c r="E158" s="137">
        <f>'DOE25'!I498</f>
        <v>60000</v>
      </c>
      <c r="F158" s="137">
        <f>'DOE25'!J498</f>
        <v>0</v>
      </c>
      <c r="G158" s="138">
        <f t="shared" si="8"/>
        <v>2090000</v>
      </c>
    </row>
    <row r="159" spans="1:9" x14ac:dyDescent="0.2">
      <c r="A159" s="22" t="s">
        <v>35</v>
      </c>
      <c r="B159" s="137">
        <f>'DOE25'!F499</f>
        <v>3680000</v>
      </c>
      <c r="C159" s="137">
        <f>'DOE25'!G499</f>
        <v>1369300</v>
      </c>
      <c r="D159" s="137">
        <f>'DOE25'!H499</f>
        <v>1495000</v>
      </c>
      <c r="E159" s="137">
        <f>'DOE25'!I499</f>
        <v>945000</v>
      </c>
      <c r="F159" s="137">
        <f>'DOE25'!J499</f>
        <v>0</v>
      </c>
      <c r="G159" s="138">
        <f t="shared" si="8"/>
        <v>7489300</v>
      </c>
    </row>
    <row r="160" spans="1:9" x14ac:dyDescent="0.2">
      <c r="A160" s="22" t="s">
        <v>36</v>
      </c>
      <c r="B160" s="137">
        <f>'DOE25'!F500</f>
        <v>166087</v>
      </c>
      <c r="C160" s="137">
        <f>'DOE25'!G500</f>
        <v>327976.75</v>
      </c>
      <c r="D160" s="137">
        <f>'DOE25'!H500</f>
        <v>447247.5</v>
      </c>
      <c r="E160" s="137">
        <f>'DOE25'!I500</f>
        <v>306798.28000000003</v>
      </c>
      <c r="F160" s="137">
        <f>'DOE25'!J500</f>
        <v>0</v>
      </c>
      <c r="G160" s="138">
        <f t="shared" si="8"/>
        <v>1248109.53</v>
      </c>
    </row>
    <row r="161" spans="1:7" x14ac:dyDescent="0.2">
      <c r="A161" s="22" t="s">
        <v>37</v>
      </c>
      <c r="B161" s="137">
        <f>'DOE25'!F501</f>
        <v>3846087</v>
      </c>
      <c r="C161" s="137">
        <f>'DOE25'!G501</f>
        <v>1697276.75</v>
      </c>
      <c r="D161" s="137">
        <f>'DOE25'!H501</f>
        <v>1942247.5</v>
      </c>
      <c r="E161" s="137">
        <f>'DOE25'!I501</f>
        <v>1251798.28</v>
      </c>
      <c r="F161" s="137">
        <f>'DOE25'!J501</f>
        <v>0</v>
      </c>
      <c r="G161" s="138">
        <f t="shared" si="8"/>
        <v>8737409.5299999993</v>
      </c>
    </row>
    <row r="162" spans="1:7" x14ac:dyDescent="0.2">
      <c r="A162" s="22" t="s">
        <v>38</v>
      </c>
      <c r="B162" s="137">
        <f>'DOE25'!F502</f>
        <v>1840000</v>
      </c>
      <c r="C162" s="137">
        <f>'DOE25'!G502</f>
        <v>95000</v>
      </c>
      <c r="D162" s="137">
        <f>'DOE25'!H502</f>
        <v>95000</v>
      </c>
      <c r="E162" s="137">
        <f>'DOE25'!I502</f>
        <v>60000</v>
      </c>
      <c r="F162" s="137">
        <f>'DOE25'!J502</f>
        <v>0</v>
      </c>
      <c r="G162" s="138">
        <f t="shared" si="8"/>
        <v>2090000</v>
      </c>
    </row>
    <row r="163" spans="1:7" x14ac:dyDescent="0.2">
      <c r="A163" s="22" t="s">
        <v>39</v>
      </c>
      <c r="B163" s="137">
        <f>'DOE25'!F503</f>
        <v>78687</v>
      </c>
      <c r="C163" s="137">
        <f>'DOE25'!G503</f>
        <v>45702</v>
      </c>
      <c r="D163" s="137">
        <f>'DOE25'!H503</f>
        <v>61022.5</v>
      </c>
      <c r="E163" s="137">
        <f>'DOE25'!I503</f>
        <v>38483.760000000002</v>
      </c>
      <c r="F163" s="137">
        <f>'DOE25'!J503</f>
        <v>0</v>
      </c>
      <c r="G163" s="138">
        <f t="shared" si="8"/>
        <v>223895.26</v>
      </c>
    </row>
    <row r="164" spans="1:7" x14ac:dyDescent="0.2">
      <c r="A164" s="22" t="s">
        <v>246</v>
      </c>
      <c r="B164" s="137">
        <f>'DOE25'!F504</f>
        <v>1918687</v>
      </c>
      <c r="C164" s="137">
        <f>'DOE25'!G504</f>
        <v>140702</v>
      </c>
      <c r="D164" s="137">
        <f>'DOE25'!H504</f>
        <v>156022.5</v>
      </c>
      <c r="E164" s="137">
        <f>'DOE25'!I504</f>
        <v>98483.760000000009</v>
      </c>
      <c r="F164" s="137">
        <f>'DOE25'!J504</f>
        <v>0</v>
      </c>
      <c r="G164" s="138">
        <f t="shared" si="8"/>
        <v>2313895.2599999998</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Conway</v>
      </c>
    </row>
    <row r="3" spans="1:4" x14ac:dyDescent="0.2">
      <c r="B3" s="187" t="s">
        <v>1799</v>
      </c>
    </row>
    <row r="4" spans="1:4" x14ac:dyDescent="0.2">
      <c r="B4" t="s">
        <v>61</v>
      </c>
      <c r="C4" s="178">
        <f>IF('DOE25'!F666+'DOE25'!F671=0,0,ROUND('DOE25'!F673,0))</f>
        <v>23536</v>
      </c>
    </row>
    <row r="5" spans="1:4" x14ac:dyDescent="0.2">
      <c r="B5" t="s">
        <v>700</v>
      </c>
      <c r="C5" s="178">
        <f>IF('DOE25'!G666+'DOE25'!G671=0,0,ROUND('DOE25'!G673,0))</f>
        <v>23384</v>
      </c>
    </row>
    <row r="6" spans="1:4" x14ac:dyDescent="0.2">
      <c r="B6" t="s">
        <v>62</v>
      </c>
      <c r="C6" s="178">
        <f>IF('DOE25'!H666+'DOE25'!H671=0,0,ROUND('DOE25'!H673,0))</f>
        <v>18519</v>
      </c>
    </row>
    <row r="7" spans="1:4" x14ac:dyDescent="0.2">
      <c r="B7" t="s">
        <v>701</v>
      </c>
      <c r="C7" s="178">
        <f>IF('DOE25'!I666+'DOE25'!I671=0,0,ROUND('DOE25'!I673,0))</f>
        <v>21203</v>
      </c>
    </row>
    <row r="9" spans="1:4" x14ac:dyDescent="0.2">
      <c r="A9" s="186" t="s">
        <v>94</v>
      </c>
      <c r="B9" s="187" t="s">
        <v>1800</v>
      </c>
      <c r="C9" s="180" t="s">
        <v>720</v>
      </c>
      <c r="D9" s="180" t="s">
        <v>721</v>
      </c>
    </row>
    <row r="10" spans="1:4" x14ac:dyDescent="0.2">
      <c r="A10">
        <v>1100</v>
      </c>
      <c r="B10" t="s">
        <v>702</v>
      </c>
      <c r="C10" s="178">
        <f>ROUND('DOE25'!L198+'DOE25'!L216+'DOE25'!L234+'DOE25'!L277+'DOE25'!L296+'DOE25'!L315,0)</f>
        <v>14838711</v>
      </c>
      <c r="D10" s="181">
        <f>ROUND((C10/$C$28)*100,1)</f>
        <v>42.7</v>
      </c>
    </row>
    <row r="11" spans="1:4" x14ac:dyDescent="0.2">
      <c r="A11">
        <v>1200</v>
      </c>
      <c r="B11" t="s">
        <v>703</v>
      </c>
      <c r="C11" s="178">
        <f>ROUND('DOE25'!L199+'DOE25'!L217+'DOE25'!L235+'DOE25'!L278+'DOE25'!L297+'DOE25'!L316,0)</f>
        <v>4251570</v>
      </c>
      <c r="D11" s="181">
        <f>ROUND((C11/$C$28)*100,1)</f>
        <v>12.2</v>
      </c>
    </row>
    <row r="12" spans="1:4" x14ac:dyDescent="0.2">
      <c r="A12">
        <v>1300</v>
      </c>
      <c r="B12" t="s">
        <v>704</v>
      </c>
      <c r="C12" s="178">
        <f>ROUND('DOE25'!L200+'DOE25'!L218+'DOE25'!L236+'DOE25'!L279+'DOE25'!L298+'DOE25'!L317,0)</f>
        <v>1349591</v>
      </c>
      <c r="D12" s="181">
        <f>ROUND((C12/$C$28)*100,1)</f>
        <v>3.9</v>
      </c>
    </row>
    <row r="13" spans="1:4" x14ac:dyDescent="0.2">
      <c r="A13">
        <v>1400</v>
      </c>
      <c r="B13" t="s">
        <v>705</v>
      </c>
      <c r="C13" s="178">
        <f>ROUND('DOE25'!L201+'DOE25'!L219+'DOE25'!L237+'DOE25'!L280+'DOE25'!L299+'DOE25'!L318,0)</f>
        <v>927368</v>
      </c>
      <c r="D13" s="181">
        <f>ROUND((C13/$C$28)*100,1)</f>
        <v>2.7</v>
      </c>
    </row>
    <row r="14" spans="1:4" x14ac:dyDescent="0.2">
      <c r="D14" s="181"/>
    </row>
    <row r="15" spans="1:4" x14ac:dyDescent="0.2">
      <c r="A15">
        <v>2100</v>
      </c>
      <c r="B15" t="s">
        <v>706</v>
      </c>
      <c r="C15" s="178">
        <f>ROUND('DOE25'!L203+'DOE25'!L221+'DOE25'!L239+'DOE25'!L282+'DOE25'!L301+'DOE25'!L320,0)</f>
        <v>2913248</v>
      </c>
      <c r="D15" s="181">
        <f t="shared" ref="D15:D27" si="0">ROUND((C15/$C$28)*100,1)</f>
        <v>8.4</v>
      </c>
    </row>
    <row r="16" spans="1:4" x14ac:dyDescent="0.2">
      <c r="A16">
        <v>2200</v>
      </c>
      <c r="B16" t="s">
        <v>707</v>
      </c>
      <c r="C16" s="178">
        <f>ROUND('DOE25'!L204+'DOE25'!L222+'DOE25'!L240+'DOE25'!L283+'DOE25'!L302+'DOE25'!L321,0)</f>
        <v>1034893</v>
      </c>
      <c r="D16" s="181">
        <f t="shared" si="0"/>
        <v>3</v>
      </c>
    </row>
    <row r="17" spans="1:4" x14ac:dyDescent="0.2">
      <c r="A17" s="182" t="s">
        <v>723</v>
      </c>
      <c r="B17" t="s">
        <v>738</v>
      </c>
      <c r="C17" s="178">
        <f>ROUND('DOE25'!L205+'DOE25'!L210+'DOE25'!L223+'DOE25'!L228+'DOE25'!L241+'DOE25'!L246+'DOE25'!L284+'DOE25'!L289+'DOE25'!L303+'DOE25'!L308+'DOE25'!L322+'DOE25'!L327,0)</f>
        <v>1379815</v>
      </c>
      <c r="D17" s="181">
        <f t="shared" si="0"/>
        <v>4</v>
      </c>
    </row>
    <row r="18" spans="1:4" x14ac:dyDescent="0.2">
      <c r="A18">
        <v>2400</v>
      </c>
      <c r="B18" t="s">
        <v>711</v>
      </c>
      <c r="C18" s="178">
        <f>ROUND('DOE25'!L206+'DOE25'!L224+'DOE25'!L242+'DOE25'!L285+'DOE25'!L304+'DOE25'!L323,0)</f>
        <v>1926018</v>
      </c>
      <c r="D18" s="181">
        <f t="shared" si="0"/>
        <v>5.5</v>
      </c>
    </row>
    <row r="19" spans="1:4" x14ac:dyDescent="0.2">
      <c r="A19">
        <v>2500</v>
      </c>
      <c r="B19" t="s">
        <v>708</v>
      </c>
      <c r="C19" s="178">
        <f>ROUND('DOE25'!L207+'DOE25'!L225+'DOE25'!L243+'DOE25'!L286+'DOE25'!L305+'DOE25'!L324,0)</f>
        <v>9107</v>
      </c>
      <c r="D19" s="181">
        <f t="shared" si="0"/>
        <v>0</v>
      </c>
    </row>
    <row r="20" spans="1:4" x14ac:dyDescent="0.2">
      <c r="A20">
        <v>2600</v>
      </c>
      <c r="B20" t="s">
        <v>709</v>
      </c>
      <c r="C20" s="178">
        <f>ROUND('DOE25'!L208+'DOE25'!L226+'DOE25'!L244+'DOE25'!L287+'DOE25'!L306+'DOE25'!L325,0)</f>
        <v>4108618</v>
      </c>
      <c r="D20" s="181">
        <f t="shared" si="0"/>
        <v>11.8</v>
      </c>
    </row>
    <row r="21" spans="1:4" x14ac:dyDescent="0.2">
      <c r="A21">
        <v>2700</v>
      </c>
      <c r="B21" t="s">
        <v>710</v>
      </c>
      <c r="C21" s="178">
        <f>ROUND('DOE25'!L209+'DOE25'!L227+'DOE25'!L245+'DOE25'!L288+'DOE25'!L307+'DOE25'!L326,0)</f>
        <v>792613</v>
      </c>
      <c r="D21" s="181">
        <f t="shared" si="0"/>
        <v>2.2999999999999998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363069</v>
      </c>
      <c r="D25" s="181">
        <f t="shared" si="0"/>
        <v>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894205.08</v>
      </c>
      <c r="D27" s="181">
        <f t="shared" si="0"/>
        <v>2.6</v>
      </c>
    </row>
    <row r="28" spans="1:4" x14ac:dyDescent="0.2">
      <c r="B28" s="186" t="s">
        <v>719</v>
      </c>
      <c r="C28" s="179">
        <f>SUM(C10:C27)</f>
        <v>34788826.079999998</v>
      </c>
      <c r="D28" s="183">
        <f>ROUND(SUM(D10:D27),0)</f>
        <v>100</v>
      </c>
    </row>
    <row r="29" spans="1:4" x14ac:dyDescent="0.2">
      <c r="A29">
        <v>4000</v>
      </c>
      <c r="B29" t="s">
        <v>724</v>
      </c>
      <c r="C29" s="178">
        <f>ROUND('DOE25'!L256+'DOE25'!L337+'DOE25'!L375+'DOE25'!L376+'DOE25'!L377+'DOE25'!L378+'DOE25'!L379+'DOE25'!L380+'DOE25'!L381,0)</f>
        <v>566989</v>
      </c>
    </row>
    <row r="30" spans="1:4" x14ac:dyDescent="0.2">
      <c r="B30" s="186" t="s">
        <v>725</v>
      </c>
      <c r="C30" s="179">
        <f>SUM(C28:C29)</f>
        <v>35355815.079999998</v>
      </c>
    </row>
    <row r="31" spans="1:4" x14ac:dyDescent="0.2">
      <c r="B31" s="33"/>
      <c r="C31" s="179"/>
    </row>
    <row r="32" spans="1:4" x14ac:dyDescent="0.2">
      <c r="A32">
        <v>5100</v>
      </c>
      <c r="B32" s="33" t="s">
        <v>726</v>
      </c>
      <c r="C32" s="179">
        <f>ROUND('DOE25'!L261+'DOE25'!L342,0)</f>
        <v>2090000</v>
      </c>
    </row>
    <row r="34" spans="1:4" x14ac:dyDescent="0.2">
      <c r="A34" s="186" t="s">
        <v>94</v>
      </c>
      <c r="B34" s="187" t="s">
        <v>1801</v>
      </c>
      <c r="C34" s="180" t="s">
        <v>720</v>
      </c>
      <c r="D34" s="180" t="s">
        <v>721</v>
      </c>
    </row>
    <row r="35" spans="1:4" x14ac:dyDescent="0.2">
      <c r="A35">
        <v>1100</v>
      </c>
      <c r="B35" s="184" t="s">
        <v>727</v>
      </c>
      <c r="C35" s="178">
        <f>ROUND('DOE25'!F60+'DOE25'!G60+'DOE25'!H60+'DOE25'!I60+'DOE25'!J60,0)</f>
        <v>14605692</v>
      </c>
      <c r="D35" s="181">
        <f t="shared" ref="D35:D40" si="1">ROUND((C35/$C$41)*100,1)</f>
        <v>38.200000000000003</v>
      </c>
    </row>
    <row r="36" spans="1:4" x14ac:dyDescent="0.2">
      <c r="B36" s="184" t="s">
        <v>739</v>
      </c>
      <c r="C36" s="178">
        <f>SUM('DOE25'!F112:J112)-SUM('DOE25'!G97:G110)+('DOE25'!F175+'DOE25'!F176+'DOE25'!I175+'DOE25'!I176)-C35</f>
        <v>11846110</v>
      </c>
      <c r="D36" s="181">
        <f t="shared" si="1"/>
        <v>31</v>
      </c>
    </row>
    <row r="37" spans="1:4" x14ac:dyDescent="0.2">
      <c r="A37" s="182" t="s">
        <v>835</v>
      </c>
      <c r="B37" s="184" t="s">
        <v>728</v>
      </c>
      <c r="C37" s="178">
        <f>ROUND('DOE25'!F117+'DOE25'!F118,0)</f>
        <v>6662347</v>
      </c>
      <c r="D37" s="181">
        <f t="shared" si="1"/>
        <v>17.399999999999999</v>
      </c>
    </row>
    <row r="38" spans="1:4" x14ac:dyDescent="0.2">
      <c r="A38" s="182" t="s">
        <v>734</v>
      </c>
      <c r="B38" s="184" t="s">
        <v>729</v>
      </c>
      <c r="C38" s="178">
        <f>ROUND(SUM('DOE25'!F140:J140)-SUM('DOE25'!F117:F119),0)</f>
        <v>1216414</v>
      </c>
      <c r="D38" s="181">
        <f t="shared" si="1"/>
        <v>3.2</v>
      </c>
    </row>
    <row r="39" spans="1:4" x14ac:dyDescent="0.2">
      <c r="A39">
        <v>4000</v>
      </c>
      <c r="B39" s="184" t="s">
        <v>730</v>
      </c>
      <c r="C39" s="178">
        <f>ROUND('DOE25'!F170+'DOE25'!G170+'DOE25'!H170+'DOE25'!I170,0)</f>
        <v>3874110</v>
      </c>
      <c r="D39" s="181">
        <f t="shared" si="1"/>
        <v>10.1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38204673</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Conway</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52</v>
      </c>
      <c r="K4" s="333" t="b">
        <f>C4=C5</f>
        <v>0</v>
      </c>
      <c r="L4" s="357">
        <v>113</v>
      </c>
      <c r="M4" s="357" t="s">
        <v>989</v>
      </c>
      <c r="N4" s="357" t="s">
        <v>1621</v>
      </c>
      <c r="O4" s="357">
        <v>27010</v>
      </c>
      <c r="P4" s="357" t="s">
        <v>1533</v>
      </c>
      <c r="Q4" s="357">
        <v>9</v>
      </c>
      <c r="R4" s="357" t="s">
        <v>1694</v>
      </c>
      <c r="S4" s="359">
        <f>ROWS($Q$4:Q4)</f>
        <v>1</v>
      </c>
      <c r="T4" s="359">
        <f>IF('School Level Expenditures'!$B$2='School Tables'!L4,'School Tables'!S4,"")</f>
        <v>1</v>
      </c>
      <c r="U4" s="359">
        <f>IFERROR(SMALL($T$4:$T$75,ROWS($T$4:T4)),"")</f>
        <v>1</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38</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146</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239</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f>IF('School Level Expenditures'!$B$2='School Tables'!W41,'School Tables'!AD41,"")</f>
        <v>38</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f>IF('School Level Expenditures'!$B$2=A55,'School Tables'!H55,"")</f>
        <v>52</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f>IF('School Level Expenditures'!$B$2=A149,'School Tables'!H149,"")</f>
        <v>146</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f>IF('School Level Expenditures'!$B$2=A242,'School Tables'!H242,"")</f>
        <v>239</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2022-09-28T16:43:09Z</cp:lastPrinted>
  <dcterms:created xsi:type="dcterms:W3CDTF">1997-12-04T19:04:30Z</dcterms:created>
  <dcterms:modified xsi:type="dcterms:W3CDTF">2022-12-19T13:18:39Z</dcterms:modified>
</cp:coreProperties>
</file>