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0B95D4E4-A872-4C1E-86FA-7EE6F630E4E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F110" i="1"/>
  <c r="F9" i="1" l="1"/>
  <c r="B19" i="12" l="1"/>
  <c r="B12" i="12"/>
  <c r="B11" i="12"/>
  <c r="B10" i="12"/>
  <c r="D9" i="13"/>
  <c r="E9" i="17"/>
  <c r="H542" i="1" l="1"/>
  <c r="H592" i="1"/>
  <c r="H593" i="1"/>
  <c r="F580" i="1"/>
  <c r="H577" i="1"/>
  <c r="H576" i="1"/>
  <c r="H544" i="1"/>
  <c r="H524" i="1"/>
  <c r="K522" i="1"/>
  <c r="I277" i="1"/>
  <c r="I287" i="1"/>
  <c r="F283" i="1"/>
  <c r="J277" i="1"/>
  <c r="H283" i="1"/>
  <c r="J282" i="1"/>
  <c r="J278" i="1"/>
  <c r="J522" i="1" s="1"/>
  <c r="I278" i="1"/>
  <c r="I522" i="1" s="1"/>
  <c r="H278" i="1"/>
  <c r="F278" i="1"/>
  <c r="F522" i="1" s="1"/>
  <c r="F277" i="1"/>
  <c r="I283" i="1"/>
  <c r="I527" i="1" s="1"/>
  <c r="H277" i="1"/>
  <c r="H359" i="1"/>
  <c r="G198" i="1"/>
  <c r="I198" i="1"/>
  <c r="J199" i="1"/>
  <c r="I204" i="1"/>
  <c r="H199" i="1"/>
  <c r="H522" i="1" s="1"/>
  <c r="H208" i="1"/>
  <c r="K206" i="1"/>
  <c r="I208" i="1"/>
  <c r="F205" i="1"/>
  <c r="I203" i="1"/>
  <c r="H203" i="1"/>
  <c r="H527" i="1" s="1"/>
  <c r="G206" i="1"/>
  <c r="I206" i="1"/>
  <c r="J198" i="1"/>
  <c r="H205" i="1"/>
  <c r="H209" i="1"/>
  <c r="I205" i="1"/>
  <c r="G205" i="1"/>
  <c r="G204" i="1"/>
  <c r="F204" i="1"/>
  <c r="K203" i="1"/>
  <c r="K527" i="1" s="1"/>
  <c r="J203" i="1"/>
  <c r="J527" i="1" s="1"/>
  <c r="G203" i="1"/>
  <c r="G527" i="1" s="1"/>
  <c r="F203" i="1"/>
  <c r="F527" i="1" s="1"/>
  <c r="G199" i="1"/>
  <c r="G522" i="1" s="1"/>
  <c r="H234" i="1"/>
  <c r="H393" i="1"/>
  <c r="J466" i="1"/>
  <c r="G441" i="1" l="1"/>
  <c r="F441" i="1"/>
  <c r="H390" i="1"/>
  <c r="H397" i="1"/>
  <c r="H398" i="1"/>
  <c r="H101" i="1"/>
  <c r="H159" i="1"/>
  <c r="H155" i="1"/>
  <c r="E7" i="17" s="1"/>
  <c r="G158" i="1"/>
  <c r="G97" i="1"/>
  <c r="F187" i="1"/>
  <c r="F118" i="1"/>
  <c r="F117" i="1"/>
  <c r="F107" i="1"/>
  <c r="F96" i="1"/>
  <c r="H29" i="1"/>
  <c r="H24" i="1"/>
  <c r="H12" i="1"/>
  <c r="H14" i="1"/>
  <c r="F29" i="1"/>
  <c r="F14" i="1"/>
  <c r="C2" i="1"/>
  <c r="B2" i="1"/>
  <c r="G655" i="1"/>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E6" i="14" s="1"/>
  <c r="E21" i="14" s="1"/>
  <c r="G163" i="1"/>
  <c r="F163" i="1"/>
  <c r="B31" i="16" l="1"/>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25" i="14"/>
  <c r="F5" i="14"/>
  <c r="F24" i="14" l="1"/>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2" i="12" s="1"/>
  <c r="C13" i="12" s="1"/>
  <c r="B18" i="12"/>
  <c r="C18" i="12"/>
  <c r="C21" i="12" s="1"/>
  <c r="C22" i="12" s="1"/>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J473" i="1" s="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I19" i="1"/>
  <c r="G621" i="1" s="1"/>
  <c r="F32" i="1"/>
  <c r="F52" i="1" s="1"/>
  <c r="H618" i="1" s="1"/>
  <c r="G32" i="1"/>
  <c r="H32" i="1"/>
  <c r="I32" i="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H447" i="1"/>
  <c r="G642" i="1" s="1"/>
  <c r="F453" i="1"/>
  <c r="G453" i="1"/>
  <c r="H453"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H631" i="1"/>
  <c r="H637" i="1"/>
  <c r="H639" i="1"/>
  <c r="G644" i="1"/>
  <c r="G646" i="1"/>
  <c r="G651" i="1"/>
  <c r="G652" i="1"/>
  <c r="H653" i="1"/>
  <c r="G654" i="1"/>
  <c r="H654" i="1"/>
  <c r="H655" i="1"/>
  <c r="H656" i="1"/>
  <c r="I170" i="1"/>
  <c r="C110" i="2" l="1"/>
  <c r="G641" i="1"/>
  <c r="G460" i="1"/>
  <c r="G461" i="1" s="1"/>
  <c r="E121" i="2"/>
  <c r="I409" i="1"/>
  <c r="E13" i="13"/>
  <c r="C13" i="13" s="1"/>
  <c r="G620" i="1"/>
  <c r="H48" i="1"/>
  <c r="G619" i="1"/>
  <c r="G40" i="1"/>
  <c r="C13" i="10"/>
  <c r="J652" i="1"/>
  <c r="G662" i="1"/>
  <c r="C121" i="2"/>
  <c r="C120" i="2"/>
  <c r="D6" i="13"/>
  <c r="C6" i="13" s="1"/>
  <c r="A40" i="12"/>
  <c r="G640" i="1"/>
  <c r="F460" i="1"/>
  <c r="E119" i="2"/>
  <c r="H409" i="1"/>
  <c r="J96" i="1" s="1"/>
  <c r="G339" i="1"/>
  <c r="G353" i="1" s="1"/>
  <c r="J258" i="1"/>
  <c r="J272" i="1" s="1"/>
  <c r="E123" i="2"/>
  <c r="E110" i="2"/>
  <c r="K339" i="1"/>
  <c r="K353" i="1" s="1"/>
  <c r="J656" i="1"/>
  <c r="J572" i="1"/>
  <c r="E131" i="2"/>
  <c r="E144" i="2" s="1"/>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L572" i="1" s="1"/>
  <c r="I572" i="1"/>
  <c r="K546" i="1"/>
  <c r="C114" i="2"/>
  <c r="G112" i="1"/>
  <c r="B10" i="16" s="1"/>
  <c r="E118" i="2"/>
  <c r="L248" i="1"/>
  <c r="D37" i="14" s="1"/>
  <c r="L212" i="1"/>
  <c r="D6" i="14" s="1"/>
  <c r="H648"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42" i="2"/>
  <c r="G16" i="2"/>
  <c r="G18" i="2" s="1"/>
  <c r="J19" i="1"/>
  <c r="G622" i="1" s="1"/>
  <c r="F546" i="1"/>
  <c r="H435" i="1"/>
  <c r="D103" i="2"/>
  <c r="I140" i="1"/>
  <c r="A22" i="12"/>
  <c r="J653" i="1"/>
  <c r="G572" i="1"/>
  <c r="I435" i="1"/>
  <c r="G435" i="1"/>
  <c r="I664" i="1"/>
  <c r="D21" i="14" l="1"/>
  <c r="F6" i="14"/>
  <c r="F4" i="14" s="1"/>
  <c r="G59" i="2"/>
  <c r="G62" i="2" s="1"/>
  <c r="G63" i="2" s="1"/>
  <c r="J111" i="1"/>
  <c r="J112" i="1" s="1"/>
  <c r="J194" i="1" s="1"/>
  <c r="G647" i="1" s="1"/>
  <c r="G645" i="1"/>
  <c r="D43" i="14"/>
  <c r="F37" i="14"/>
  <c r="F36" i="14" s="1"/>
  <c r="G51" i="1"/>
  <c r="D39" i="2"/>
  <c r="D50" i="2" s="1"/>
  <c r="B17" i="16"/>
  <c r="B19" i="16" s="1"/>
  <c r="G473" i="1"/>
  <c r="E47" i="2"/>
  <c r="E50" i="2" s="1"/>
  <c r="H51" i="1"/>
  <c r="C81" i="2"/>
  <c r="F194" i="1"/>
  <c r="F469" i="1" s="1"/>
  <c r="E128" i="2"/>
  <c r="E145" i="2" s="1"/>
  <c r="F661" i="1"/>
  <c r="F665" i="1" s="1"/>
  <c r="F668" i="1" s="1"/>
  <c r="H645" i="1"/>
  <c r="J645" i="1" s="1"/>
  <c r="J469" i="1"/>
  <c r="I460" i="1"/>
  <c r="F461" i="1"/>
  <c r="F462" i="1" s="1"/>
  <c r="H640" i="1" s="1"/>
  <c r="J640" i="1" s="1"/>
  <c r="E51" i="2"/>
  <c r="D51" i="2"/>
  <c r="H661" i="1"/>
  <c r="H665" i="1" s="1"/>
  <c r="H668" i="1" s="1"/>
  <c r="H194" i="1"/>
  <c r="H649" i="1"/>
  <c r="C141" i="2"/>
  <c r="C144" i="2" s="1"/>
  <c r="F51" i="2"/>
  <c r="G36" i="14"/>
  <c r="E104" i="2"/>
  <c r="C36" i="10"/>
  <c r="L435" i="1"/>
  <c r="G639" i="1" s="1"/>
  <c r="J639" i="1" s="1"/>
  <c r="I662" i="1"/>
  <c r="G104" i="2"/>
  <c r="L339" i="1"/>
  <c r="J649" i="1"/>
  <c r="I194" i="1"/>
  <c r="G631" i="1" s="1"/>
  <c r="J631" i="1" s="1"/>
  <c r="G636" i="1"/>
  <c r="D104" i="2"/>
  <c r="L409" i="1"/>
  <c r="C27" i="10"/>
  <c r="C28" i="10" s="1"/>
  <c r="D23" i="10" s="1"/>
  <c r="G4" i="14"/>
  <c r="H4" i="14" s="1"/>
  <c r="I4" i="14" s="1"/>
  <c r="L546" i="1"/>
  <c r="J626" i="1"/>
  <c r="F104" i="2"/>
  <c r="B14" i="16"/>
  <c r="B22" i="16" s="1"/>
  <c r="G628" i="1"/>
  <c r="E33" i="13"/>
  <c r="D35" i="13" s="1"/>
  <c r="J648" i="1"/>
  <c r="L258" i="1"/>
  <c r="C115" i="2"/>
  <c r="C63" i="2"/>
  <c r="C104" i="2" s="1"/>
  <c r="C39" i="10"/>
  <c r="G33" i="13"/>
  <c r="C128" i="2"/>
  <c r="D31" i="13"/>
  <c r="C31" i="13" s="1"/>
  <c r="G661" i="1"/>
  <c r="G665" i="1" s="1"/>
  <c r="G673" i="1" s="1"/>
  <c r="C5" i="10" s="1"/>
  <c r="C25" i="13"/>
  <c r="I33" i="13"/>
  <c r="K553" i="1"/>
  <c r="C51" i="2"/>
  <c r="G632" i="1"/>
  <c r="G194" i="1"/>
  <c r="C38" i="10"/>
  <c r="G624" i="1" l="1"/>
  <c r="G52" i="1"/>
  <c r="H619" i="1" s="1"/>
  <c r="J619" i="1" s="1"/>
  <c r="H36" i="14"/>
  <c r="I36" i="14" s="1"/>
  <c r="G625" i="1"/>
  <c r="H52" i="1"/>
  <c r="H620" i="1" s="1"/>
  <c r="J620" i="1" s="1"/>
  <c r="G475" i="1"/>
  <c r="H636" i="1"/>
  <c r="J636" i="1" s="1"/>
  <c r="G629" i="1"/>
  <c r="G469" i="1"/>
  <c r="L272" i="1"/>
  <c r="G633" i="1" s="1"/>
  <c r="F473" i="1"/>
  <c r="G630" i="1"/>
  <c r="H469" i="1"/>
  <c r="F471" i="1"/>
  <c r="H628" i="1"/>
  <c r="J628" i="1" s="1"/>
  <c r="L353" i="1"/>
  <c r="G634" i="1" s="1"/>
  <c r="H473" i="1"/>
  <c r="H673" i="1"/>
  <c r="C6" i="10" s="1"/>
  <c r="J471" i="1"/>
  <c r="J477" i="1" s="1"/>
  <c r="H627" i="1" s="1"/>
  <c r="H638" i="1"/>
  <c r="H632" i="1"/>
  <c r="J632" i="1" s="1"/>
  <c r="J48" i="1"/>
  <c r="I461" i="1"/>
  <c r="I462" i="1" s="1"/>
  <c r="H643" i="1" s="1"/>
  <c r="J643" i="1"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1" i="1" l="1"/>
  <c r="H630" i="1"/>
  <c r="J630" i="1"/>
  <c r="H633" i="1"/>
  <c r="F475" i="1"/>
  <c r="F477" i="1" s="1"/>
  <c r="H623" i="1" s="1"/>
  <c r="J623" i="1" s="1"/>
  <c r="J633" i="1"/>
  <c r="G471" i="1"/>
  <c r="G477" i="1" s="1"/>
  <c r="H629" i="1"/>
  <c r="J629" i="1"/>
  <c r="H475" i="1"/>
  <c r="H477" i="1" s="1"/>
  <c r="H625" i="1" s="1"/>
  <c r="J625" i="1" s="1"/>
  <c r="H634" i="1"/>
  <c r="J634" i="1" s="1"/>
  <c r="G47" i="2"/>
  <c r="G50" i="2" s="1"/>
  <c r="G51" i="2" s="1"/>
  <c r="J51" i="1"/>
  <c r="I668" i="1"/>
  <c r="D28" i="10"/>
  <c r="D37" i="10"/>
  <c r="D36" i="10"/>
  <c r="D35" i="10"/>
  <c r="D40" i="10"/>
  <c r="D39" i="10"/>
  <c r="B33" i="16" l="1"/>
  <c r="H624" i="1"/>
  <c r="J624" i="1" s="1"/>
  <c r="J52" i="1"/>
  <c r="H622" i="1" s="1"/>
  <c r="J622" i="1" s="1"/>
  <c r="G627" i="1"/>
  <c r="D41" i="10"/>
  <c r="J627"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<sst xmlns="http://schemas.openxmlformats.org/spreadsheetml/2006/main" count="6505" uniqueCount="1802">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</sst>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994</v>
      </c>
      <c r="B2">
        <f>INDEX('School Tables'!$AH$3:$AH$208,MATCH('DOE25'!A2,'School Tables'!$AJ$3:$AJ$208,0))</f>
        <v>115</v>
      </c>
      <c r="C2">
        <f>INDEX('School Tables'!$AI$3:$AI$208,MATCH('DOE25'!A2,'School Tables'!$AJ$3:$AJ$208,0))</f>
        <v>115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263770.84+250+15369.15+45039.51</f>
        <v>324429.50000000006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427040.67000000004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f>-1713.64-9123.01-969.72-4404.01+44.85+74890.21-4575.68-0.22-592.57+29.35+0.03</f>
        <v>53585.590000000004</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19000.03</v>
      </c>
      <c r="K13" s="23" t="s">
        <v>288</v>
      </c>
      <c r="L13" s="23" t="s">
        <v>288</v>
      </c>
      <c r="M13" s="8"/>
      <c r="N13" s="165"/>
    </row>
    <row r="14" spans="1:14" s="3" customFormat="1" ht="12.2" customHeight="1" x14ac:dyDescent="0.15">
      <c r="A14" s="1" t="s">
        <v>565</v>
      </c>
      <c r="B14" s="2" t="s">
        <v>289</v>
      </c>
      <c r="C14" s="6">
        <v>6</v>
      </c>
      <c r="D14" s="2" t="s">
        <v>428</v>
      </c>
      <c r="E14" s="6">
        <v>150</v>
      </c>
      <c r="F14" s="18">
        <f>2346.23</f>
        <v>2346.23</v>
      </c>
      <c r="G14" s="18">
        <v>9358.85</v>
      </c>
      <c r="H14" s="18">
        <f>1712.72+13848.77+969.71+3193.59+8297.33+0.22+4746.43</f>
        <v>32768.770000000004</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326775.73000000004</v>
      </c>
      <c r="G19" s="38">
        <f>SUM(G9:G18)</f>
        <v>9358.85</v>
      </c>
      <c r="H19" s="38">
        <f>SUM(H9:H18)</f>
        <v>86354.360000000015</v>
      </c>
      <c r="I19" s="38">
        <f>SUM(I9:I18)</f>
        <v>0</v>
      </c>
      <c r="J19" s="38">
        <f>SUM(J9:J18)</f>
        <v>446040.70000000007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48763.11</v>
      </c>
      <c r="G22" s="18">
        <v>4822.4799999999996</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53348.62</v>
      </c>
      <c r="G24" s="18"/>
      <c r="H24" s="18">
        <f>3941+2730.15+375.66+2698.86</f>
        <v>9745.67</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249.19+8095.31+1306+64.8</f>
        <v>9715.2999999999993</v>
      </c>
      <c r="G29" s="18"/>
      <c r="H29" s="18">
        <f>3.44+78.91</f>
        <v>82.35</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111827.03000000001</v>
      </c>
      <c r="G32" s="38">
        <f>SUM(G22:G31)</f>
        <v>4822.4799999999996</v>
      </c>
      <c r="H32" s="38">
        <f>SUM(H22:H31)</f>
        <v>9828.02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f>G19-G32</f>
        <v>4536.3700000000008</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f>H19-H32</f>
        <v>76526.340000000011</v>
      </c>
      <c r="I48" s="18"/>
      <c r="J48" s="13">
        <f>SUM(I460)</f>
        <v>446040.69999999995</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214948.7-50000</f>
        <v>164948.70000000001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214948.7</v>
      </c>
      <c r="G51" s="38">
        <f>SUM(G35:G50)</f>
        <v>4536.3700000000008</v>
      </c>
      <c r="H51" s="38">
        <f>SUM(H35:H50)</f>
        <v>76526.340000000011</v>
      </c>
      <c r="I51" s="38">
        <f>SUM(I35:I50)</f>
        <v>0</v>
      </c>
      <c r="J51" s="38">
        <f>SUM(J35:J50)</f>
        <v>446040.69999999995</v>
      </c>
      <c r="K51" s="42" t="s">
        <v>288</v>
      </c>
      <c r="L51" s="42" t="s">
        <v>288</v>
      </c>
      <c r="N51" s="131"/>
    </row>
    <row r="52" spans="1:14" s="3" customFormat="1" ht="12.2" customHeight="1" thickTop="1" x14ac:dyDescent="0.15">
      <c r="A52" s="35" t="s">
        <v>455</v>
      </c>
      <c r="B52" s="36" t="s">
        <v>289</v>
      </c>
      <c r="C52" s="6">
        <v>37</v>
      </c>
      <c r="D52" s="36" t="s">
        <v>653</v>
      </c>
      <c r="E52" s="36"/>
      <c r="F52" s="38">
        <f>F51+F32</f>
        <v>326775.73000000004</v>
      </c>
      <c r="G52" s="38">
        <f>G51+G32</f>
        <v>9358.85</v>
      </c>
      <c r="H52" s="38">
        <f>H51+H32</f>
        <v>86354.360000000015</v>
      </c>
      <c r="I52" s="38">
        <f>I51+I32</f>
        <v>0</v>
      </c>
      <c r="J52" s="38">
        <f>J51+J32</f>
        <v>446040.69999999995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2848297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2848297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1917.92</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1917.92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162.72+88.67+1.41</f>
        <v>252.79999999999998</v>
      </c>
      <c r="G96" s="18"/>
      <c r="H96" s="18"/>
      <c r="I96" s="18"/>
      <c r="J96" s="18">
        <f>H409</f>
        <v>16795.39</v>
      </c>
      <c r="K96" s="23" t="s">
        <v>288</v>
      </c>
      <c r="L96" s="23" t="s">
        <v>288</v>
      </c>
      <c r="M96" s="8"/>
      <c r="N96" s="165"/>
    </row>
    <row r="97" spans="1:14" s="3" customFormat="1" ht="12.2" customHeight="1" x14ac:dyDescent="0.15">
      <c r="A97" s="1" t="s">
        <v>503</v>
      </c>
      <c r="B97" s="2" t="s">
        <v>315</v>
      </c>
      <c r="C97" s="6">
        <v>12</v>
      </c>
      <c r="D97" s="2" t="s">
        <v>430</v>
      </c>
      <c r="E97" s="6">
        <v>1600</v>
      </c>
      <c r="F97" s="23" t="s">
        <v>288</v>
      </c>
      <c r="G97" s="18">
        <f>7589.74+47359.92</f>
        <v>54949.659999999996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f>2710.1</f>
        <v>2710.1</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f>51902</f>
        <v>51902</v>
      </c>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100000+24646.68</f>
        <v>124646.68</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176801.47999999998</v>
      </c>
      <c r="G111" s="38">
        <f>SUM(G96:G110)</f>
        <v>54949.659999999996</v>
      </c>
      <c r="H111" s="38">
        <f>SUM(H96:H110)</f>
        <v>2710.1</v>
      </c>
      <c r="I111" s="38">
        <f>SUM(I96:I110)</f>
        <v>0</v>
      </c>
      <c r="J111" s="38">
        <f>SUM(J96:J110)</f>
        <v>16795.39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3027016.4</v>
      </c>
      <c r="G112" s="38">
        <f>G60+G111</f>
        <v>54949.659999999996</v>
      </c>
      <c r="H112" s="38">
        <f>H60+H79+H94+H111</f>
        <v>2710.1</v>
      </c>
      <c r="I112" s="38">
        <f>I60+I111</f>
        <v>0</v>
      </c>
      <c r="J112" s="38">
        <f>J60+J111</f>
        <v>16795.39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f>702929.53</f>
        <v>702929.53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353688</f>
        <v>353688</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1056617.53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651.09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651.09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1056617.53</v>
      </c>
      <c r="G140" s="38">
        <f>G121+SUM(G136:G137)</f>
        <v>651.09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11880.39+31397.77+969.71+1983.17+1897.72</f>
        <v>48128.76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48324.54+7163.42</f>
        <v>55487.96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40417.45</f>
        <v>40417.449999999997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34714.49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24290.68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34714.49</v>
      </c>
      <c r="G163" s="38">
        <f>SUM(G150:G162)</f>
        <v>55487.96</v>
      </c>
      <c r="H163" s="38">
        <f>SUM(H150:H162)</f>
        <v>112836.88999999998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34714.49</v>
      </c>
      <c r="G170" s="38">
        <f>G147+G163+SUM(G164:G169)</f>
        <v>55487.96</v>
      </c>
      <c r="H170" s="38">
        <f>H147+H163+SUM(H164:H169)</f>
        <v>112836.88999999998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f>26839.1</f>
        <v>26839.1</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26839.1</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26839.1</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4145187.52</v>
      </c>
      <c r="G194" s="38">
        <f>G112+G140+G170+G193</f>
        <v>111088.70999999999</v>
      </c>
      <c r="H194" s="38">
        <f>H112+H140+H170+H193</f>
        <v>115546.98999999999</v>
      </c>
      <c r="I194" s="38">
        <f>I112+I140+I170+I193</f>
        <v>0</v>
      </c>
      <c r="J194" s="38">
        <f>J112+J140+J193</f>
        <v>16795.39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822360.91</v>
      </c>
      <c r="G198" s="18">
        <f>437111.51+6794.64</f>
        <v>443906.15</v>
      </c>
      <c r="H198" s="18">
        <v>490.96</v>
      </c>
      <c r="I198" s="18">
        <f>39358.36+205.94+2.81+1.11+4.68+6.99+50.02</f>
        <v>39629.909999999996</v>
      </c>
      <c r="J198" s="18">
        <f>2656.89+0.92</f>
        <v>2657.81</v>
      </c>
      <c r="K198" s="18">
        <v>398</v>
      </c>
      <c r="L198" s="13">
        <f>SUM(F198:K198)</f>
        <v>1309443.74</v>
      </c>
      <c r="M198" s="8"/>
      <c r="N198" s="165"/>
    </row>
    <row r="199" spans="1:14" s="3" customFormat="1" ht="12.2" customHeight="1" x14ac:dyDescent="0.15">
      <c r="A199" s="1" t="s">
        <v>439</v>
      </c>
      <c r="B199" s="2" t="s">
        <v>341</v>
      </c>
      <c r="C199" s="2" t="s">
        <v>291</v>
      </c>
      <c r="D199" s="2" t="s">
        <v>431</v>
      </c>
      <c r="E199" s="6">
        <v>1200</v>
      </c>
      <c r="F199" s="18">
        <v>170179.52</v>
      </c>
      <c r="G199" s="18">
        <f>86880.63+7877.44</f>
        <v>94758.07</v>
      </c>
      <c r="H199" s="18">
        <f>225942.89+2550+1954.106+4777.7+4025+177.29+1600+450+1268</f>
        <v>242744.98600000003</v>
      </c>
      <c r="I199" s="18">
        <v>1022.97</v>
      </c>
      <c r="J199" s="18">
        <f>673.84+665.05</f>
        <v>1338.8899999999999</v>
      </c>
      <c r="K199" s="18">
        <v>500</v>
      </c>
      <c r="L199" s="13">
        <f>SUM(F199:K199)</f>
        <v>510544.43599999999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1000</v>
      </c>
      <c r="G201" s="18">
        <v>282.42</v>
      </c>
      <c r="H201" s="18"/>
      <c r="I201" s="18"/>
      <c r="J201" s="18"/>
      <c r="K201" s="18">
        <v>100</v>
      </c>
      <c r="L201" s="13">
        <f>SUM(F201:K201)</f>
        <v>1382.42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50587.75+55700</f>
        <v>106287.75</v>
      </c>
      <c r="G203" s="18">
        <f>14007.71+39122.98</f>
        <v>53130.69</v>
      </c>
      <c r="H203" s="18">
        <f>46985.77+602.54</f>
        <v>47588.31</v>
      </c>
      <c r="I203" s="18">
        <f>11981.38+1627.13+26.68</f>
        <v>13635.189999999999</v>
      </c>
      <c r="J203" s="18">
        <f>16853.71+70</f>
        <v>16923.71</v>
      </c>
      <c r="K203" s="18">
        <f>150</f>
        <v>150</v>
      </c>
      <c r="L203" s="13">
        <f t="shared" ref="L203:L209" si="0">SUM(F203:K203)</f>
        <v>237715.65</v>
      </c>
      <c r="M203" s="8"/>
      <c r="N203" s="165"/>
    </row>
    <row r="204" spans="1:14" s="3" customFormat="1" ht="12.2" customHeight="1" x14ac:dyDescent="0.15">
      <c r="A204" s="1" t="s">
        <v>443</v>
      </c>
      <c r="B204" s="2" t="s">
        <v>341</v>
      </c>
      <c r="C204" s="2" t="s">
        <v>295</v>
      </c>
      <c r="D204" s="2" t="s">
        <v>431</v>
      </c>
      <c r="E204" s="6">
        <v>2200</v>
      </c>
      <c r="F204" s="18">
        <f>796.12+51700</f>
        <v>52496.12</v>
      </c>
      <c r="G204" s="18">
        <f>915.55+25949.76</f>
        <v>26865.309999999998</v>
      </c>
      <c r="H204" s="18">
        <v>6805.61</v>
      </c>
      <c r="I204" s="18">
        <f>50+13705.32+651.2</f>
        <v>14406.52</v>
      </c>
      <c r="J204" s="18"/>
      <c r="K204" s="18">
        <v>4176.0200000000004</v>
      </c>
      <c r="L204" s="13">
        <f t="shared" si="0"/>
        <v>104749.58</v>
      </c>
      <c r="M204" s="8"/>
      <c r="N204" s="165"/>
    </row>
    <row r="205" spans="1:14" s="3" customFormat="1" ht="12.2" customHeight="1" x14ac:dyDescent="0.15">
      <c r="A205" s="1" t="s">
        <v>444</v>
      </c>
      <c r="B205" s="2" t="s">
        <v>341</v>
      </c>
      <c r="C205" s="2" t="s">
        <v>296</v>
      </c>
      <c r="D205" s="2" t="s">
        <v>431</v>
      </c>
      <c r="E205" s="6">
        <v>2300</v>
      </c>
      <c r="F205" s="18">
        <f>41611.83+250</f>
        <v>41861.83</v>
      </c>
      <c r="G205" s="18">
        <f>18362.95</f>
        <v>18362.95</v>
      </c>
      <c r="H205" s="18">
        <f>21061.9+200600+1493.23+4967+1525+2200</f>
        <v>231847.13</v>
      </c>
      <c r="I205" s="18">
        <f>1493.23+1355.45</f>
        <v>2848.6800000000003</v>
      </c>
      <c r="J205" s="18"/>
      <c r="K205" s="18">
        <v>1554.7</v>
      </c>
      <c r="L205" s="13">
        <f t="shared" si="0"/>
        <v>296475.29000000004</v>
      </c>
      <c r="M205" s="8"/>
      <c r="N205" s="165"/>
    </row>
    <row r="206" spans="1:14" s="3" customFormat="1" ht="12.2" customHeight="1" x14ac:dyDescent="0.15">
      <c r="A206" s="1" t="s">
        <v>445</v>
      </c>
      <c r="B206" s="2" t="s">
        <v>341</v>
      </c>
      <c r="C206" s="2" t="s">
        <v>297</v>
      </c>
      <c r="D206" s="2" t="s">
        <v>431</v>
      </c>
      <c r="E206" s="6">
        <v>2400</v>
      </c>
      <c r="F206" s="18">
        <v>141838</v>
      </c>
      <c r="G206" s="18">
        <f>109774.74+17334.68+11+375</f>
        <v>127495.42000000001</v>
      </c>
      <c r="H206" s="18">
        <v>2316.7399999999998</v>
      </c>
      <c r="I206" s="18">
        <f>162</f>
        <v>162</v>
      </c>
      <c r="J206" s="18"/>
      <c r="K206" s="18">
        <f>3497.83+113</f>
        <v>3610.83</v>
      </c>
      <c r="L206" s="13">
        <f t="shared" si="0"/>
        <v>275422.99000000005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64094.36</v>
      </c>
      <c r="G208" s="18">
        <v>14369.09</v>
      </c>
      <c r="H208" s="18">
        <f>113816.05+3575+85.9+790</f>
        <v>118266.95</v>
      </c>
      <c r="I208" s="18">
        <f>65339.41+249.24</f>
        <v>65588.650000000009</v>
      </c>
      <c r="J208" s="18">
        <v>2318.9699999999998</v>
      </c>
      <c r="K208" s="18"/>
      <c r="L208" s="13">
        <f t="shared" si="0"/>
        <v>264638.01999999996</v>
      </c>
      <c r="M208" s="8"/>
      <c r="N208" s="165"/>
    </row>
    <row r="209" spans="1:14" s="3" customFormat="1" ht="12.2" customHeight="1" x14ac:dyDescent="0.15">
      <c r="A209" s="1" t="s">
        <v>448</v>
      </c>
      <c r="B209" s="2" t="s">
        <v>341</v>
      </c>
      <c r="C209" s="2" t="s">
        <v>300</v>
      </c>
      <c r="D209" s="2" t="s">
        <v>431</v>
      </c>
      <c r="E209" s="6">
        <v>2700</v>
      </c>
      <c r="F209" s="18"/>
      <c r="G209" s="18"/>
      <c r="H209" s="18">
        <f>160950.55+940</f>
        <v>161890.54999999999</v>
      </c>
      <c r="I209" s="18"/>
      <c r="J209" s="18"/>
      <c r="K209" s="18"/>
      <c r="L209" s="13">
        <f t="shared" si="0"/>
        <v>161890.54999999999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1400118.4900000005</v>
      </c>
      <c r="G212" s="38">
        <f t="shared" si="1"/>
        <v>779170.10000000009</v>
      </c>
      <c r="H212" s="38">
        <f t="shared" si="1"/>
        <v>811951.23600000003</v>
      </c>
      <c r="I212" s="38">
        <f t="shared" si="1"/>
        <v>137293.91999999998</v>
      </c>
      <c r="J212" s="38">
        <f t="shared" si="1"/>
        <v>23239.38</v>
      </c>
      <c r="K212" s="38">
        <f t="shared" si="1"/>
        <v>10489.55</v>
      </c>
      <c r="L212" s="38">
        <f t="shared" si="1"/>
        <v>3162262.676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709191.04</f>
        <v>709191.04</v>
      </c>
      <c r="I234" s="18"/>
      <c r="J234" s="18"/>
      <c r="K234" s="18"/>
      <c r="L234" s="13">
        <f>SUM(F234:K234)</f>
        <v>709191.04</v>
      </c>
      <c r="M234" s="8"/>
      <c r="N234" s="165"/>
    </row>
    <row r="235" spans="1:14" s="3" customFormat="1" ht="12.2" customHeight="1" x14ac:dyDescent="0.15">
      <c r="A235" s="1" t="s">
        <v>439</v>
      </c>
      <c r="B235" s="2" t="s">
        <v>350</v>
      </c>
      <c r="C235" s="2" t="s">
        <v>291</v>
      </c>
      <c r="D235" s="2" t="s">
        <v>431</v>
      </c>
      <c r="E235" s="6">
        <v>1200</v>
      </c>
      <c r="F235" s="18"/>
      <c r="G235" s="18"/>
      <c r="H235" s="18">
        <v>9525</v>
      </c>
      <c r="I235" s="18"/>
      <c r="J235" s="18"/>
      <c r="K235" s="18"/>
      <c r="L235" s="13">
        <f>SUM(F235:K235)</f>
        <v>9525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2800</v>
      </c>
      <c r="I245" s="18"/>
      <c r="J245" s="18"/>
      <c r="K245" s="18"/>
      <c r="L245" s="13">
        <f t="shared" si="4"/>
        <v>2800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721516.04</v>
      </c>
      <c r="I248" s="38">
        <f t="shared" si="5"/>
        <v>0</v>
      </c>
      <c r="J248" s="38">
        <f t="shared" si="5"/>
        <v>0</v>
      </c>
      <c r="K248" s="38">
        <f t="shared" si="5"/>
        <v>0</v>
      </c>
      <c r="L248" s="38">
        <f t="shared" si="5"/>
        <v>721516.04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1400118.4900000005</v>
      </c>
      <c r="G258" s="38">
        <f t="shared" si="8"/>
        <v>779170.10000000009</v>
      </c>
      <c r="H258" s="38">
        <f t="shared" si="8"/>
        <v>1533467.2760000001</v>
      </c>
      <c r="I258" s="38">
        <f t="shared" si="8"/>
        <v>137293.91999999998</v>
      </c>
      <c r="J258" s="38">
        <f t="shared" si="8"/>
        <v>23239.38</v>
      </c>
      <c r="K258" s="38">
        <f t="shared" si="8"/>
        <v>10489.55</v>
      </c>
      <c r="L258" s="38">
        <f t="shared" si="8"/>
        <v>3883778.716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1400118.4900000005</v>
      </c>
      <c r="G272" s="39">
        <f t="shared" si="11"/>
        <v>779170.10000000009</v>
      </c>
      <c r="H272" s="39">
        <f t="shared" si="11"/>
        <v>1533467.2760000001</v>
      </c>
      <c r="I272" s="39">
        <f t="shared" si="11"/>
        <v>137293.91999999998</v>
      </c>
      <c r="J272" s="39">
        <f t="shared" si="11"/>
        <v>23239.38</v>
      </c>
      <c r="K272" s="39">
        <f t="shared" si="11"/>
        <v>10489.55</v>
      </c>
      <c r="L272" s="39">
        <f t="shared" si="11"/>
        <v>3883778.716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11726+1897.72</f>
        <v>13623.72</v>
      </c>
      <c r="G277" s="18"/>
      <c r="H277" s="18">
        <f>1500</f>
        <v>1500</v>
      </c>
      <c r="I277" s="18">
        <f>154.39+414.58+2730.15-20+910.37+1202.48+495+969.71</f>
        <v>6856.6799999999994</v>
      </c>
      <c r="J277" s="18">
        <f>2203.86+9152.65</f>
        <v>11356.51</v>
      </c>
      <c r="K277" s="18"/>
      <c r="L277" s="13">
        <f>SUM(F277:K277)</f>
        <v>33336.909999999996</v>
      </c>
      <c r="M277" s="8"/>
      <c r="N277" s="165"/>
    </row>
    <row r="278" spans="1:14" s="3" customFormat="1" ht="12.2" customHeight="1" x14ac:dyDescent="0.15">
      <c r="A278" s="1" t="s">
        <v>439</v>
      </c>
      <c r="B278" s="2" t="s">
        <v>357</v>
      </c>
      <c r="C278" s="2" t="s">
        <v>291</v>
      </c>
      <c r="D278" s="2" t="s">
        <v>431</v>
      </c>
      <c r="E278" s="6">
        <v>1200</v>
      </c>
      <c r="F278" s="18">
        <f>32099.98</f>
        <v>32099.98</v>
      </c>
      <c r="G278" s="18"/>
      <c r="H278" s="18">
        <f>1599</f>
        <v>1599</v>
      </c>
      <c r="I278" s="18">
        <f>2498.55+899</f>
        <v>3397.55</v>
      </c>
      <c r="J278" s="18">
        <f>182.67+793.5+875.88</f>
        <v>1852.05</v>
      </c>
      <c r="K278" s="18"/>
      <c r="L278" s="13">
        <f>SUM(F278:K278)</f>
        <v>38948.58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f>518.87</f>
        <v>518.87</v>
      </c>
      <c r="K282" s="18"/>
      <c r="L282" s="13">
        <f t="shared" ref="L282:L288" si="12">SUM(F282:K282)</f>
        <v>518.87</v>
      </c>
      <c r="M282" s="8"/>
      <c r="N282" s="165"/>
    </row>
    <row r="283" spans="1:14" s="3" customFormat="1" ht="12.2" customHeight="1" x14ac:dyDescent="0.15">
      <c r="A283" s="1" t="s">
        <v>443</v>
      </c>
      <c r="B283" s="2" t="s">
        <v>357</v>
      </c>
      <c r="C283" s="2" t="s">
        <v>295</v>
      </c>
      <c r="D283" s="2" t="s">
        <v>431</v>
      </c>
      <c r="E283" s="6">
        <v>2200</v>
      </c>
      <c r="F283" s="18">
        <f>6859.18+1574.44+5771.22</f>
        <v>14204.84</v>
      </c>
      <c r="G283" s="18"/>
      <c r="H283" s="18">
        <f>20382.2+1642.12+200+129.57+650</f>
        <v>23003.89</v>
      </c>
      <c r="I283" s="18">
        <f>1014.27+875</f>
        <v>1889.27</v>
      </c>
      <c r="J283" s="18"/>
      <c r="K283" s="18"/>
      <c r="L283" s="13">
        <f t="shared" si="12"/>
        <v>39097.999999999993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f>4555.1</f>
        <v>4555.1000000000004</v>
      </c>
      <c r="J287" s="18"/>
      <c r="K287" s="18"/>
      <c r="L287" s="13">
        <f t="shared" si="12"/>
        <v>4555.1000000000004</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59928.539999999994</v>
      </c>
      <c r="G291" s="39">
        <f t="shared" si="13"/>
        <v>0</v>
      </c>
      <c r="H291" s="39">
        <f t="shared" si="13"/>
        <v>26102.89</v>
      </c>
      <c r="I291" s="39">
        <f t="shared" si="13"/>
        <v>16698.599999999999</v>
      </c>
      <c r="J291" s="39">
        <f t="shared" si="13"/>
        <v>13727.43</v>
      </c>
      <c r="K291" s="39">
        <f t="shared" si="13"/>
        <v>0</v>
      </c>
      <c r="L291" s="38">
        <f t="shared" si="13"/>
        <v>116457.45999999999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59928.539999999994</v>
      </c>
      <c r="G339" s="38">
        <f t="shared" si="20"/>
        <v>0</v>
      </c>
      <c r="H339" s="38">
        <f t="shared" si="20"/>
        <v>26102.89</v>
      </c>
      <c r="I339" s="38">
        <f t="shared" si="20"/>
        <v>16698.599999999999</v>
      </c>
      <c r="J339" s="38">
        <f t="shared" si="20"/>
        <v>13727.43</v>
      </c>
      <c r="K339" s="38">
        <f t="shared" si="20"/>
        <v>0</v>
      </c>
      <c r="L339" s="38">
        <f t="shared" si="20"/>
        <v>116457.45999999999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59928.539999999994</v>
      </c>
      <c r="G353" s="38">
        <f>G339</f>
        <v>0</v>
      </c>
      <c r="H353" s="38">
        <f>H339</f>
        <v>26102.89</v>
      </c>
      <c r="I353" s="38">
        <f>I339</f>
        <v>16698.599999999999</v>
      </c>
      <c r="J353" s="38">
        <f>J339</f>
        <v>13727.43</v>
      </c>
      <c r="K353" s="38">
        <f>K339+K352</f>
        <v>0</v>
      </c>
      <c r="L353" s="38">
        <f>L339+L352</f>
        <v>116457.45999999999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2500</v>
      </c>
      <c r="G359" s="18">
        <v>191.2</v>
      </c>
      <c r="H359" s="18">
        <f>105135.94</f>
        <v>105135.94</v>
      </c>
      <c r="I359" s="18">
        <v>19.399999999999999</v>
      </c>
      <c r="J359" s="18"/>
      <c r="K359" s="18"/>
      <c r="L359" s="13">
        <f>SUM(F359:K359)</f>
        <v>107846.54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2500</v>
      </c>
      <c r="G363" s="38">
        <f t="shared" si="22"/>
        <v>191.2</v>
      </c>
      <c r="H363" s="38">
        <f t="shared" si="22"/>
        <v>105135.94</v>
      </c>
      <c r="I363" s="38">
        <f t="shared" si="22"/>
        <v>19.399999999999999</v>
      </c>
      <c r="J363" s="38">
        <f t="shared" si="22"/>
        <v>0</v>
      </c>
      <c r="K363" s="38">
        <f t="shared" si="22"/>
        <v>0</v>
      </c>
      <c r="L363" s="38">
        <f t="shared" si="22"/>
        <v>107846.54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19.399999999999999</v>
      </c>
      <c r="G369" s="53"/>
      <c r="H369" s="53"/>
      <c r="I369" s="13">
        <f>SUM(F369:H369)</f>
        <v>19.399999999999999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19.399999999999999</v>
      </c>
      <c r="G370" s="38">
        <f>SUM(G368:G369)</f>
        <v>0</v>
      </c>
      <c r="H370" s="38">
        <f>SUM(H368:H369)</f>
        <v>0</v>
      </c>
      <c r="I370" s="38">
        <f>SUM(I368:I369)</f>
        <v>19.399999999999999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f>2995.64+681.32-247.11</f>
        <v>3429.85</v>
      </c>
      <c r="I390" s="18"/>
      <c r="J390" s="23" t="s">
        <v>288</v>
      </c>
      <c r="K390" s="23" t="s">
        <v>288</v>
      </c>
      <c r="L390" s="13">
        <f t="shared" si="25"/>
        <v>3429.85</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f>183.65+41.76-15.17+3586.06+815.6-295.79-1500+6168.62+1403.27-508.9-745.1</f>
        <v>9134</v>
      </c>
      <c r="I393" s="18"/>
      <c r="J393" s="23" t="s">
        <v>288</v>
      </c>
      <c r="K393" s="23" t="s">
        <v>288</v>
      </c>
      <c r="L393" s="13">
        <f t="shared" si="25"/>
        <v>9134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12563.85</v>
      </c>
      <c r="I394" s="54">
        <f>SUM(I388:I393)</f>
        <v>0</v>
      </c>
      <c r="J394" s="42" t="s">
        <v>288</v>
      </c>
      <c r="K394" s="42" t="s">
        <v>288</v>
      </c>
      <c r="L394" s="38">
        <f>SUM(L388:L393)</f>
        <v>12563.85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56.09+1605.74-416.57</f>
        <v>1245.26</v>
      </c>
      <c r="I397" s="18"/>
      <c r="J397" s="23" t="s">
        <v>288</v>
      </c>
      <c r="K397" s="23" t="s">
        <v>288</v>
      </c>
      <c r="L397" s="13">
        <f t="shared" si="26"/>
        <v>1245.26</v>
      </c>
      <c r="M397" s="8"/>
      <c r="N397" s="165"/>
    </row>
    <row r="398" spans="1:14" s="3" customFormat="1" ht="12.2" customHeight="1" x14ac:dyDescent="0.15">
      <c r="A398" s="62" t="s">
        <v>515</v>
      </c>
      <c r="B398" s="2" t="s">
        <v>381</v>
      </c>
      <c r="C398" s="6">
        <v>10</v>
      </c>
      <c r="D398" s="2" t="s">
        <v>432</v>
      </c>
      <c r="E398" s="6"/>
      <c r="F398" s="18"/>
      <c r="G398" s="18"/>
      <c r="H398" s="18">
        <f>129.76+3854.92-998.4</f>
        <v>2986.28</v>
      </c>
      <c r="I398" s="18"/>
      <c r="J398" s="23" t="s">
        <v>288</v>
      </c>
      <c r="K398" s="23" t="s">
        <v>288</v>
      </c>
      <c r="L398" s="13">
        <f t="shared" si="26"/>
        <v>2986.28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4231.54</v>
      </c>
      <c r="I402" s="38">
        <f>SUM(I396:I401)</f>
        <v>0</v>
      </c>
      <c r="J402" s="42" t="s">
        <v>288</v>
      </c>
      <c r="K402" s="42" t="s">
        <v>288</v>
      </c>
      <c r="L402" s="38">
        <f>SUM(L396:L401)</f>
        <v>4231.54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16795.39</v>
      </c>
      <c r="I409" s="38">
        <f>I394+I402+I408</f>
        <v>0</v>
      </c>
      <c r="J409" s="23" t="s">
        <v>288</v>
      </c>
      <c r="K409" s="23" t="s">
        <v>288</v>
      </c>
      <c r="L409" s="38">
        <f>L394+L402+L408</f>
        <v>16795.39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v>26839.1</v>
      </c>
      <c r="L424" s="13">
        <f t="shared" si="29"/>
        <v>26839.1</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26839.1</v>
      </c>
      <c r="L428" s="38">
        <f t="shared" si="30"/>
        <v>26839.1</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26839.1</v>
      </c>
      <c r="L435" s="38">
        <f t="shared" si="32"/>
        <v>26839.1</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288650.7</f>
        <v>288650.7</v>
      </c>
      <c r="G441" s="18">
        <f>138389.97</f>
        <v>138389.97</v>
      </c>
      <c r="H441" s="18"/>
      <c r="I441" s="13">
        <f t="shared" si="33"/>
        <v>427040.67000000004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19000.03</v>
      </c>
      <c r="G443" s="18"/>
      <c r="H443" s="18"/>
      <c r="I443" s="13">
        <f t="shared" si="33"/>
        <v>19000.03</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307650.73</v>
      </c>
      <c r="G447" s="13">
        <f>SUM(G440:G446)</f>
        <v>138389.97</v>
      </c>
      <c r="H447" s="13">
        <f>SUM(H440:H446)</f>
        <v>0</v>
      </c>
      <c r="I447" s="13">
        <f>SUM(I440:I446)</f>
        <v>446040.70000000007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F447-F453</f>
        <v>307650.73</v>
      </c>
      <c r="G460" s="18">
        <f>G447-G453</f>
        <v>138389.97</v>
      </c>
      <c r="H460" s="18"/>
      <c r="I460" s="13">
        <f t="shared" si="34"/>
        <v>446040.69999999995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307650.73</v>
      </c>
      <c r="G461" s="65">
        <f>SUM(G455:G460)</f>
        <v>138389.97</v>
      </c>
      <c r="H461" s="65">
        <f>SUM(H455:H460)</f>
        <v>0</v>
      </c>
      <c r="I461" s="65">
        <f>SUM(I455:I460)</f>
        <v>446040.69999999995</v>
      </c>
      <c r="J461" s="23" t="s">
        <v>288</v>
      </c>
      <c r="K461" s="23" t="s">
        <v>288</v>
      </c>
      <c r="L461" s="23" t="s">
        <v>288</v>
      </c>
      <c r="N461" s="131"/>
    </row>
    <row r="462" spans="1:86" ht="12.2" customHeight="1" thickTop="1" x14ac:dyDescent="0.2">
      <c r="A462" s="40" t="s">
        <v>424</v>
      </c>
      <c r="B462" s="41">
        <v>18</v>
      </c>
      <c r="C462" s="64">
        <v>21</v>
      </c>
      <c r="D462" s="114" t="s">
        <v>432</v>
      </c>
      <c r="E462" s="64"/>
      <c r="F462" s="39">
        <f>F453+F461</f>
        <v>307650.73</v>
      </c>
      <c r="G462" s="39">
        <f>G453+G461</f>
        <v>138389.97</v>
      </c>
      <c r="H462" s="39">
        <f>H453+H461</f>
        <v>0</v>
      </c>
      <c r="I462" s="39">
        <f>I453+I461</f>
        <v>446040.69999999995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15294.7</v>
      </c>
      <c r="G466" s="18">
        <v>58.2</v>
      </c>
      <c r="H466" s="18">
        <v>54958.53</v>
      </c>
      <c r="I466" s="18"/>
      <c r="J466" s="18">
        <f>456084.41</f>
        <v>456084.41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4145187.52</v>
      </c>
      <c r="G469" s="18">
        <f>G194</f>
        <v>111088.70999999999</v>
      </c>
      <c r="H469" s="18">
        <f>H194</f>
        <v>115546.98999999999</v>
      </c>
      <c r="I469" s="18"/>
      <c r="J469" s="18">
        <f>H409</f>
        <v>16795.39</v>
      </c>
      <c r="K469" s="23" t="s">
        <v>288</v>
      </c>
      <c r="L469" s="23" t="s">
        <v>288</v>
      </c>
      <c r="N469" s="131"/>
    </row>
    <row r="470" spans="1:14" ht="12.2" customHeight="1" x14ac:dyDescent="0.2">
      <c r="A470" s="71" t="s">
        <v>611</v>
      </c>
      <c r="B470" s="22">
        <v>19</v>
      </c>
      <c r="C470" s="31">
        <v>3</v>
      </c>
      <c r="D470" s="2" t="s">
        <v>432</v>
      </c>
      <c r="E470" s="31"/>
      <c r="F470" s="18"/>
      <c r="G470" s="18">
        <v>1236</v>
      </c>
      <c r="H470" s="18">
        <v>22478.28</v>
      </c>
      <c r="I470" s="18"/>
      <c r="J470" s="18"/>
      <c r="K470" s="23" t="s">
        <v>288</v>
      </c>
      <c r="L470" s="23" t="s">
        <v>288</v>
      </c>
      <c r="N470" s="131"/>
    </row>
    <row r="471" spans="1:14" ht="12.2" customHeight="1" x14ac:dyDescent="0.2">
      <c r="A471" s="32" t="s">
        <v>425</v>
      </c>
      <c r="B471" s="22">
        <v>19</v>
      </c>
      <c r="C471" s="31">
        <v>4</v>
      </c>
      <c r="D471" s="2" t="s">
        <v>432</v>
      </c>
      <c r="E471" s="31"/>
      <c r="F471" s="19">
        <f>SUM(F469:F470)</f>
        <v>4145187.52</v>
      </c>
      <c r="G471" s="19">
        <f>SUM(G469:G470)</f>
        <v>112324.70999999999</v>
      </c>
      <c r="H471" s="19">
        <f>SUM(H469:H470)</f>
        <v>138025.26999999999</v>
      </c>
      <c r="I471" s="19">
        <f>SUM(I469:I470)</f>
        <v>0</v>
      </c>
      <c r="J471" s="19">
        <f>SUM(J469:J470)</f>
        <v>16795.39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L258</f>
        <v>3883778.716</v>
      </c>
      <c r="G473" s="18">
        <f>L363</f>
        <v>107846.54</v>
      </c>
      <c r="H473" s="18">
        <f>L339</f>
        <v>116457.45999999999</v>
      </c>
      <c r="I473" s="18"/>
      <c r="J473" s="18">
        <f>K428</f>
        <v>26839.1</v>
      </c>
      <c r="K473" s="23" t="s">
        <v>288</v>
      </c>
      <c r="L473" s="23" t="s">
        <v>288</v>
      </c>
      <c r="N473" s="131"/>
    </row>
    <row r="474" spans="1:14" ht="12.2" customHeight="1" x14ac:dyDescent="0.2">
      <c r="A474" s="71" t="s">
        <v>613</v>
      </c>
      <c r="B474" s="22">
        <v>19</v>
      </c>
      <c r="C474" s="31">
        <v>6</v>
      </c>
      <c r="D474" s="2" t="s">
        <v>432</v>
      </c>
      <c r="E474" s="31"/>
      <c r="F474" s="18">
        <v>61754.8</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3945533.5159999998</v>
      </c>
      <c r="G475" s="19">
        <f>SUM(G473:G474)</f>
        <v>107846.54</v>
      </c>
      <c r="H475" s="19">
        <f>SUM(H473:H474)</f>
        <v>116457.45999999999</v>
      </c>
      <c r="I475" s="19">
        <f>SUM(I473:I474)</f>
        <v>0</v>
      </c>
      <c r="J475" s="19">
        <f>SUM(J473:J474)</f>
        <v>26839.1</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214948.70400000038</v>
      </c>
      <c r="G477" s="19">
        <f>(G466+G471)- G475</f>
        <v>4536.3699999999953</v>
      </c>
      <c r="H477" s="19">
        <f>(H466+H471)- H475</f>
        <v>76526.34</v>
      </c>
      <c r="I477" s="19">
        <f>(I466+I471)- I475</f>
        <v>0</v>
      </c>
      <c r="J477" s="19">
        <f>(J466+J471)- J475</f>
        <v>446040.7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202279.5</v>
      </c>
      <c r="G522" s="18">
        <f>G199+G278</f>
        <v>94758.07</v>
      </c>
      <c r="H522" s="18">
        <f t="shared" ref="H522:K522" si="36">H199+H278</f>
        <v>244343.98600000003</v>
      </c>
      <c r="I522" s="18">
        <f t="shared" si="36"/>
        <v>4420.5200000000004</v>
      </c>
      <c r="J522" s="18">
        <f t="shared" si="36"/>
        <v>3190.9399999999996</v>
      </c>
      <c r="K522" s="18">
        <f t="shared" si="36"/>
        <v>500</v>
      </c>
      <c r="L522" s="69">
        <f>SUM(F522:K522)</f>
        <v>549493.01600000006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H235</f>
        <v>9525</v>
      </c>
      <c r="I524" s="18"/>
      <c r="J524" s="18"/>
      <c r="K524" s="18"/>
      <c r="L524" s="69">
        <f>SUM(F524:K524)</f>
        <v>9525</v>
      </c>
      <c r="N524" s="131"/>
    </row>
    <row r="525" spans="1:14" ht="12.2" customHeight="1" thickTop="1" x14ac:dyDescent="0.2">
      <c r="A525" s="97" t="s">
        <v>63</v>
      </c>
      <c r="B525" s="41">
        <v>21</v>
      </c>
      <c r="C525" s="41">
        <v>4</v>
      </c>
      <c r="D525" s="115" t="s">
        <v>432</v>
      </c>
      <c r="E525" s="41"/>
      <c r="F525" s="81">
        <f>SUM(F522:F524)</f>
        <v>202279.5</v>
      </c>
      <c r="G525" s="81">
        <f t="shared" ref="G525:L525" si="37">SUM(G522:G524)</f>
        <v>94758.07</v>
      </c>
      <c r="H525" s="81">
        <f t="shared" si="37"/>
        <v>253868.98600000003</v>
      </c>
      <c r="I525" s="81">
        <f t="shared" si="37"/>
        <v>4420.5200000000004</v>
      </c>
      <c r="J525" s="81">
        <f t="shared" si="37"/>
        <v>3190.9399999999996</v>
      </c>
      <c r="K525" s="81">
        <f t="shared" si="37"/>
        <v>500</v>
      </c>
      <c r="L525" s="70">
        <f t="shared" si="37"/>
        <v>559018.01600000006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F203+282</f>
        <v>106569.75</v>
      </c>
      <c r="G527" s="18">
        <f>G203+282</f>
        <v>53412.69</v>
      </c>
      <c r="H527" s="18">
        <f>H203+282</f>
        <v>47870.31</v>
      </c>
      <c r="I527" s="18">
        <f>I283+282</f>
        <v>2171.27</v>
      </c>
      <c r="J527" s="18">
        <f>J203+J282</f>
        <v>17442.579999999998</v>
      </c>
      <c r="K527" s="18">
        <f>K203+K282</f>
        <v>150</v>
      </c>
      <c r="L527" s="69">
        <f>SUM(F527:K527)</f>
        <v>227616.59999999998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106569.75</v>
      </c>
      <c r="G530" s="70">
        <f t="shared" ref="G530:L530" si="38">SUM(G527:G529)</f>
        <v>53412.69</v>
      </c>
      <c r="H530" s="70">
        <f t="shared" si="38"/>
        <v>47870.31</v>
      </c>
      <c r="I530" s="70">
        <f t="shared" si="38"/>
        <v>2171.27</v>
      </c>
      <c r="J530" s="70">
        <f t="shared" si="38"/>
        <v>17442.579999999998</v>
      </c>
      <c r="K530" s="70">
        <f t="shared" si="38"/>
        <v>150</v>
      </c>
      <c r="L530" s="70">
        <f t="shared" si="38"/>
        <v>227616.59999999998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30114.69+940</f>
        <v>31054.69</v>
      </c>
      <c r="I542" s="18"/>
      <c r="J542" s="18"/>
      <c r="K542" s="18"/>
      <c r="L542" s="69">
        <f>SUM(F542:K542)</f>
        <v>31054.69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H245</f>
        <v>2800</v>
      </c>
      <c r="I544" s="18"/>
      <c r="J544" s="18"/>
      <c r="K544" s="18"/>
      <c r="L544" s="69">
        <f>SUM(F544:K544)</f>
        <v>2800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33854.69</v>
      </c>
      <c r="I545" s="141">
        <f t="shared" si="41"/>
        <v>0</v>
      </c>
      <c r="J545" s="141">
        <f t="shared" si="41"/>
        <v>0</v>
      </c>
      <c r="K545" s="141">
        <f t="shared" si="41"/>
        <v>0</v>
      </c>
      <c r="L545" s="141">
        <f t="shared" si="41"/>
        <v>33854.69</v>
      </c>
      <c r="M545" s="8"/>
      <c r="N545" s="165"/>
    </row>
    <row r="546" spans="1:14" s="3" customFormat="1" ht="12.2" customHeight="1" thickTop="1" x14ac:dyDescent="0.15">
      <c r="A546" s="75" t="s">
        <v>72</v>
      </c>
      <c r="B546" s="41">
        <v>21</v>
      </c>
      <c r="C546" s="41">
        <v>21</v>
      </c>
      <c r="D546" s="115" t="s">
        <v>432</v>
      </c>
      <c r="E546" s="41"/>
      <c r="F546" s="70">
        <f>F525+F530+F535+F540+F545</f>
        <v>308849.25</v>
      </c>
      <c r="G546" s="70">
        <f t="shared" ref="G546:L546" si="42">G525+G530+G535+G540+G545</f>
        <v>148170.76</v>
      </c>
      <c r="H546" s="70">
        <f t="shared" si="42"/>
        <v>335593.98600000003</v>
      </c>
      <c r="I546" s="70">
        <f t="shared" si="42"/>
        <v>6591.7900000000009</v>
      </c>
      <c r="J546" s="70">
        <f t="shared" si="42"/>
        <v>20633.519999999997</v>
      </c>
      <c r="K546" s="70">
        <f t="shared" si="42"/>
        <v>650</v>
      </c>
      <c r="L546" s="70">
        <f t="shared" si="42"/>
        <v>820489.3060000001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549493.01600000006</v>
      </c>
      <c r="G550" s="69">
        <f>L527</f>
        <v>227616.59999999998</v>
      </c>
      <c r="H550" s="69">
        <f>L532</f>
        <v>0</v>
      </c>
      <c r="I550" s="69">
        <f>L537</f>
        <v>0</v>
      </c>
      <c r="J550" s="69">
        <f>L542</f>
        <v>31054.69</v>
      </c>
      <c r="K550" s="69">
        <f>SUM(F550:J550)</f>
        <v>808164.30599999998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9525</v>
      </c>
      <c r="G552" s="69">
        <f>L529</f>
        <v>0</v>
      </c>
      <c r="H552" s="69">
        <f>L534</f>
        <v>0</v>
      </c>
      <c r="I552" s="69">
        <f>L539</f>
        <v>0</v>
      </c>
      <c r="J552" s="69">
        <f>L544</f>
        <v>2800</v>
      </c>
      <c r="K552" s="69">
        <f>SUM(F552:J552)</f>
        <v>12325</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559018.01600000006</v>
      </c>
      <c r="G553" s="70">
        <f t="shared" si="43"/>
        <v>227616.59999999998</v>
      </c>
      <c r="H553" s="70">
        <f t="shared" si="43"/>
        <v>0</v>
      </c>
      <c r="I553" s="70">
        <f t="shared" si="43"/>
        <v>0</v>
      </c>
      <c r="J553" s="70">
        <f t="shared" si="43"/>
        <v>33854.69</v>
      </c>
      <c r="K553" s="70">
        <f t="shared" si="43"/>
        <v>820489.30599999998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493076</f>
        <v>493076</v>
      </c>
      <c r="I576" s="69">
        <f>SUM(F576:H576)</f>
        <v>493076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f>216115.04</f>
        <v>216115.04</v>
      </c>
      <c r="I577" s="69">
        <f t="shared" ref="I577:I588" si="48">SUM(F577:H577)</f>
        <v>216115.04</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28347.64</f>
        <v>28347.64</v>
      </c>
      <c r="G580" s="18"/>
      <c r="H580" s="18"/>
      <c r="I580" s="69">
        <f t="shared" si="48"/>
        <v>28347.64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8"/>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123607+616.98</f>
        <v>124223.98</v>
      </c>
      <c r="I592" s="18"/>
      <c r="J592" s="18"/>
      <c r="K592" s="80">
        <f t="shared" ref="K592:K598" si="49">SUM(H592:J592)</f>
        <v>124223.98</v>
      </c>
      <c r="L592" s="23" t="s">
        <v>288</v>
      </c>
      <c r="M592" s="8"/>
      <c r="N592" s="165"/>
    </row>
    <row r="593" spans="1:14" s="3" customFormat="1" ht="12.2" customHeight="1" x14ac:dyDescent="0.15">
      <c r="A593" s="3" t="s">
        <v>638</v>
      </c>
      <c r="B593" s="22">
        <v>23</v>
      </c>
      <c r="C593" s="22">
        <v>2</v>
      </c>
      <c r="D593" s="2" t="s">
        <v>432</v>
      </c>
      <c r="E593" s="22"/>
      <c r="F593" s="78">
        <v>2722</v>
      </c>
      <c r="G593" s="79" t="s">
        <v>97</v>
      </c>
      <c r="H593" s="18">
        <f>H542</f>
        <v>31054.69</v>
      </c>
      <c r="I593" s="18"/>
      <c r="J593" s="18">
        <v>2800</v>
      </c>
      <c r="K593" s="80">
        <f t="shared" si="49"/>
        <v>33854.69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6611.88</v>
      </c>
      <c r="I598" s="18"/>
      <c r="J598" s="18"/>
      <c r="K598" s="80">
        <f t="shared" si="49"/>
        <v>6611.88</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161890.54999999999</v>
      </c>
      <c r="I599" s="81">
        <f>SUM(I592:I598)</f>
        <v>0</v>
      </c>
      <c r="J599" s="81">
        <f>SUM(J592:J598)</f>
        <v>2800</v>
      </c>
      <c r="K599" s="81">
        <f>SUM(K592:K598)</f>
        <v>164690.54999999999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t="s">
        <v>286</v>
      </c>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J212+J291</f>
        <v>36966.81</v>
      </c>
      <c r="I605" s="18"/>
      <c r="J605" s="18"/>
      <c r="K605" s="80">
        <f>SUM(H605:J605)</f>
        <v>36966.81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36966.81</v>
      </c>
      <c r="I606" s="81">
        <f>SUM(I603:I605)</f>
        <v>0</v>
      </c>
      <c r="J606" s="81">
        <f>SUM(J603:J605)</f>
        <v>0</v>
      </c>
      <c r="K606" s="81">
        <f>SUM(K603:K605)</f>
        <v>36966.81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326775.73000000004</v>
      </c>
      <c r="H618" s="80">
        <f>SUM(F52)</f>
        <v>326775.73000000004</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9358.85</v>
      </c>
      <c r="H619" s="80">
        <f>SUM(G52)</f>
        <v>9358.85</v>
      </c>
      <c r="I619" s="87" t="s">
        <v>876</v>
      </c>
      <c r="J619" s="80">
        <f>G619-H619</f>
        <v>0</v>
      </c>
      <c r="K619" s="80"/>
      <c r="L619" s="80"/>
      <c r="M619" s="8"/>
    </row>
    <row r="620" spans="1:14" s="3" customFormat="1" ht="12.2" customHeight="1" x14ac:dyDescent="0.15">
      <c r="A620" s="74"/>
      <c r="B620" s="22"/>
      <c r="C620" s="22"/>
      <c r="D620" s="22"/>
      <c r="E620" s="22"/>
      <c r="F620" s="87" t="s">
        <v>685</v>
      </c>
      <c r="G620" s="80">
        <f>SUM(H19)</f>
        <v>86354.360000000015</v>
      </c>
      <c r="H620" s="80">
        <f>SUM(H52)</f>
        <v>86354.360000000015</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446040.70000000007</v>
      </c>
      <c r="H622" s="80">
        <f>SUM(J52)</f>
        <v>446040.69999999995</v>
      </c>
      <c r="I622" s="87" t="s">
        <v>879</v>
      </c>
      <c r="J622" s="80">
        <f>G622-H622</f>
        <v>0</v>
      </c>
      <c r="K622" s="80"/>
      <c r="L622" s="80"/>
      <c r="M622" s="8"/>
    </row>
    <row r="623" spans="1:14" s="3" customFormat="1" ht="12.2" customHeight="1" x14ac:dyDescent="0.15">
      <c r="A623" s="74"/>
      <c r="B623" s="22"/>
      <c r="C623" s="22"/>
      <c r="D623" s="22"/>
      <c r="E623" s="22"/>
      <c r="F623" s="87" t="s">
        <v>865</v>
      </c>
      <c r="G623" s="80">
        <f>F51</f>
        <v>214948.7</v>
      </c>
      <c r="H623" s="80">
        <f>F477</f>
        <v>214948.70400000038</v>
      </c>
      <c r="I623" s="87" t="s">
        <v>101</v>
      </c>
      <c r="J623" s="80">
        <f t="shared" ref="J623:J656" si="51">G623-H623</f>
        <v>-4.000000364612788E-3</v>
      </c>
      <c r="K623" s="80"/>
      <c r="L623" s="80"/>
      <c r="M623" s="8"/>
    </row>
    <row r="624" spans="1:14" s="3" customFormat="1" ht="12.2" customHeight="1" x14ac:dyDescent="0.15">
      <c r="A624" s="74"/>
      <c r="B624" s="22"/>
      <c r="C624" s="85"/>
      <c r="D624" s="85"/>
      <c r="E624" s="85"/>
      <c r="F624" s="85" t="s">
        <v>866</v>
      </c>
      <c r="G624" s="80">
        <f>G51</f>
        <v>4536.3700000000008</v>
      </c>
      <c r="H624" s="80">
        <f>G477</f>
        <v>4536.3699999999953</v>
      </c>
      <c r="I624" s="87" t="s">
        <v>102</v>
      </c>
      <c r="J624" s="80">
        <f t="shared" si="51"/>
        <v>0</v>
      </c>
      <c r="K624" s="80"/>
      <c r="L624" s="80"/>
      <c r="M624" s="8"/>
    </row>
    <row r="625" spans="1:13" s="3" customFormat="1" ht="12.2" customHeight="1" x14ac:dyDescent="0.15">
      <c r="A625" s="74"/>
      <c r="B625" s="22"/>
      <c r="C625" s="22"/>
      <c r="D625" s="22"/>
      <c r="E625" s="22"/>
      <c r="F625" s="86" t="s">
        <v>867</v>
      </c>
      <c r="G625" s="80">
        <f>H51</f>
        <v>76526.340000000011</v>
      </c>
      <c r="H625" s="80">
        <f>H477</f>
        <v>76526.34</v>
      </c>
      <c r="I625" s="87" t="s">
        <v>103</v>
      </c>
      <c r="J625" s="80">
        <f t="shared" si="51"/>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869</v>
      </c>
      <c r="G627" s="80">
        <f>J51</f>
        <v>446040.69999999995</v>
      </c>
      <c r="H627" s="80">
        <f>J477</f>
        <v>446040.7</v>
      </c>
      <c r="I627" s="87" t="s">
        <v>105</v>
      </c>
      <c r="J627" s="80">
        <f t="shared" si="51"/>
        <v>0</v>
      </c>
      <c r="K627" s="67"/>
      <c r="L627" s="69"/>
      <c r="M627" s="8"/>
    </row>
    <row r="628" spans="1:13" s="3" customFormat="1" ht="12.2" customHeight="1" x14ac:dyDescent="0.15">
      <c r="A628" s="21"/>
      <c r="B628" s="22"/>
      <c r="C628" s="22"/>
      <c r="D628" s="22"/>
      <c r="E628" s="22"/>
      <c r="F628" s="86" t="s">
        <v>658</v>
      </c>
      <c r="G628" s="80">
        <f>F194</f>
        <v>4145187.52</v>
      </c>
      <c r="H628" s="80">
        <f>SUM(F469)</f>
        <v>4145187.52</v>
      </c>
      <c r="I628" s="87" t="s">
        <v>106</v>
      </c>
      <c r="J628" s="80">
        <f>G628-H628</f>
        <v>0</v>
      </c>
      <c r="K628" s="67"/>
      <c r="L628" s="69"/>
      <c r="M628" s="8"/>
    </row>
    <row r="629" spans="1:13" s="3" customFormat="1" ht="12.2" customHeight="1" x14ac:dyDescent="0.15">
      <c r="A629" s="21"/>
      <c r="B629" s="22"/>
      <c r="C629" s="22"/>
      <c r="D629" s="22"/>
      <c r="E629" s="22"/>
      <c r="F629" s="86" t="s">
        <v>659</v>
      </c>
      <c r="G629" s="80">
        <f>G194</f>
        <v>111088.70999999999</v>
      </c>
      <c r="H629" s="80">
        <f>SUM(G469)</f>
        <v>111088.70999999999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115546.98999999999</v>
      </c>
      <c r="H630" s="80">
        <f>SUM(H469)</f>
        <v>115546.98999999999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16795.39</v>
      </c>
      <c r="H632" s="80">
        <f>SUM(J469)</f>
        <v>16795.39</v>
      </c>
      <c r="I632" s="87" t="s">
        <v>110</v>
      </c>
      <c r="J632" s="80">
        <f>G632-H632</f>
        <v>0</v>
      </c>
      <c r="K632" s="67"/>
      <c r="L632" s="69"/>
      <c r="M632" s="8"/>
    </row>
    <row r="633" spans="1:13" s="3" customFormat="1" ht="12.2" customHeight="1" x14ac:dyDescent="0.15">
      <c r="A633" s="21"/>
      <c r="B633" s="22"/>
      <c r="C633" s="22"/>
      <c r="D633" s="22"/>
      <c r="E633" s="22"/>
      <c r="F633" s="86" t="s">
        <v>394</v>
      </c>
      <c r="G633" s="80">
        <f>SUM(L272)</f>
        <v>3883778.716</v>
      </c>
      <c r="H633" s="80">
        <f>SUM(F473)</f>
        <v>3883778.716</v>
      </c>
      <c r="I633" s="87" t="s">
        <v>111</v>
      </c>
      <c r="J633" s="80">
        <f t="shared" si="51"/>
        <v>0</v>
      </c>
      <c r="K633" s="67"/>
      <c r="L633" s="69"/>
      <c r="M633" s="8"/>
    </row>
    <row r="634" spans="1:13" s="3" customFormat="1" ht="12.2" customHeight="1" x14ac:dyDescent="0.15">
      <c r="A634" s="21"/>
      <c r="B634" s="22"/>
      <c r="C634" s="22"/>
      <c r="D634" s="22"/>
      <c r="E634" s="22"/>
      <c r="F634" s="86" t="s">
        <v>395</v>
      </c>
      <c r="G634" s="80">
        <f>SUM(L353)</f>
        <v>116457.45999999999</v>
      </c>
      <c r="H634" s="80">
        <f>SUM(H473)</f>
        <v>116457.45999999999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19.399999999999999</v>
      </c>
      <c r="H635" s="80">
        <f>I370</f>
        <v>19.399999999999999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107846.54</v>
      </c>
      <c r="H636" s="80">
        <f>SUM(G473)</f>
        <v>107846.54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16795.39</v>
      </c>
      <c r="H638" s="108">
        <f>SUM(J469)</f>
        <v>16795.39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26839.1</v>
      </c>
      <c r="H639" s="108">
        <f>SUM(J473)</f>
        <v>26839.1</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307650.73</v>
      </c>
      <c r="H640" s="80">
        <f>SUM(F462)</f>
        <v>307650.73</v>
      </c>
      <c r="I640" s="87" t="s">
        <v>841</v>
      </c>
      <c r="J640" s="80">
        <f t="shared" si="51"/>
        <v>0</v>
      </c>
      <c r="K640" s="67"/>
      <c r="L640" s="69"/>
      <c r="M640" s="8"/>
    </row>
    <row r="641" spans="1:13" s="3" customFormat="1" ht="12.2" customHeight="1" x14ac:dyDescent="0.15">
      <c r="A641" s="21"/>
      <c r="B641" s="22"/>
      <c r="C641" s="22"/>
      <c r="D641" s="22"/>
      <c r="E641" s="22"/>
      <c r="F641" s="86" t="s">
        <v>119</v>
      </c>
      <c r="G641" s="80">
        <f>SUM(G447)</f>
        <v>138389.97</v>
      </c>
      <c r="H641" s="80">
        <f>SUM(G462)</f>
        <v>138389.97</v>
      </c>
      <c r="I641" s="87" t="s">
        <v>842</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1"/>
        <v>0</v>
      </c>
      <c r="K642" s="67"/>
      <c r="L642" s="69"/>
      <c r="M642" s="8"/>
    </row>
    <row r="643" spans="1:13" s="3" customFormat="1" ht="12.2" customHeight="1" x14ac:dyDescent="0.15">
      <c r="A643" s="21"/>
      <c r="B643" s="22"/>
      <c r="C643" s="22"/>
      <c r="D643" s="22"/>
      <c r="E643" s="22"/>
      <c r="F643" s="86" t="s">
        <v>121</v>
      </c>
      <c r="G643" s="80">
        <f>SUM(I447)</f>
        <v>446040.70000000007</v>
      </c>
      <c r="H643" s="80">
        <f>SUM(I462)</f>
        <v>446040.69999999995</v>
      </c>
      <c r="I643" s="87" t="s">
        <v>844</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16795.39</v>
      </c>
      <c r="H645" s="80">
        <f>H409</f>
        <v>16795.39</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16795.39</v>
      </c>
      <c r="H647" s="80">
        <f>L409</f>
        <v>16795.39</v>
      </c>
      <c r="I647" s="87" t="s">
        <v>477</v>
      </c>
      <c r="J647" s="80">
        <f t="shared" si="51"/>
        <v>0</v>
      </c>
      <c r="K647" s="67"/>
      <c r="L647" s="69"/>
      <c r="M647" s="8"/>
    </row>
    <row r="648" spans="1:13" s="3" customFormat="1" ht="12.2" customHeight="1" x14ac:dyDescent="0.15">
      <c r="A648" s="21"/>
      <c r="B648" s="22"/>
      <c r="C648" s="22"/>
      <c r="D648" s="22"/>
      <c r="E648" s="22"/>
      <c r="F648" s="86" t="s">
        <v>51</v>
      </c>
      <c r="G648" s="80">
        <f>K599</f>
        <v>164690.54999999999</v>
      </c>
      <c r="H648" s="80">
        <f>L209+L227+L245</f>
        <v>164690.54999999999</v>
      </c>
      <c r="I648" s="87" t="s">
        <v>396</v>
      </c>
      <c r="J648" s="80">
        <f t="shared" si="51"/>
        <v>0</v>
      </c>
      <c r="K648" s="67"/>
      <c r="L648" s="69"/>
      <c r="M648" s="8"/>
    </row>
    <row r="649" spans="1:13" s="3" customFormat="1" ht="12.2" customHeight="1" x14ac:dyDescent="0.15">
      <c r="A649" s="21"/>
      <c r="B649" s="22"/>
      <c r="C649" s="22"/>
      <c r="D649" s="22"/>
      <c r="E649" s="22"/>
      <c r="F649" s="86" t="s">
        <v>52</v>
      </c>
      <c r="G649" s="80">
        <f>K606</f>
        <v>36966.81</v>
      </c>
      <c r="H649" s="80">
        <f>(J258+J339)-(J256+J337)</f>
        <v>36966.81</v>
      </c>
      <c r="I649" s="87" t="s">
        <v>699</v>
      </c>
      <c r="J649" s="80">
        <f t="shared" si="51"/>
        <v>0</v>
      </c>
      <c r="K649" s="67"/>
      <c r="L649" s="69"/>
      <c r="M649" s="8"/>
    </row>
    <row r="650" spans="1:13" s="3" customFormat="1" ht="12.2" customHeight="1" x14ac:dyDescent="0.15">
      <c r="A650" s="21"/>
      <c r="B650" s="22"/>
      <c r="C650" s="22"/>
      <c r="D650" s="22"/>
      <c r="E650" s="22"/>
      <c r="F650" s="86" t="s">
        <v>387</v>
      </c>
      <c r="G650" s="80">
        <f>L209</f>
        <v>161890.54999999999</v>
      </c>
      <c r="H650" s="80">
        <f>H599</f>
        <v>161890.54999999999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2800</v>
      </c>
      <c r="H652" s="80">
        <f>J599</f>
        <v>2800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-3.9999987930059433E-3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3386566.676</v>
      </c>
      <c r="G661" s="13">
        <f>(L230+L310+L360)</f>
        <v>0</v>
      </c>
      <c r="H661" s="13">
        <f>(L248+L329+L361)</f>
        <v>721516.04</v>
      </c>
      <c r="I661" s="13">
        <f>SUM(F661:H661)</f>
        <v>4108082.716</v>
      </c>
      <c r="J661" s="13"/>
      <c r="K661" s="13"/>
      <c r="L661" s="13"/>
      <c r="M661" s="9"/>
    </row>
    <row r="662" spans="1:13" s="3" customFormat="1" ht="12.2" customHeight="1" x14ac:dyDescent="0.2">
      <c r="A662" s="1" t="s">
        <v>127</v>
      </c>
      <c r="F662" s="13">
        <f>(L359/IF(SUM(L359:L361)=0,1,SUM(L359:L361))*(SUM(G97:G110)))</f>
        <v>54949.659999999996</v>
      </c>
      <c r="G662" s="13">
        <f>(L360/IF(SUM(L359:L361)=0,1,SUM(L359:L361))*(SUM(G97:G110)))</f>
        <v>0</v>
      </c>
      <c r="H662" s="13">
        <f>(L361/IF(SUM(L359:L361)=0,1,SUM(L359:L361))*(SUM(G97:G110)))</f>
        <v>0</v>
      </c>
      <c r="I662" s="13">
        <f>SUM(F662:H662)</f>
        <v>54949.659999999996</v>
      </c>
      <c r="J662"/>
      <c r="K662" s="13"/>
      <c r="L662" s="13"/>
      <c r="M662" s="8"/>
    </row>
    <row r="663" spans="1:13" s="3" customFormat="1" ht="12.2" customHeight="1" x14ac:dyDescent="0.2">
      <c r="A663" s="1" t="s">
        <v>128</v>
      </c>
      <c r="F663" s="13">
        <f>(L209+L288)-(J209+J288)</f>
        <v>161890.54999999999</v>
      </c>
      <c r="G663" s="13">
        <f>(L227+L307)-(J227+J307)</f>
        <v>0</v>
      </c>
      <c r="H663" s="13">
        <f>(L245+L326)-(J245+J326)</f>
        <v>2800</v>
      </c>
      <c r="I663" s="13">
        <f>SUM(F663:H663)</f>
        <v>164690.54999999999</v>
      </c>
      <c r="J663"/>
      <c r="K663" s="13"/>
      <c r="L663" s="13"/>
      <c r="M663" s="9"/>
    </row>
    <row r="664" spans="1:13" s="3" customFormat="1" ht="12.2" customHeight="1" x14ac:dyDescent="0.15">
      <c r="A664" s="142" t="s">
        <v>129</v>
      </c>
      <c r="B664" s="124"/>
      <c r="C664" s="124"/>
      <c r="D664" s="124"/>
      <c r="E664" s="124"/>
      <c r="F664" s="143">
        <f>SUM(F576:F588)+SUM(H603:H605)+SUM(L612)</f>
        <v>65314.45</v>
      </c>
      <c r="G664" s="143">
        <f>SUM(G576:G588)+SUM(I603:I605)+L613</f>
        <v>0</v>
      </c>
      <c r="H664" s="143">
        <f>SUM(H576:H588)+SUM(J603:J605)+L614</f>
        <v>709191.04</v>
      </c>
      <c r="I664" s="13">
        <f>SUM(F664:H664)</f>
        <v>774505.49</v>
      </c>
      <c r="J664" s="13"/>
      <c r="K664" s="13"/>
      <c r="L664" s="13"/>
      <c r="M664" s="9"/>
    </row>
    <row r="665" spans="1:13" s="3" customFormat="1" ht="12.2" customHeight="1" x14ac:dyDescent="0.15">
      <c r="A665" s="1" t="s">
        <v>130</v>
      </c>
      <c r="F665" s="13">
        <f>F661-SUM(F662:F664)</f>
        <v>3104412.0159999998</v>
      </c>
      <c r="G665" s="13">
        <f>G661-SUM(G662:G664)</f>
        <v>0</v>
      </c>
      <c r="H665" s="13">
        <f>H661-SUM(H662:H664)</f>
        <v>9525</v>
      </c>
      <c r="I665" s="13">
        <f>I661-SUM(I662:I664)</f>
        <v>3113937.0159999998</v>
      </c>
      <c r="J665" s="13"/>
      <c r="K665" s="13"/>
      <c r="L665" s="13"/>
      <c r="M665" s="8"/>
    </row>
    <row r="666" spans="1:13" s="3" customFormat="1" ht="12.2" customHeight="1" x14ac:dyDescent="0.2">
      <c r="A666" s="1" t="s">
        <v>131</v>
      </c>
      <c r="F666" s="183">
        <v>116.58</v>
      </c>
      <c r="G666" s="184"/>
      <c r="H666" s="184"/>
      <c r="I666" s="13">
        <f>SUM(F666:H666)</f>
        <v>116.58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26629.03</v>
      </c>
      <c r="G668" s="13" t="e">
        <f>ROUND(G665/G666,2)</f>
        <v>#DIV/0!</v>
      </c>
      <c r="H668" s="13" t="e">
        <f>ROUND(H665/H666,2)</f>
        <v>#DIV/0!</v>
      </c>
      <c r="I668" s="13">
        <f>ROUND(I665/I666,2)</f>
        <v>26710.73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-9525</v>
      </c>
      <c r="I670" s="13">
        <f>SUM(F670:H670)</f>
        <v>-9525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26629.03</v>
      </c>
      <c r="G673" s="13" t="e">
        <f>ROUND((G665+G670)/(G666+G671),2)</f>
        <v>#DIV/0!</v>
      </c>
      <c r="H673" s="13" t="e">
        <f>ROUND((H665+H670)/(H666+H671),2)</f>
        <v>#DIV/0!</v>
      </c>
      <c r="I673" s="13">
        <f>ROUND((I665+I670)/(I666+I671),2)</f>
        <v>26629.03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48128.76</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f>11880.39+31397.77+969.71</f>
        <v>44247.87</v>
      </c>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v>1983.17</v>
      </c>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v>1897.72</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Cornish</v>
      </c>
      <c r="C5" s="302"/>
      <c r="D5" s="302"/>
      <c r="E5" s="302"/>
      <c r="F5" s="302"/>
    </row>
    <row r="8" spans="1:9" ht="18" x14ac:dyDescent="0.25">
      <c r="A8" s="240" t="s">
        <v>1568</v>
      </c>
      <c r="F8" s="247" t="s">
        <v>1586</v>
      </c>
    </row>
    <row r="9" spans="1:9" ht="15" x14ac:dyDescent="0.2">
      <c r="A9" s="238" t="s">
        <v>1569</v>
      </c>
      <c r="B9" s="241">
        <f>'DOE25'!G97</f>
        <v>54949.659999999996</v>
      </c>
      <c r="F9" s="238" t="s">
        <v>1582</v>
      </c>
    </row>
    <row r="10" spans="1:9" ht="15" x14ac:dyDescent="0.2">
      <c r="A10" s="238" t="s">
        <v>1570</v>
      </c>
      <c r="B10" s="241">
        <f>'DOE25'!G112-'DOE25'!G97</f>
        <v>0</v>
      </c>
      <c r="F10" s="238" t="s">
        <v>1583</v>
      </c>
    </row>
    <row r="11" spans="1:9" ht="15" x14ac:dyDescent="0.2">
      <c r="A11" s="238" t="s">
        <v>1571</v>
      </c>
      <c r="B11" s="241">
        <f>'DOE25'!G140</f>
        <v>651.09</v>
      </c>
      <c r="F11" s="238" t="s">
        <v>1584</v>
      </c>
    </row>
    <row r="12" spans="1:9" ht="15" x14ac:dyDescent="0.2">
      <c r="A12" s="238" t="s">
        <v>1572</v>
      </c>
      <c r="B12" s="241">
        <f>'DOE25'!G170</f>
        <v>55487.96</v>
      </c>
      <c r="F12" s="238" t="s">
        <v>1585</v>
      </c>
    </row>
    <row r="13" spans="1:9" ht="15" x14ac:dyDescent="0.2">
      <c r="A13" s="238" t="s">
        <v>1573</v>
      </c>
      <c r="B13" s="241">
        <f>'DOE25'!G193-'DOE25'!G180</f>
        <v>0</v>
      </c>
      <c r="F13" s="238" t="s">
        <v>1595</v>
      </c>
    </row>
    <row r="14" spans="1:9" ht="18" x14ac:dyDescent="0.25">
      <c r="A14" s="240" t="s">
        <v>732</v>
      </c>
      <c r="B14" s="242">
        <f>SUM(B9:B13)</f>
        <v>111088.70999999999</v>
      </c>
    </row>
    <row r="16" spans="1:9" ht="18" x14ac:dyDescent="0.25">
      <c r="A16" s="240" t="s">
        <v>786</v>
      </c>
      <c r="F16" s="247" t="s">
        <v>1587</v>
      </c>
    </row>
    <row r="17" spans="1:6" ht="15" x14ac:dyDescent="0.2">
      <c r="A17" s="238" t="s">
        <v>1574</v>
      </c>
      <c r="B17" s="241">
        <f>'DOE25'!L363-'DOE25'!L362</f>
        <v>107846.54</v>
      </c>
      <c r="F17" s="238" t="s">
        <v>1588</v>
      </c>
    </row>
    <row r="18" spans="1:6" ht="15" x14ac:dyDescent="0.2">
      <c r="A18" s="238" t="s">
        <v>1575</v>
      </c>
      <c r="B18" s="251"/>
      <c r="F18" s="247" t="s">
        <v>1612</v>
      </c>
    </row>
    <row r="19" spans="1:6" ht="18" x14ac:dyDescent="0.25">
      <c r="A19" s="240" t="s">
        <v>725</v>
      </c>
      <c r="B19" s="242">
        <f>SUM(B17:B18)</f>
        <v>107846.54</v>
      </c>
    </row>
    <row r="21" spans="1:6" ht="18.75" thickBot="1" x14ac:dyDescent="0.3">
      <c r="A21" s="240" t="s">
        <v>1576</v>
      </c>
    </row>
    <row r="22" spans="1:6" ht="18.75" thickTop="1" x14ac:dyDescent="0.25">
      <c r="A22" s="240" t="s">
        <v>1577</v>
      </c>
      <c r="B22" s="246">
        <f>B14-B19</f>
        <v>3242.1699999999983</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58.2</v>
      </c>
      <c r="F31" s="238" t="s">
        <v>1592</v>
      </c>
    </row>
    <row r="33" spans="1:6" ht="15" x14ac:dyDescent="0.2">
      <c r="A33" s="238" t="s">
        <v>1635</v>
      </c>
      <c r="B33" s="241">
        <f>'DOE25'!G477</f>
        <v>4536.3699999999953</v>
      </c>
      <c r="F33" s="238" t="s">
        <v>1593</v>
      </c>
    </row>
    <row r="36" spans="1:6" ht="15" x14ac:dyDescent="0.2">
      <c r="A36" s="238" t="s">
        <v>1579</v>
      </c>
      <c r="B36" s="252">
        <v>4577.26</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Cornish</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835984.63</v>
      </c>
      <c r="C9" s="167">
        <f>'DOE25'!G198+'DOE25'!G216+'DOE25'!G234+'DOE25'!G277+'DOE25'!G296+'DOE25'!G315</f>
        <v>443906.15</v>
      </c>
    </row>
    <row r="10" spans="1:3" x14ac:dyDescent="0.2">
      <c r="A10" t="s">
        <v>775</v>
      </c>
      <c r="B10" s="177">
        <f>660938.74+1897.72</f>
        <v>662836.46</v>
      </c>
      <c r="C10" s="177">
        <v>351964.8</v>
      </c>
    </row>
    <row r="11" spans="1:3" x14ac:dyDescent="0.2">
      <c r="A11" t="s">
        <v>776</v>
      </c>
      <c r="B11" s="177">
        <f>74509.26+11726</f>
        <v>86235.26</v>
      </c>
      <c r="C11" s="177">
        <v>45790.75</v>
      </c>
    </row>
    <row r="12" spans="1:3" x14ac:dyDescent="0.2">
      <c r="A12" t="s">
        <v>777</v>
      </c>
      <c r="B12" s="177">
        <f>1000+85912.91</f>
        <v>86912.91</v>
      </c>
      <c r="C12" s="177">
        <f>+C9-C10-C11</f>
        <v>46150.600000000035</v>
      </c>
    </row>
    <row r="13" spans="1:3" x14ac:dyDescent="0.2">
      <c r="A13" t="str">
        <f>IF(B9=B13,IF(C9=C13,"Check Total OK","Check Total Error"),"Check Total Error")</f>
        <v>Check Total OK</v>
      </c>
      <c r="B13" s="169">
        <f>SUM(B10:B12)</f>
        <v>835984.63</v>
      </c>
      <c r="C13" s="169">
        <f>SUM(C10:C12)</f>
        <v>443906.15</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202279.5</v>
      </c>
      <c r="C18" s="167">
        <f>'DOE25'!G199+'DOE25'!G217+'DOE25'!G235+'DOE25'!G278+'DOE25'!G297+'DOE25'!G316</f>
        <v>94758.07</v>
      </c>
    </row>
    <row r="19" spans="1:3" x14ac:dyDescent="0.2">
      <c r="A19" t="s">
        <v>775</v>
      </c>
      <c r="B19" s="177">
        <f>32100.02+32099.98</f>
        <v>64200</v>
      </c>
      <c r="C19" s="177">
        <v>30074.57</v>
      </c>
    </row>
    <row r="20" spans="1:3" x14ac:dyDescent="0.2">
      <c r="A20" t="s">
        <v>776</v>
      </c>
      <c r="B20" s="177">
        <v>135938.63</v>
      </c>
      <c r="C20" s="177">
        <v>63680.61</v>
      </c>
    </row>
    <row r="21" spans="1:3" x14ac:dyDescent="0.2">
      <c r="A21" t="s">
        <v>777</v>
      </c>
      <c r="B21" s="177">
        <v>2140.87</v>
      </c>
      <c r="C21" s="177">
        <f>+C18-C19-C20</f>
        <v>1002.8900000000067</v>
      </c>
    </row>
    <row r="22" spans="1:3" x14ac:dyDescent="0.2">
      <c r="A22" t="str">
        <f>IF(B18=B22,IF(C18=C22,"Check Total OK","Check Total Error"),"Check Total Error")</f>
        <v>Check Total OK</v>
      </c>
      <c r="B22" s="169">
        <f>SUM(B19:B21)</f>
        <v>202279.5</v>
      </c>
      <c r="C22" s="169">
        <f>SUM(C19:C21)</f>
        <v>94758.07</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1000</v>
      </c>
      <c r="C36" s="173">
        <f>'DOE25'!G201+'DOE25'!G219+'DOE25'!G237+'DOE25'!G280+'DOE25'!G299+'DOE25'!G318</f>
        <v>282.42</v>
      </c>
    </row>
    <row r="37" spans="1:3" x14ac:dyDescent="0.2">
      <c r="A37" t="s">
        <v>775</v>
      </c>
      <c r="B37" s="177"/>
      <c r="C37" s="177"/>
    </row>
    <row r="38" spans="1:3" x14ac:dyDescent="0.2">
      <c r="A38" t="s">
        <v>776</v>
      </c>
      <c r="B38" s="177"/>
      <c r="C38" s="177"/>
    </row>
    <row r="39" spans="1:3" x14ac:dyDescent="0.2">
      <c r="A39" t="s">
        <v>777</v>
      </c>
      <c r="B39" s="177">
        <v>1000</v>
      </c>
      <c r="C39" s="177">
        <v>282.42</v>
      </c>
    </row>
    <row r="40" spans="1:3" x14ac:dyDescent="0.2">
      <c r="A40" t="str">
        <f>IF(B36=B40,IF(C36=C40,"Check Total OK","Check Total Error"),"Check Total Error")</f>
        <v>Check Total OK</v>
      </c>
      <c r="B40" s="169">
        <f>SUM(B37:B39)</f>
        <v>1000</v>
      </c>
      <c r="C40" s="169">
        <f>SUM(C37:C39)</f>
        <v>282.42</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Cornish</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2540086.6359999999</v>
      </c>
      <c r="D5" s="19">
        <f>SUM('DOE25'!L198:L201)+SUM('DOE25'!L216:L219)+SUM('DOE25'!L234:L237)-F5-G5-H5</f>
        <v>2535091.9359999998</v>
      </c>
      <c r="E5" s="180"/>
      <c r="F5" s="181"/>
      <c r="G5" s="19">
        <f>SUM('DOE25'!J198:J201)+SUM('DOE25'!J216:J219)+SUM('DOE25'!J234:J237)</f>
        <v>3996.7</v>
      </c>
      <c r="H5" s="19">
        <f>SUM('DOE25'!K198:K201)+SUM('DOE25'!K216:K219)+SUM('DOE25'!K234:K237)</f>
        <v>998</v>
      </c>
      <c r="I5" s="192"/>
    </row>
    <row r="6" spans="1:9" x14ac:dyDescent="0.2">
      <c r="A6" s="31">
        <v>2100</v>
      </c>
      <c r="B6" t="s">
        <v>796</v>
      </c>
      <c r="C6" s="206">
        <f t="shared" si="0"/>
        <v>237715.65</v>
      </c>
      <c r="D6" s="19">
        <f>'DOE25'!L203+'DOE25'!L221+'DOE25'!L239-F6-G6-H6</f>
        <v>220641.94</v>
      </c>
      <c r="E6" s="180"/>
      <c r="F6" s="181"/>
      <c r="G6" s="19">
        <f>'DOE25'!J203+'DOE25'!J221+'DOE25'!J239</f>
        <v>16923.71</v>
      </c>
      <c r="H6" s="19">
        <f>'DOE25'!K203+'DOE25'!K221+'DOE25'!K239</f>
        <v>150</v>
      </c>
      <c r="I6" s="192"/>
    </row>
    <row r="7" spans="1:9" x14ac:dyDescent="0.2">
      <c r="A7" s="31">
        <v>2200</v>
      </c>
      <c r="B7" t="s">
        <v>821</v>
      </c>
      <c r="C7" s="206">
        <f t="shared" si="0"/>
        <v>104749.58</v>
      </c>
      <c r="D7" s="19">
        <f>'DOE25'!L204+'DOE25'!L222+'DOE25'!L240-F7-G7-H7</f>
        <v>100573.56</v>
      </c>
      <c r="E7" s="180"/>
      <c r="F7" s="181"/>
      <c r="G7" s="19">
        <f>'DOE25'!J204+'DOE25'!J222+'DOE25'!J240</f>
        <v>0</v>
      </c>
      <c r="H7" s="19">
        <f>'DOE25'!K204+'DOE25'!K222+'DOE25'!K240</f>
        <v>4176.0200000000004</v>
      </c>
      <c r="I7" s="192"/>
    </row>
    <row r="8" spans="1:9" x14ac:dyDescent="0.2">
      <c r="A8" s="31">
        <v>2300</v>
      </c>
      <c r="B8" t="s">
        <v>797</v>
      </c>
      <c r="C8" s="206">
        <f t="shared" si="0"/>
        <v>6259.2100000000673</v>
      </c>
      <c r="D8" s="180"/>
      <c r="E8" s="19">
        <f>'DOE25'!L205+'DOE25'!L223+'DOE25'!L241-F8-G8-H8-D9-D11</f>
        <v>4704.5100000000675</v>
      </c>
      <c r="F8" s="181"/>
      <c r="G8" s="19">
        <f>'DOE25'!J205+'DOE25'!J223+'DOE25'!J241</f>
        <v>0</v>
      </c>
      <c r="H8" s="19">
        <f>'DOE25'!K205+'DOE25'!K223+'DOE25'!K241</f>
        <v>1554.7</v>
      </c>
      <c r="I8" s="192"/>
    </row>
    <row r="9" spans="1:9" ht="14.25" x14ac:dyDescent="0.2">
      <c r="A9" s="31">
        <v>2310</v>
      </c>
      <c r="B9" s="71" t="s">
        <v>888</v>
      </c>
      <c r="C9" s="206">
        <f t="shared" si="0"/>
        <v>25237.920000000002</v>
      </c>
      <c r="D9" s="181">
        <f>2826+133.25+1589.25+8525+7500+488.4+3161.06+1014.96</f>
        <v>25237.920000000002</v>
      </c>
      <c r="E9" s="180"/>
      <c r="F9" s="180"/>
      <c r="G9" s="180"/>
      <c r="H9" s="180"/>
      <c r="I9" s="192"/>
    </row>
    <row r="10" spans="1:9" ht="14.25" x14ac:dyDescent="0.2">
      <c r="A10" s="31">
        <v>2317</v>
      </c>
      <c r="B10" s="71" t="s">
        <v>889</v>
      </c>
      <c r="C10" s="206">
        <f t="shared" si="0"/>
        <v>8525</v>
      </c>
      <c r="D10" s="180"/>
      <c r="E10" s="181">
        <v>8525</v>
      </c>
      <c r="F10" s="180"/>
      <c r="G10" s="180"/>
      <c r="H10" s="180"/>
      <c r="I10" s="192"/>
    </row>
    <row r="11" spans="1:9" ht="14.25" x14ac:dyDescent="0.2">
      <c r="A11" s="31">
        <v>2321</v>
      </c>
      <c r="B11" s="71" t="s">
        <v>890</v>
      </c>
      <c r="C11" s="206">
        <f t="shared" si="0"/>
        <v>264978.15999999997</v>
      </c>
      <c r="D11" s="181">
        <v>264978.15999999997</v>
      </c>
      <c r="E11" s="180"/>
      <c r="F11" s="180"/>
      <c r="G11" s="180"/>
      <c r="H11" s="180"/>
      <c r="I11" s="192"/>
    </row>
    <row r="12" spans="1:9" x14ac:dyDescent="0.2">
      <c r="A12" s="31">
        <v>2400</v>
      </c>
      <c r="B12" t="s">
        <v>711</v>
      </c>
      <c r="C12" s="206">
        <f t="shared" si="0"/>
        <v>275422.99000000005</v>
      </c>
      <c r="D12" s="19">
        <f>'DOE25'!L206+'DOE25'!L224+'DOE25'!L242-F12-G12-H12</f>
        <v>271812.16000000003</v>
      </c>
      <c r="E12" s="180"/>
      <c r="F12" s="181"/>
      <c r="G12" s="19">
        <f>'DOE25'!J206+'DOE25'!J224+'DOE25'!J242</f>
        <v>0</v>
      </c>
      <c r="H12" s="19">
        <f>'DOE25'!K206+'DOE25'!K224+'DOE25'!K242</f>
        <v>3610.83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264638.01999999996</v>
      </c>
      <c r="D14" s="19">
        <f>'DOE25'!L208+'DOE25'!L226+'DOE25'!L244-F14-G14-H14</f>
        <v>262319.05</v>
      </c>
      <c r="E14" s="180"/>
      <c r="F14" s="181"/>
      <c r="G14" s="19">
        <f>'DOE25'!J208+'DOE25'!J226+'DOE25'!J244</f>
        <v>2318.9699999999998</v>
      </c>
      <c r="H14" s="19">
        <f>'DOE25'!K208+'DOE25'!K226+'DOE25'!K244</f>
        <v>0</v>
      </c>
      <c r="I14" s="192"/>
    </row>
    <row r="15" spans="1:9" x14ac:dyDescent="0.2">
      <c r="A15" s="31">
        <v>2700</v>
      </c>
      <c r="B15" t="s">
        <v>799</v>
      </c>
      <c r="C15" s="206">
        <f t="shared" si="0"/>
        <v>164690.54999999999</v>
      </c>
      <c r="D15" s="19">
        <f>'DOE25'!L209+'DOE25'!L227+'DOE25'!L245-F15-G15-H15</f>
        <v>164690.54999999999</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107846.54</v>
      </c>
      <c r="D29" s="212">
        <f>'DOE25'!L359+'DOE25'!L360+'DOE25'!L361-'DOE25'!I368-F29-G29-H29</f>
        <v>107846.54</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116457.45999999999</v>
      </c>
      <c r="D31" s="19">
        <f>'DOE25'!L291+'DOE25'!L310+'DOE25'!L329+'DOE25'!L334+'DOE25'!L335+'DOE25'!L336-F31-G31-H31</f>
        <v>102730.03</v>
      </c>
      <c r="E31" s="180"/>
      <c r="F31" s="181"/>
      <c r="G31" s="19">
        <f>'DOE25'!J291+'DOE25'!J310+'DOE25'!J329+'DOE25'!J334+'DOE25'!J335+'DOE25'!J336</f>
        <v>13727.43</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4055921.8459999994</v>
      </c>
      <c r="E33" s="182">
        <f t="shared" si="1"/>
        <v>13229.510000000068</v>
      </c>
      <c r="F33" s="182">
        <f t="shared" si="1"/>
        <v>0</v>
      </c>
      <c r="G33" s="182">
        <f t="shared" si="1"/>
        <v>36966.81</v>
      </c>
      <c r="H33" s="182">
        <f t="shared" si="1"/>
        <v>10489.55</v>
      </c>
      <c r="I33" s="182">
        <f t="shared" si="1"/>
        <v>0</v>
      </c>
    </row>
    <row r="35" spans="1:9" ht="12" thickBot="1" x14ac:dyDescent="0.25">
      <c r="B35" s="188" t="s">
        <v>831</v>
      </c>
      <c r="D35" s="189">
        <f>E33</f>
        <v>13229.510000000068</v>
      </c>
      <c r="E35" s="185"/>
      <c r="F35" s="255" t="s">
        <v>1617</v>
      </c>
      <c r="G35" s="256"/>
      <c r="H35" s="256"/>
      <c r="I35" s="256"/>
    </row>
    <row r="36" spans="1:9" ht="12" thickTop="1" x14ac:dyDescent="0.2">
      <c r="B36" t="s">
        <v>810</v>
      </c>
      <c r="D36" s="19">
        <f>D33</f>
        <v>4055921.8459999994</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J10" sqref="J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Cornish</v>
      </c>
      <c r="B2">
        <f>'DOE25'!B2</f>
        <v>115</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3278720.1359999999</v>
      </c>
      <c r="G4" s="229">
        <f>'DOE25'!L212+'DOE25'!L291</f>
        <v>3278720.1359999999</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Cornish Elementary School</v>
      </c>
      <c r="B6" s="230">
        <f>IFERROR(VLOOKUP(A6,'School Tables'!$C$3:$D$365,2,FALSE),"")</f>
        <v>20175</v>
      </c>
      <c r="C6" s="223" t="str">
        <f>IFERROR(INDEX('School Tables'!$B$3:$B$365,MATCH('School Level Expenditures'!B6,'School Tables'!$D$3:$D$365,0)),"")</f>
        <v>Cornish</v>
      </c>
      <c r="D6" s="220">
        <f>+'DOE25'!L212+'DOE25'!L291-'DOE25'!H163</f>
        <v>3165883.2459999998</v>
      </c>
      <c r="E6" s="220">
        <f>'DOE25'!H163</f>
        <v>112836.88999999998</v>
      </c>
      <c r="F6" s="232">
        <f t="shared" ref="F6:F20" si="0">D6+E6</f>
        <v>3278720.1359999999</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3165883.2459999998</v>
      </c>
      <c r="E21" s="265">
        <f>SUM(E5:E20)</f>
        <v>112836.88999999998</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721516.04</v>
      </c>
      <c r="G36" s="229">
        <f>'DOE25'!L248+'DOE25'!L329</f>
        <v>721516.04</v>
      </c>
      <c r="H36" s="267">
        <f>F36-G36</f>
        <v>0</v>
      </c>
      <c r="I36" s="310" t="str">
        <f>IF(H36=0,"","ISSUES!! Please review page 9 and 13 totals in comparison with total on this page")</f>
        <v/>
      </c>
      <c r="N36"/>
    </row>
    <row r="37" spans="1:14" x14ac:dyDescent="0.2">
      <c r="A37" t="s">
        <v>1548</v>
      </c>
      <c r="B37" s="230">
        <v>99999</v>
      </c>
      <c r="C37" s="223" t="s">
        <v>1548</v>
      </c>
      <c r="D37" s="220">
        <f>+'DOE25'!L248</f>
        <v>721516.04</v>
      </c>
      <c r="E37" s="220"/>
      <c r="F37" s="232">
        <f t="shared" ref="F37:F42" si="2">D37+E37</f>
        <v>721516.04</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721516.04</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43" sqref="C4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Cornish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324429.50000000006</v>
      </c>
      <c r="D8" s="73">
        <f>'DOE25'!G9</f>
        <v>0</v>
      </c>
      <c r="E8" s="73">
        <f>'DOE25'!H9</f>
        <v>0</v>
      </c>
      <c r="F8" s="73">
        <f>'DOE25'!I9</f>
        <v>0</v>
      </c>
      <c r="G8" s="73">
        <f>'DOE25'!J9</f>
        <v>0</v>
      </c>
      <c r="H8" s="90"/>
      <c r="I8" s="90"/>
    </row>
    <row r="9" spans="1:9" x14ac:dyDescent="0.2">
      <c r="A9" s="1" t="s">
        <v>140</v>
      </c>
      <c r="B9" s="6">
        <v>110</v>
      </c>
      <c r="C9" s="73">
        <f>'DOE25'!F10</f>
        <v>0</v>
      </c>
      <c r="D9" s="73">
        <f>'DOE25'!G10</f>
        <v>0</v>
      </c>
      <c r="E9" s="73">
        <f>'DOE25'!H10</f>
        <v>0</v>
      </c>
      <c r="F9" s="73">
        <f>'DOE25'!I10</f>
        <v>0</v>
      </c>
      <c r="G9" s="73">
        <f>'DOE25'!J10</f>
        <v>427040.67000000004</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0</v>
      </c>
      <c r="D11" s="73">
        <f>'DOE25'!G12</f>
        <v>0</v>
      </c>
      <c r="E11" s="73">
        <f>'DOE25'!H12</f>
        <v>53585.590000000004</v>
      </c>
      <c r="F11" s="73">
        <f>'DOE25'!I12</f>
        <v>0</v>
      </c>
      <c r="G11" s="73">
        <f>'DOE25'!J12</f>
        <v>0</v>
      </c>
      <c r="H11" s="90"/>
      <c r="I11" s="90"/>
    </row>
    <row r="12" spans="1:9" x14ac:dyDescent="0.2">
      <c r="A12" s="1" t="s">
        <v>143</v>
      </c>
      <c r="B12" s="6">
        <v>140</v>
      </c>
      <c r="C12" s="73">
        <f>'DOE25'!F13</f>
        <v>0</v>
      </c>
      <c r="D12" s="73">
        <f>'DOE25'!G13</f>
        <v>0</v>
      </c>
      <c r="E12" s="73">
        <f>'DOE25'!H13</f>
        <v>0</v>
      </c>
      <c r="F12" s="73">
        <f>'DOE25'!I13</f>
        <v>0</v>
      </c>
      <c r="G12" s="73">
        <f>'DOE25'!J13</f>
        <v>19000.03</v>
      </c>
      <c r="H12" s="90"/>
      <c r="I12" s="90"/>
    </row>
    <row r="13" spans="1:9" x14ac:dyDescent="0.2">
      <c r="A13" s="1" t="s">
        <v>144</v>
      </c>
      <c r="B13" s="6">
        <v>150</v>
      </c>
      <c r="C13" s="73">
        <f>'DOE25'!F14</f>
        <v>2346.23</v>
      </c>
      <c r="D13" s="73">
        <f>'DOE25'!G14</f>
        <v>9358.85</v>
      </c>
      <c r="E13" s="73">
        <f>'DOE25'!H14</f>
        <v>32768.770000000004</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326775.73000000004</v>
      </c>
      <c r="D18" s="38">
        <f>SUM(D8:D17)</f>
        <v>9358.85</v>
      </c>
      <c r="E18" s="38">
        <f>SUM(E8:E17)</f>
        <v>86354.360000000015</v>
      </c>
      <c r="F18" s="38">
        <f>SUM(F8:F17)</f>
        <v>0</v>
      </c>
      <c r="G18" s="38">
        <f>SUM(G8:G17)</f>
        <v>446040.70000000007</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48763.11</v>
      </c>
      <c r="D21" s="73">
        <f>'DOE25'!G22</f>
        <v>4822.4799999999996</v>
      </c>
      <c r="E21" s="73">
        <f>'DOE25'!H22</f>
        <v>0</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53348.62</v>
      </c>
      <c r="D23" s="73">
        <f>'DOE25'!G24</f>
        <v>0</v>
      </c>
      <c r="E23" s="73">
        <f>'DOE25'!H24</f>
        <v>9745.67</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9715.2999999999993</v>
      </c>
      <c r="D28" s="73">
        <f>'DOE25'!G29</f>
        <v>0</v>
      </c>
      <c r="E28" s="73">
        <f>'DOE25'!H29</f>
        <v>82.35</v>
      </c>
      <c r="F28" s="73">
        <f>'DOE25'!I29</f>
        <v>0</v>
      </c>
      <c r="G28" s="23" t="s">
        <v>288</v>
      </c>
      <c r="H28" s="90"/>
      <c r="I28" s="90"/>
    </row>
    <row r="29" spans="1:9" x14ac:dyDescent="0.2">
      <c r="A29" s="1" t="s">
        <v>158</v>
      </c>
      <c r="B29" s="6">
        <v>480</v>
      </c>
      <c r="C29" s="73">
        <f>'DOE25'!F30</f>
        <v>0</v>
      </c>
      <c r="D29" s="73">
        <f>'DOE25'!G30</f>
        <v>0</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111827.03000000001</v>
      </c>
      <c r="D31" s="38">
        <f>SUM(D21:D30)</f>
        <v>4822.4799999999996</v>
      </c>
      <c r="E31" s="38">
        <f>SUM(E21:E30)</f>
        <v>9828.02</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4536.3700000000008</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50000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76526.340000000011</v>
      </c>
      <c r="F47" s="73">
        <f>'DOE25'!I48</f>
        <v>0</v>
      </c>
      <c r="G47" s="73">
        <f>'DOE25'!J48</f>
        <v>446040.69999999995</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164948.70000000001</v>
      </c>
      <c r="D49" s="23" t="s">
        <v>288</v>
      </c>
      <c r="E49" s="23" t="s">
        <v>288</v>
      </c>
      <c r="F49" s="23" t="s">
        <v>288</v>
      </c>
      <c r="G49" s="23" t="s">
        <v>288</v>
      </c>
      <c r="H49" s="90"/>
      <c r="I49" s="90"/>
    </row>
    <row r="50" spans="1:9" ht="12.75" thickTop="1" thickBot="1" x14ac:dyDescent="0.25">
      <c r="A50" s="35" t="s">
        <v>884</v>
      </c>
      <c r="B50" s="44"/>
      <c r="C50" s="38">
        <f>SUM(C34:C49)</f>
        <v>214948.7</v>
      </c>
      <c r="D50" s="38">
        <f>SUM(D34:D49)</f>
        <v>4536.3700000000008</v>
      </c>
      <c r="E50" s="38">
        <f>SUM(E34:E49)</f>
        <v>76526.340000000011</v>
      </c>
      <c r="F50" s="38">
        <f>SUM(F34:F49)</f>
        <v>0</v>
      </c>
      <c r="G50" s="38">
        <f>SUM(G34:G49)</f>
        <v>446040.69999999995</v>
      </c>
      <c r="H50" s="90"/>
      <c r="I50" s="90"/>
    </row>
    <row r="51" spans="1:9" ht="12" thickTop="1" x14ac:dyDescent="0.2">
      <c r="A51" s="35" t="s">
        <v>885</v>
      </c>
      <c r="B51" s="2"/>
      <c r="C51" s="38">
        <f>C50+C31</f>
        <v>326775.73000000004</v>
      </c>
      <c r="D51" s="38">
        <f>D50+D31</f>
        <v>9358.85</v>
      </c>
      <c r="E51" s="38">
        <f>E50+E31</f>
        <v>86354.360000000015</v>
      </c>
      <c r="F51" s="38">
        <f>F50+F31</f>
        <v>0</v>
      </c>
      <c r="G51" s="38">
        <f>G50+G31</f>
        <v>446040.69999999995</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2848297</v>
      </c>
      <c r="D56" s="73">
        <f>'DOE25'!G60</f>
        <v>0</v>
      </c>
      <c r="E56" s="73">
        <f>'DOE25'!H60</f>
        <v>0</v>
      </c>
      <c r="F56" s="73">
        <f>'DOE25'!I60</f>
        <v>0</v>
      </c>
      <c r="G56" s="73">
        <f>'DOE25'!J60</f>
        <v>0</v>
      </c>
      <c r="H56"/>
      <c r="I56"/>
    </row>
    <row r="57" spans="1:9" x14ac:dyDescent="0.2">
      <c r="A57" s="1" t="s">
        <v>164</v>
      </c>
      <c r="B57" s="6" t="s">
        <v>165</v>
      </c>
      <c r="C57" s="73">
        <f>'DOE25'!F79</f>
        <v>1917.92</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252.79999999999998</v>
      </c>
      <c r="D59" s="73">
        <f>'DOE25'!G96</f>
        <v>0</v>
      </c>
      <c r="E59" s="73">
        <f>'DOE25'!H96</f>
        <v>0</v>
      </c>
      <c r="F59" s="73">
        <f>'DOE25'!I96</f>
        <v>0</v>
      </c>
      <c r="G59" s="73">
        <f>'DOE25'!J96</f>
        <v>16795.39</v>
      </c>
      <c r="H59"/>
      <c r="I59"/>
    </row>
    <row r="60" spans="1:9" x14ac:dyDescent="0.2">
      <c r="A60" s="1" t="s">
        <v>170</v>
      </c>
      <c r="B60" s="22" t="s">
        <v>171</v>
      </c>
      <c r="C60" s="23" t="s">
        <v>288</v>
      </c>
      <c r="D60" s="73">
        <f>'DOE25'!G97</f>
        <v>54949.659999999996</v>
      </c>
      <c r="E60" s="23" t="s">
        <v>288</v>
      </c>
      <c r="F60" s="23" t="s">
        <v>288</v>
      </c>
      <c r="G60" s="23" t="s">
        <v>288</v>
      </c>
      <c r="H60"/>
      <c r="I60"/>
    </row>
    <row r="61" spans="1:9" ht="12" thickBot="1" x14ac:dyDescent="0.25">
      <c r="A61" s="1" t="s">
        <v>172</v>
      </c>
      <c r="B61" s="22" t="s">
        <v>173</v>
      </c>
      <c r="C61" s="73">
        <f>SUM('DOE25'!F98:F110)</f>
        <v>176548.68</v>
      </c>
      <c r="D61" s="73">
        <f>SUM('DOE25'!G98:G110)</f>
        <v>0</v>
      </c>
      <c r="E61" s="73">
        <f>SUM('DOE25'!H98:H110)</f>
        <v>2710.1</v>
      </c>
      <c r="F61" s="73">
        <f>SUM('DOE25'!I98:I110)</f>
        <v>0</v>
      </c>
      <c r="G61" s="73">
        <f>SUM('DOE25'!J98:J110)</f>
        <v>0</v>
      </c>
      <c r="H61"/>
      <c r="I61"/>
    </row>
    <row r="62" spans="1:9" ht="12.75" thickTop="1" thickBot="1" x14ac:dyDescent="0.25">
      <c r="A62" s="28" t="s">
        <v>174</v>
      </c>
      <c r="B62" s="6"/>
      <c r="C62" s="93">
        <f>SUM(C57:C61)</f>
        <v>178719.4</v>
      </c>
      <c r="D62" s="93">
        <f>SUM(D57:D61)</f>
        <v>54949.659999999996</v>
      </c>
      <c r="E62" s="93">
        <f>SUM(E57:E61)</f>
        <v>2710.1</v>
      </c>
      <c r="F62" s="93">
        <f>SUM(F57:F61)</f>
        <v>0</v>
      </c>
      <c r="G62" s="93">
        <f>SUM(G57:G61)</f>
        <v>16795.39</v>
      </c>
      <c r="H62"/>
      <c r="I62"/>
    </row>
    <row r="63" spans="1:9" ht="12" thickTop="1" x14ac:dyDescent="0.2">
      <c r="A63" s="28" t="s">
        <v>175</v>
      </c>
      <c r="B63" s="6"/>
      <c r="C63" s="21">
        <f>C56+C62</f>
        <v>3027016.4</v>
      </c>
      <c r="D63" s="21">
        <f>D56+D62</f>
        <v>54949.659999999996</v>
      </c>
      <c r="E63" s="21">
        <f>E56+E62</f>
        <v>2710.1</v>
      </c>
      <c r="F63" s="21">
        <f>F56+F62</f>
        <v>0</v>
      </c>
      <c r="G63" s="21">
        <f>G56+G62</f>
        <v>16795.39</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702929.53</v>
      </c>
      <c r="D66" s="23" t="s">
        <v>288</v>
      </c>
      <c r="E66" s="23" t="s">
        <v>288</v>
      </c>
      <c r="F66" s="23" t="s">
        <v>288</v>
      </c>
      <c r="G66" s="23" t="s">
        <v>288</v>
      </c>
      <c r="H66"/>
      <c r="I66"/>
    </row>
    <row r="67" spans="1:9" x14ac:dyDescent="0.2">
      <c r="A67" s="1" t="s">
        <v>770</v>
      </c>
      <c r="B67" s="6">
        <v>3112</v>
      </c>
      <c r="C67" s="73">
        <f>'DOE25'!F118</f>
        <v>353688</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1056617.53</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0</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651.09</v>
      </c>
      <c r="E77" s="73">
        <f>SUM('DOE25'!H131:H135)</f>
        <v>0</v>
      </c>
      <c r="F77" s="73">
        <f>SUM('DOE25'!I131:I135)</f>
        <v>0</v>
      </c>
      <c r="G77" s="73">
        <f>SUM('DOE25'!J131:J135)</f>
        <v>0</v>
      </c>
      <c r="H77"/>
      <c r="I77"/>
    </row>
    <row r="78" spans="1:9" ht="12.75" thickTop="1" thickBot="1" x14ac:dyDescent="0.25">
      <c r="A78" s="28" t="s">
        <v>259</v>
      </c>
      <c r="B78" s="6"/>
      <c r="C78" s="93">
        <f>SUM(C72:C77)</f>
        <v>0</v>
      </c>
      <c r="D78" s="93">
        <f>SUM(D72:D77)</f>
        <v>651.09</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1056617.53</v>
      </c>
      <c r="D81" s="93">
        <f>SUM(D79:D80)+D78+D70</f>
        <v>651.09</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17" t="s">
        <v>747</v>
      </c>
      <c r="B88" s="231" t="s">
        <v>184</v>
      </c>
      <c r="C88" s="253">
        <f>SUM('DOE25'!F153:F162)</f>
        <v>34714.49</v>
      </c>
      <c r="D88" s="253">
        <f>SUM('DOE25'!G153:G162)</f>
        <v>55487.96</v>
      </c>
      <c r="E88" s="253">
        <f>SUM('DOE25'!H153:H162)</f>
        <v>112836.88999999998</v>
      </c>
      <c r="F88" s="25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34714.49</v>
      </c>
      <c r="D91" s="94">
        <f>SUM(D85:D90)</f>
        <v>55487.96</v>
      </c>
      <c r="E91" s="94">
        <f>SUM(E85:E90)</f>
        <v>112836.88999999998</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0</v>
      </c>
      <c r="E96" s="73">
        <f>'DOE25'!H180</f>
        <v>0</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26839.1</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26839.1</v>
      </c>
      <c r="D103" s="68">
        <f>SUM(D93:D102)</f>
        <v>0</v>
      </c>
      <c r="E103" s="68">
        <f>SUM(E93:E102)</f>
        <v>0</v>
      </c>
      <c r="F103" s="68">
        <f>SUM(F93:F102)</f>
        <v>0</v>
      </c>
      <c r="G103" s="68">
        <f>SUM(G93:G102)</f>
        <v>0</v>
      </c>
    </row>
    <row r="104" spans="1:7" ht="12.75" thickTop="1" thickBot="1" x14ac:dyDescent="0.25">
      <c r="A104" s="32" t="s">
        <v>761</v>
      </c>
      <c r="C104" s="68">
        <f>C63+C81+C91+C103</f>
        <v>4145187.52</v>
      </c>
      <c r="D104" s="68">
        <f>D63+D81+D91+D103</f>
        <v>111088.70999999999</v>
      </c>
      <c r="E104" s="68">
        <f>E63+E81+E91+E103</f>
        <v>115546.98999999999</v>
      </c>
      <c r="F104" s="68">
        <f>F63+F81+F91+F103</f>
        <v>0</v>
      </c>
      <c r="G104" s="68">
        <f>G63+G81+G103</f>
        <v>16795.39</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2018634.78</v>
      </c>
      <c r="D109" s="23" t="s">
        <v>288</v>
      </c>
      <c r="E109" s="73">
        <f>('DOE25'!L277)+('DOE25'!L296)+('DOE25'!L315)</f>
        <v>33336.909999999996</v>
      </c>
      <c r="F109" s="23" t="s">
        <v>288</v>
      </c>
      <c r="G109" s="23" t="s">
        <v>288</v>
      </c>
    </row>
    <row r="110" spans="1:7" x14ac:dyDescent="0.2">
      <c r="A110" t="s">
        <v>198</v>
      </c>
      <c r="B110" s="31" t="s">
        <v>199</v>
      </c>
      <c r="C110" s="73">
        <f>('DOE25'!L199)+('DOE25'!L217)+('DOE25'!L235)</f>
        <v>520069.43599999999</v>
      </c>
      <c r="D110" s="23" t="s">
        <v>288</v>
      </c>
      <c r="E110" s="73">
        <f>('DOE25'!L278)+('DOE25'!L297)+('DOE25'!L316)</f>
        <v>38948.58</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1382.42</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2540086.6359999999</v>
      </c>
      <c r="D115" s="68">
        <f>SUM(D109:D114)</f>
        <v>0</v>
      </c>
      <c r="E115" s="68">
        <f>SUM(E109:E114)</f>
        <v>72285.489999999991</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237715.65</v>
      </c>
      <c r="D118" s="23" t="s">
        <v>288</v>
      </c>
      <c r="E118" s="73">
        <f>+('DOE25'!L282)+('DOE25'!L301)+('DOE25'!L320)</f>
        <v>518.87</v>
      </c>
      <c r="F118" s="23" t="s">
        <v>288</v>
      </c>
      <c r="G118" s="23" t="s">
        <v>288</v>
      </c>
    </row>
    <row r="119" spans="1:7" x14ac:dyDescent="0.2">
      <c r="A119" t="s">
        <v>208</v>
      </c>
      <c r="B119" s="31" t="s">
        <v>209</v>
      </c>
      <c r="C119" s="73">
        <f>('DOE25'!L204)+('DOE25'!L222)+('DOE25'!L240)</f>
        <v>104749.58</v>
      </c>
      <c r="D119" s="23" t="s">
        <v>288</v>
      </c>
      <c r="E119" s="73">
        <f>+('DOE25'!L283)+('DOE25'!L302)+('DOE25'!L321)</f>
        <v>39097.999999999993</v>
      </c>
      <c r="F119" s="23" t="s">
        <v>288</v>
      </c>
      <c r="G119" s="23" t="s">
        <v>288</v>
      </c>
    </row>
    <row r="120" spans="1:7" x14ac:dyDescent="0.2">
      <c r="A120" t="s">
        <v>210</v>
      </c>
      <c r="B120" s="31" t="s">
        <v>211</v>
      </c>
      <c r="C120" s="73">
        <f>('DOE25'!L205)+('DOE25'!L223)+('DOE25'!L241)</f>
        <v>296475.29000000004</v>
      </c>
      <c r="D120" s="23" t="s">
        <v>288</v>
      </c>
      <c r="E120" s="73">
        <f>+('DOE25'!L284)+('DOE25'!L303)+('DOE25'!L322)</f>
        <v>0</v>
      </c>
      <c r="F120" s="23" t="s">
        <v>288</v>
      </c>
      <c r="G120" s="23" t="s">
        <v>288</v>
      </c>
    </row>
    <row r="121" spans="1:7" x14ac:dyDescent="0.2">
      <c r="A121" t="s">
        <v>212</v>
      </c>
      <c r="B121" s="31" t="s">
        <v>213</v>
      </c>
      <c r="C121" s="73">
        <f>('DOE25'!L206)+('DOE25'!L224)+('DOE25'!L242)</f>
        <v>275422.99000000005</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0</v>
      </c>
      <c r="F122" s="23" t="s">
        <v>288</v>
      </c>
      <c r="G122" s="23" t="s">
        <v>288</v>
      </c>
    </row>
    <row r="123" spans="1:7" x14ac:dyDescent="0.2">
      <c r="A123" t="s">
        <v>216</v>
      </c>
      <c r="B123" s="31" t="s">
        <v>217</v>
      </c>
      <c r="C123" s="73">
        <f>('DOE25'!L208)+('DOE25'!L226)+('DOE25'!L244)</f>
        <v>264638.01999999996</v>
      </c>
      <c r="D123" s="23" t="s">
        <v>288</v>
      </c>
      <c r="E123" s="73">
        <f>+('DOE25'!L287)+('DOE25'!L306)+('DOE25'!L325)</f>
        <v>4555.1000000000004</v>
      </c>
      <c r="F123" s="23" t="s">
        <v>288</v>
      </c>
      <c r="G123" s="23" t="s">
        <v>288</v>
      </c>
    </row>
    <row r="124" spans="1:7" x14ac:dyDescent="0.2">
      <c r="A124" t="s">
        <v>218</v>
      </c>
      <c r="B124" s="31" t="s">
        <v>219</v>
      </c>
      <c r="C124" s="73">
        <f>('DOE25'!L209)+('DOE25'!L227)+('DOE25'!L245+'DOE25'!L255)</f>
        <v>164690.54999999999</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107846.54</v>
      </c>
      <c r="E127" s="23" t="s">
        <v>288</v>
      </c>
      <c r="F127" s="23" t="s">
        <v>288</v>
      </c>
      <c r="G127" s="23" t="s">
        <v>288</v>
      </c>
    </row>
    <row r="128" spans="1:7" ht="12.75" thickTop="1" thickBot="1" x14ac:dyDescent="0.25">
      <c r="A128" s="32" t="s">
        <v>226</v>
      </c>
      <c r="C128" s="68">
        <f>SUM(C118:C127)</f>
        <v>1343692.08</v>
      </c>
      <c r="D128" s="68">
        <f>SUM(D118:D127)</f>
        <v>107846.54</v>
      </c>
      <c r="E128" s="68">
        <f>SUM(E118:E127)</f>
        <v>44171.969999999994</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0</v>
      </c>
      <c r="D131" s="23" t="s">
        <v>288</v>
      </c>
      <c r="E131" s="92">
        <f>'DOE25'!L342</f>
        <v>0</v>
      </c>
      <c r="F131" s="23" t="s">
        <v>288</v>
      </c>
      <c r="G131" s="23" t="s">
        <v>288</v>
      </c>
    </row>
    <row r="132" spans="1:7" x14ac:dyDescent="0.2">
      <c r="A132" t="s">
        <v>230</v>
      </c>
      <c r="B132" s="31">
        <v>5120</v>
      </c>
      <c r="C132" s="73">
        <f>'DOE25'!L262</f>
        <v>0</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26839.1</v>
      </c>
    </row>
    <row r="135" spans="1:7" x14ac:dyDescent="0.2">
      <c r="A135" t="s">
        <v>233</v>
      </c>
      <c r="B135" s="31" t="s">
        <v>234</v>
      </c>
      <c r="C135" s="73">
        <f>'DOE25'!L264</f>
        <v>0</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12563.85</v>
      </c>
      <c r="D138" s="23" t="s">
        <v>288</v>
      </c>
      <c r="E138" s="23" t="s">
        <v>288</v>
      </c>
      <c r="F138" s="23" t="s">
        <v>288</v>
      </c>
      <c r="G138" s="23" t="s">
        <v>288</v>
      </c>
    </row>
    <row r="139" spans="1:7" x14ac:dyDescent="0.2">
      <c r="A139" t="s">
        <v>239</v>
      </c>
      <c r="B139" s="31">
        <v>5252</v>
      </c>
      <c r="C139" s="73">
        <f>'DOE25'!L402</f>
        <v>4231.54</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-16795.39</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0</v>
      </c>
      <c r="D144" s="98">
        <f>SUM(D130:D143)</f>
        <v>0</v>
      </c>
      <c r="E144" s="98">
        <f>SUM(E130:E143)</f>
        <v>0</v>
      </c>
      <c r="F144" s="98">
        <f>SUM(F130:F143)</f>
        <v>0</v>
      </c>
      <c r="G144" s="98">
        <f>SUM(G130:G143)</f>
        <v>26839.1</v>
      </c>
    </row>
    <row r="145" spans="1:9" ht="12.75" thickTop="1" thickBot="1" x14ac:dyDescent="0.25">
      <c r="A145" s="32" t="s">
        <v>244</v>
      </c>
      <c r="C145" s="68">
        <f>(C115+C128+C144)</f>
        <v>3883778.716</v>
      </c>
      <c r="D145" s="68">
        <f>(D115+D128+D144)</f>
        <v>107846.54</v>
      </c>
      <c r="E145" s="68">
        <f>(E115+E128+E144)</f>
        <v>116457.45999999999</v>
      </c>
      <c r="F145" s="68">
        <f>(F115+F128+F144)</f>
        <v>0</v>
      </c>
      <c r="G145" s="68">
        <f>(G115+G128+G144)</f>
        <v>26839.1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0</v>
      </c>
      <c r="C159" s="19">
        <f>'DOE25'!G499</f>
        <v>0</v>
      </c>
      <c r="D159" s="19">
        <f>'DOE25'!H499</f>
        <v>0</v>
      </c>
      <c r="E159" s="19">
        <f>'DOE25'!I499</f>
        <v>0</v>
      </c>
      <c r="F159" s="19">
        <f>'DOE25'!J499</f>
        <v>0</v>
      </c>
      <c r="G159" s="96">
        <f t="shared" si="0"/>
        <v>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0</v>
      </c>
      <c r="C161" s="19">
        <f>'DOE25'!G501</f>
        <v>0</v>
      </c>
      <c r="D161" s="19">
        <f>'DOE25'!H501</f>
        <v>0</v>
      </c>
      <c r="E161" s="19">
        <f>'DOE25'!I501</f>
        <v>0</v>
      </c>
      <c r="F161" s="19">
        <f>'DOE25'!J501</f>
        <v>0</v>
      </c>
      <c r="G161" s="96">
        <f t="shared" si="0"/>
        <v>0</v>
      </c>
    </row>
    <row r="162" spans="1:7" x14ac:dyDescent="0.2">
      <c r="A162" s="21" t="s">
        <v>38</v>
      </c>
      <c r="B162" s="19">
        <f>'DOE25'!F502</f>
        <v>0</v>
      </c>
      <c r="C162" s="19">
        <f>'DOE25'!G502</f>
        <v>0</v>
      </c>
      <c r="D162" s="19">
        <f>'DOE25'!H502</f>
        <v>0</v>
      </c>
      <c r="E162" s="19">
        <f>'DOE25'!I502</f>
        <v>0</v>
      </c>
      <c r="F162" s="19">
        <f>'DOE25'!J502</f>
        <v>0</v>
      </c>
      <c r="G162" s="96">
        <f t="shared" si="0"/>
        <v>0</v>
      </c>
    </row>
    <row r="163" spans="1:7" x14ac:dyDescent="0.2">
      <c r="A163" s="21" t="s">
        <v>39</v>
      </c>
      <c r="B163" s="19">
        <f>'DOE25'!F503</f>
        <v>0</v>
      </c>
      <c r="C163" s="19">
        <f>'DOE25'!G503</f>
        <v>0</v>
      </c>
      <c r="D163" s="19">
        <f>'DOE25'!H503</f>
        <v>0</v>
      </c>
      <c r="E163" s="19">
        <f>'DOE25'!I503</f>
        <v>0</v>
      </c>
      <c r="F163" s="19">
        <f>'DOE25'!J503</f>
        <v>0</v>
      </c>
      <c r="G163" s="96">
        <f t="shared" si="0"/>
        <v>0</v>
      </c>
    </row>
    <row r="164" spans="1:7" x14ac:dyDescent="0.2">
      <c r="A164" s="21" t="s">
        <v>246</v>
      </c>
      <c r="B164" s="19">
        <f>'DOE25'!F504</f>
        <v>0</v>
      </c>
      <c r="C164" s="19">
        <f>'DOE25'!G504</f>
        <v>0</v>
      </c>
      <c r="D164" s="19">
        <f>'DOE25'!H504</f>
        <v>0</v>
      </c>
      <c r="E164" s="19">
        <f>'DOE25'!I504</f>
        <v>0</v>
      </c>
      <c r="F164" s="19">
        <f>'DOE25'!J504</f>
        <v>0</v>
      </c>
      <c r="G164" s="96">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Cornish</v>
      </c>
    </row>
    <row r="3" spans="1:4" x14ac:dyDescent="0.2">
      <c r="B3" s="137" t="s">
        <v>1799</v>
      </c>
    </row>
    <row r="4" spans="1:4" x14ac:dyDescent="0.2">
      <c r="B4" t="s">
        <v>61</v>
      </c>
      <c r="C4" s="129">
        <f>IF('DOE25'!F666+'DOE25'!F671=0,0,ROUND('DOE25'!F673,0))</f>
        <v>26629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26629</v>
      </c>
    </row>
    <row r="9" spans="1:4" x14ac:dyDescent="0.2">
      <c r="A9" s="136" t="s">
        <v>94</v>
      </c>
      <c r="B9" s="137" t="s">
        <v>1800</v>
      </c>
      <c r="C9" s="131" t="s">
        <v>720</v>
      </c>
      <c r="D9" s="131" t="s">
        <v>721</v>
      </c>
    </row>
    <row r="10" spans="1:4" x14ac:dyDescent="0.2">
      <c r="A10">
        <v>1100</v>
      </c>
      <c r="B10" t="s">
        <v>702</v>
      </c>
      <c r="C10" s="129">
        <f>ROUND('DOE25'!L198+'DOE25'!L216+'DOE25'!L234+'DOE25'!L277+'DOE25'!L296+'DOE25'!L315,0)</f>
        <v>2051972</v>
      </c>
      <c r="D10" s="132">
        <f>ROUND((C10/$C$28)*100,1)</f>
        <v>50.6</v>
      </c>
    </row>
    <row r="11" spans="1:4" x14ac:dyDescent="0.2">
      <c r="A11">
        <v>1200</v>
      </c>
      <c r="B11" t="s">
        <v>703</v>
      </c>
      <c r="C11" s="129">
        <f>ROUND('DOE25'!L199+'DOE25'!L217+'DOE25'!L235+'DOE25'!L278+'DOE25'!L297+'DOE25'!L316,0)</f>
        <v>559018</v>
      </c>
      <c r="D11" s="132">
        <f>ROUND((C11/$C$28)*100,1)</f>
        <v>13.8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1382</v>
      </c>
      <c r="D13" s="132">
        <f>ROUND((C13/$C$28)*100,1)</f>
        <v>0</v>
      </c>
    </row>
    <row r="14" spans="1:4" x14ac:dyDescent="0.2">
      <c r="D14" s="132"/>
    </row>
    <row r="15" spans="1:4" x14ac:dyDescent="0.2">
      <c r="A15">
        <v>2100</v>
      </c>
      <c r="B15" t="s">
        <v>706</v>
      </c>
      <c r="C15" s="129">
        <f>ROUND('DOE25'!L203+'DOE25'!L221+'DOE25'!L239+'DOE25'!L282+'DOE25'!L301+'DOE25'!L320,0)</f>
        <v>238235</v>
      </c>
      <c r="D15" s="132">
        <f t="shared" ref="D15:D27" si="0">ROUND((C15/$C$28)*100,1)</f>
        <v>5.9</v>
      </c>
    </row>
    <row r="16" spans="1:4" x14ac:dyDescent="0.2">
      <c r="A16">
        <v>2200</v>
      </c>
      <c r="B16" t="s">
        <v>707</v>
      </c>
      <c r="C16" s="129">
        <f>ROUND('DOE25'!L204+'DOE25'!L222+'DOE25'!L240+'DOE25'!L283+'DOE25'!L302+'DOE25'!L321,0)</f>
        <v>143848</v>
      </c>
      <c r="D16" s="132">
        <f t="shared" si="0"/>
        <v>3.5</v>
      </c>
    </row>
    <row r="17" spans="1:4" x14ac:dyDescent="0.2">
      <c r="A17" s="133" t="s">
        <v>723</v>
      </c>
      <c r="B17" t="s">
        <v>738</v>
      </c>
      <c r="C17" s="129">
        <f>ROUND('DOE25'!L205+'DOE25'!L210+'DOE25'!L223+'DOE25'!L228+'DOE25'!L241+'DOE25'!L246+'DOE25'!L284+'DOE25'!L289+'DOE25'!L303+'DOE25'!L308+'DOE25'!L322+'DOE25'!L327,0)</f>
        <v>296475</v>
      </c>
      <c r="D17" s="132">
        <f t="shared" si="0"/>
        <v>7.3</v>
      </c>
    </row>
    <row r="18" spans="1:4" x14ac:dyDescent="0.2">
      <c r="A18">
        <v>2400</v>
      </c>
      <c r="B18" t="s">
        <v>711</v>
      </c>
      <c r="C18" s="129">
        <f>ROUND('DOE25'!L206+'DOE25'!L224+'DOE25'!L242+'DOE25'!L285+'DOE25'!L304+'DOE25'!L323,0)</f>
        <v>275423</v>
      </c>
      <c r="D18" s="132">
        <f t="shared" si="0"/>
        <v>6.8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269193</v>
      </c>
      <c r="D20" s="132">
        <f t="shared" si="0"/>
        <v>6.6</v>
      </c>
    </row>
    <row r="21" spans="1:4" x14ac:dyDescent="0.2">
      <c r="A21">
        <v>2700</v>
      </c>
      <c r="B21" t="s">
        <v>710</v>
      </c>
      <c r="C21" s="129">
        <f>ROUND('DOE25'!L209+'DOE25'!L227+'DOE25'!L245+'DOE25'!L288+'DOE25'!L307+'DOE25'!L326,0)</f>
        <v>164691</v>
      </c>
      <c r="D21" s="132">
        <f t="shared" si="0"/>
        <v>4.0999999999999996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52897.340000000004</v>
      </c>
      <c r="D27" s="132">
        <f t="shared" si="0"/>
        <v>1.3</v>
      </c>
    </row>
    <row r="28" spans="1:4" x14ac:dyDescent="0.2">
      <c r="B28" s="136" t="s">
        <v>719</v>
      </c>
      <c r="C28" s="130">
        <f>SUM(C10:C27)</f>
        <v>4053134.34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4053134.34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2848297</v>
      </c>
      <c r="D35" s="132">
        <f t="shared" ref="D35:D40" si="1">ROUND((C35/$C$41)*100,1)</f>
        <v>66.099999999999994</v>
      </c>
    </row>
    <row r="36" spans="1:4" x14ac:dyDescent="0.2">
      <c r="B36" s="71" t="s">
        <v>739</v>
      </c>
      <c r="C36" s="129">
        <f>SUM('DOE25'!F112:J112)-SUM('DOE25'!G97:G110)+('DOE25'!F175+'DOE25'!F176+'DOE25'!I175+'DOE25'!I176)-C35</f>
        <v>198224.89000000013</v>
      </c>
      <c r="D36" s="132">
        <f t="shared" si="1"/>
        <v>4.5999999999999996</v>
      </c>
    </row>
    <row r="37" spans="1:4" x14ac:dyDescent="0.2">
      <c r="A37" s="133" t="s">
        <v>835</v>
      </c>
      <c r="B37" s="71" t="s">
        <v>728</v>
      </c>
      <c r="C37" s="129">
        <f>ROUND('DOE25'!F117+'DOE25'!F118,0)</f>
        <v>1056618</v>
      </c>
      <c r="D37" s="132">
        <f t="shared" si="1"/>
        <v>24.5</v>
      </c>
    </row>
    <row r="38" spans="1:4" x14ac:dyDescent="0.2">
      <c r="A38" s="133" t="s">
        <v>734</v>
      </c>
      <c r="B38" s="71" t="s">
        <v>729</v>
      </c>
      <c r="C38" s="129">
        <f>ROUND(SUM('DOE25'!F140:J140)-SUM('DOE25'!F117:F119),0)</f>
        <v>651</v>
      </c>
      <c r="D38" s="132">
        <f t="shared" si="1"/>
        <v>0</v>
      </c>
    </row>
    <row r="39" spans="1:4" x14ac:dyDescent="0.2">
      <c r="A39">
        <v>4000</v>
      </c>
      <c r="B39" s="71" t="s">
        <v>730</v>
      </c>
      <c r="C39" s="129">
        <f>ROUND('DOE25'!F170+'DOE25'!G170+'DOE25'!H170+'DOE25'!I170,0)</f>
        <v>203039</v>
      </c>
      <c r="D39" s="132">
        <f t="shared" si="1"/>
        <v>4.7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4306829.8900000006</v>
      </c>
      <c r="D41" s="134">
        <f>SUM(D35:D40)</f>
        <v>99.899999999999991</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Cornish</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53</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f>IF('School Level Expenditures'!$B$2=A56,'School Tables'!H56,"")</f>
        <v>53</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2022-12-19T13:54:37Z</dcterms:modified>
</cp:coreProperties>
</file>