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B40685C8-D6AD-47DC-AA9D-5338A237A41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0" i="1" l="1"/>
  <c r="E5" i="14" l="1"/>
  <c r="F15" i="13"/>
  <c r="F14" i="13"/>
  <c r="H592" i="1" l="1"/>
  <c r="H199" i="1" l="1"/>
  <c r="H203" i="1"/>
  <c r="H198" i="1"/>
  <c r="H22" i="1" l="1"/>
  <c r="H473" i="1"/>
  <c r="H469" i="1"/>
  <c r="H135" i="1" l="1"/>
  <c r="F278" i="1"/>
  <c r="F282" i="1" l="1"/>
  <c r="F280" i="1"/>
  <c r="F473" i="1"/>
  <c r="G469" i="1"/>
  <c r="F199" i="1"/>
  <c r="F469" i="1"/>
  <c r="H542" i="1" l="1"/>
  <c r="H529" i="1"/>
  <c r="H527" i="1"/>
  <c r="G524" i="1"/>
  <c r="H524" i="1"/>
  <c r="I524" i="1"/>
  <c r="J524" i="1"/>
  <c r="K524" i="1"/>
  <c r="F524" i="1"/>
  <c r="G522" i="1"/>
  <c r="H522" i="1"/>
  <c r="I522" i="1"/>
  <c r="J522" i="1"/>
  <c r="K522" i="1"/>
  <c r="F522" i="1"/>
  <c r="J469" i="1"/>
  <c r="H401" i="1"/>
  <c r="H397" i="1"/>
  <c r="H400" i="1"/>
  <c r="H398" i="1"/>
  <c r="H390" i="1"/>
  <c r="H209"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C119" i="2"/>
  <c r="E120" i="2"/>
  <c r="E124" i="2"/>
  <c r="C125" i="2"/>
  <c r="E12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H125" i="2" l="1"/>
  <c r="H101" i="2"/>
  <c r="H99" i="2"/>
  <c r="H79" i="2"/>
  <c r="H76" i="2"/>
  <c r="H58" i="2"/>
  <c r="F664" i="1"/>
  <c r="I409" i="1"/>
  <c r="C13" i="10"/>
  <c r="H89" i="2"/>
  <c r="H72" i="2"/>
  <c r="H34" i="2"/>
  <c r="H605" i="1"/>
  <c r="C112" i="2"/>
  <c r="E112" i="2"/>
  <c r="H112" i="2"/>
  <c r="G62" i="2"/>
  <c r="H59" i="2"/>
  <c r="G646" i="1"/>
  <c r="J652" i="1"/>
  <c r="C121" i="2"/>
  <c r="A40" i="12"/>
  <c r="G662" i="1"/>
  <c r="H96" i="2"/>
  <c r="H477" i="1"/>
  <c r="H625" i="1" s="1"/>
  <c r="J625" i="1" s="1"/>
  <c r="D144" i="2"/>
  <c r="H97" i="2"/>
  <c r="H93" i="2"/>
  <c r="H87" i="2"/>
  <c r="H26" i="2"/>
  <c r="H113" i="2"/>
  <c r="H132" i="2"/>
  <c r="H36" i="2"/>
  <c r="H44" i="2"/>
  <c r="H48" i="2"/>
  <c r="G409" i="1"/>
  <c r="H646" i="1" s="1"/>
  <c r="J646" i="1" s="1"/>
  <c r="H35" i="2"/>
  <c r="H13" i="2"/>
  <c r="H9" i="2"/>
  <c r="E121" i="2"/>
  <c r="H69" i="2"/>
  <c r="H30" i="2"/>
  <c r="H28" i="2"/>
  <c r="H25" i="2"/>
  <c r="H17" i="2"/>
  <c r="H15" i="2"/>
  <c r="H102" i="2"/>
  <c r="H100" i="2"/>
  <c r="H98" i="2"/>
  <c r="H73" i="2"/>
  <c r="H23" i="2"/>
  <c r="H11" i="2"/>
  <c r="E13" i="13"/>
  <c r="C13" i="13" s="1"/>
  <c r="G477" i="1"/>
  <c r="B33" i="16" s="1"/>
  <c r="H77" i="2"/>
  <c r="H38" i="2"/>
  <c r="H43" i="2"/>
  <c r="H47" i="2"/>
  <c r="H94" i="2"/>
  <c r="H27" i="2"/>
  <c r="H24" i="2"/>
  <c r="H8" i="2"/>
  <c r="D6" i="13"/>
  <c r="C6" i="13" s="1"/>
  <c r="H29" i="2"/>
  <c r="H22" i="2"/>
  <c r="H61" i="2"/>
  <c r="H12" i="2"/>
  <c r="C120" i="2"/>
  <c r="H120" i="2" s="1"/>
  <c r="E119" i="2"/>
  <c r="H119" i="2" s="1"/>
  <c r="H409" i="1"/>
  <c r="H645" i="1" s="1"/>
  <c r="J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21" i="2"/>
  <c r="K605" i="1"/>
  <c r="K606" i="1" s="1"/>
  <c r="G649" i="1" s="1"/>
  <c r="H606" i="1"/>
  <c r="D51" i="2"/>
  <c r="E51" i="2"/>
  <c r="H78" i="2"/>
  <c r="I663" i="1"/>
  <c r="H50" i="2"/>
  <c r="E128" i="2"/>
  <c r="E145" i="2" s="1"/>
  <c r="H85" i="2"/>
  <c r="D128" i="2"/>
  <c r="D145" i="2" s="1"/>
  <c r="H127" i="2"/>
  <c r="H57" i="2"/>
  <c r="H103" i="2"/>
  <c r="H131" i="2"/>
  <c r="H42" i="2"/>
  <c r="H134" i="2"/>
  <c r="H21" i="2"/>
  <c r="H16" i="2"/>
  <c r="F661" i="1"/>
  <c r="F665" i="1" s="1"/>
  <c r="F668" i="1" s="1"/>
  <c r="H109" i="2"/>
  <c r="H31" i="2"/>
  <c r="H91" i="2"/>
  <c r="H62" i="2"/>
  <c r="H18" i="2"/>
  <c r="H118" i="2"/>
  <c r="C81" i="2"/>
  <c r="H81" i="2" s="1"/>
  <c r="F194" i="1"/>
  <c r="G628" i="1" s="1"/>
  <c r="J628" i="1"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H51" i="2"/>
  <c r="H673" i="1"/>
  <c r="C6" i="10" s="1"/>
  <c r="C144" i="2"/>
  <c r="C145" i="2" s="1"/>
  <c r="H141"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<sst xmlns="http://schemas.openxmlformats.org/spreadsheetml/2006/main" count="6531" uniqueCount="1803">
  <si>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</si>
  <si>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</si>
  <si>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</si>
  <si>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</si>
  <si>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</si>
  <si>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</si>
  <si>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</si>
  <si>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</si>
  <si>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</si>
  <si>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</si>
  <si>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</si>
  <si>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</si>
  <si>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</si>
  <si>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</si>
  <si>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</si>
  <si>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</si>
  <si>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</si>
  <si>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</si>
  <si>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</si>
  <si>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</si>
  <si>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</si>
  <si>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</si>
  <si>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</si>
  <si>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</si>
  <si>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</si>
  <si>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</si>
  <si>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</si>
  <si>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</si>
  <si>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</si>
  <si>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</si>
  <si>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</si>
  <si>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</si>
  <si>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</si>
  <si>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</si>
  <si>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</si>
  <si>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</si>
  <si>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</si>
  <si>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</si>
  <si>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</si>
  <si>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</si>
  <si>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</si>
  <si>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</si>
  <si>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</si>
  <si>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</si>
  <si>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</si>
  <si>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</si>
  <si>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</si>
  <si>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</si>
  <si>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</si>
  <si>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</si>
  <si>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</si>
  <si>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</si>
  <si>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</si>
  <si>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</si>
  <si>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</si>
  <si>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</si>
  <si>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</si>
  <si>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</si>
  <si>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</si>
  <si>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</si>
  <si>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</si>
  <si>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</si>
  <si>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</si>
  <si>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</si>
  <si>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</si>
  <si>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</si>
  <si>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</si>
  <si>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</si>
  <si>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</si>
  <si>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</si>
  <si>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</si>
  <si>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</si>
  <si>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</si>
  <si>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</si>
  <si>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</si>
  <si>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</si>
  <si>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</si>
  <si>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</si>
  <si>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</si>
  <si>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</si>
  <si>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</si>
  <si>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</si>
  <si>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</si>
  <si>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</si>
  <si>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</si>
  <si>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</si>
  <si>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</si>
  <si>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</si>
  <si>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</si>
  <si>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</si>
  <si>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</si>
  <si>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</si>
  <si>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</si>
  <si>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</si>
  <si>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</si>
  <si>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</si>
  <si>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</si>
  <si>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</si>
  <si>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</si>
  <si>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</si>
  <si>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</si>
  <si>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</si>
  <si>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</si>
  <si>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</si>
  <si>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</si>
  <si>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</si>
  <si>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</si>
  <si>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</si>
  <si>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</si>
  <si>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</si>
  <si>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</si>
  <si>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</si>
  <si>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</si>
  <si>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</si>
  <si>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</si>
  <si>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</si>
  <si>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</si>
  <si>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</si>
  <si>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</si>
  <si>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</si>
  <si>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</si>
  <si>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</si>
  <si>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</si>
  <si>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</si>
  <si>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</si>
  <si>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</si>
  <si>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</si>
  <si>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</si>
  <si>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</si>
  <si>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</si>
  <si>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</si>
  <si>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</si>
  <si>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</si>
  <si>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</si>
  <si>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</si>
  <si>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</si>
  <si>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</si>
  <si>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</si>
  <si>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</si>
  <si>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</si>
  <si>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</si>
  <si>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</si>
  <si>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</si>
  <si>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</si>
  <si>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</si>
  <si>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</si>
  <si>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</si>
  <si>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</si>
  <si>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</si>
  <si>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</si>
  <si>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</si>
  <si>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</si>
  <si>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</si>
  <si>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</si>
  <si>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</si>
  <si>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</si>
  <si>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</si>
  <si>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</si>
  <si>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</si>
  <si>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</si>
  <si>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</si>
  <si>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</si>
  <si>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</si>
  <si>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</si>
  <si>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</si>
  <si>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</si>
  <si>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</si>
  <si>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</si>
  <si>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</si>
  <si>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</si>
  <si>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</si>
  <si>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</si>
  <si>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</si>
  <si>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</si>
  <si>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</si>
  <si>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</si>
  <si>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</si>
  <si>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</si>
  <si>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</si>
  <si>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</si>
  <si>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</si>
  <si>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</si>
  <si>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</si>
  <si>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</si>
  <si>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</si>
  <si>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</si>
  <si>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</si>
  <si>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</si>
  <si>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</si>
  <si>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</si>
  <si>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</si>
  <si>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</si>
  <si>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</si>
  <si>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</si>
  <si>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</si>
  <si>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</si>
  <si>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</si>
  <si>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</si>
  <si>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</si>
  <si>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</si>
  <si>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</si>
  <si>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</si>
  <si>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</si>
  <si>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</si>
  <si>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</si>
  <si>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</si>
  <si>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</si>
  <si>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</si>
  <si>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</si>
  <si>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</si>
  <si>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</si>
  <si>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</si>
  <si>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</si>
  <si>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</si>
  <si>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</si>
  <si>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</si>
  <si>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</si>
  <si>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</si>
  <si>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</si>
  <si>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</si>
  <si>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</si>
  <si>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</si>
  <si>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</si>
  <si>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</si>
  <si>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</si>
  <si>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</si>
  <si>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</si>
  <si>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</si>
  <si>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</si>
  <si>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</si>
  <si>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</si>
  <si>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</si>
  <si>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</si>
  <si>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</si>
  <si>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</si>
  <si>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</si>
  <si>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</si>
  <si>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</si>
  <si>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</si>
  <si>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</si>
  <si>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</si>
  <si>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</si>
  <si>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</si>
  <si>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</si>
  <si>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</si>
  <si>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</si>
  <si>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</si>
  <si>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</si>
  <si>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</si>
  <si>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</si>
  <si>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</si>
  <si>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</si>
  <si>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</si>
  <si>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</si>
  <si>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</si>
  <si>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</si>
  <si>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</si>
  <si>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</si>
  <si>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</si>
  <si>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</si>
  <si>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</si>
  <si>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</si>
  <si>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</si>
  <si>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</si>
  <si>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</si>
  <si>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</si>
  <si>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</si>
  <si>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</si>
  <si>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</si>
  <si>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</si>
  <si>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</si>
  <si>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</si>
  <si>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</si>
  <si>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</si>
  <si>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</si>
  <si>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</si>
  <si>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</si>
  <si>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</si>
  <si>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</si>
  <si>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</si>
  <si>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</si>
  <si>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</si>
  <si>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</si>
  <si>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</si>
  <si>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</si>
  <si>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</si>
  <si>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</si>
  <si>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</si>
  <si>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</si>
  <si>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</si>
  <si>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</si>
  <si>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</si>
  <si>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</si>
  <si>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</si>
  <si>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</si>
  <si>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</si>
  <si>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</si>
  <si>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</si>
  <si>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</si>
  <si>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</si>
  <si>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</si>
  <si>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</si>
  <si>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</si>
  <si>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</si>
  <si>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</si>
  <si>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</si>
  <si>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</si>
  <si>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</si>
  <si>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</si>
  <si>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</si>
  <si>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</si>
  <si>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</si>
  <si>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</si>
  <si>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</si>
  <si>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</si>
  <si>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</si>
  <si>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</si>
  <si>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</si>
  <si>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</si>
  <si>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</si>
  <si>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</si>
  <si>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</si>
  <si>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</si>
  <si>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</si>
  <si>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</si>
  <si>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</si>
  <si>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</si>
  <si>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</si>
  <si>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</si>
  <si>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</si>
  <si>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</si>
  <si>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</si>
  <si>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</si>
  <si>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</si>
  <si>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</si>
  <si>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</si>
  <si>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</si>
  <si>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</si>
  <si>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</si>
  <si>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</si>
  <si>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</si>
  <si>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</si>
  <si>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</si>
  <si>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</si>
  <si>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</si>
  <si>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</si>
  <si>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</si>
  <si>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</si>
  <si>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</si>
  <si>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</si>
  <si>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</si>
  <si>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</si>
  <si>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</si>
  <si>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</si>
  <si>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</si>
  <si>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</si>
  <si>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</si>
  <si>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</si>
  <si>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</si>
  <si>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</si>
  <si>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</si>
  <si>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</si>
  <si>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</si>
  <si>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</si>
  <si>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</si>
  <si>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</si>
  <si>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</si>
  <si>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</si>
  <si>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</si>
  <si>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</si>
  <si>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</si>
  <si>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</si>
  <si>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</si>
  <si>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</si>
  <si>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</si>
  <si>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</si>
  <si>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</si>
  <si>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</si>
  <si>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</si>
  <si>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</si>
  <si>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</si>
  <si>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</si>
  <si>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</si>
  <si>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</si>
  <si>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</si>
  <si>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</si>
  <si>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</si>
  <si>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</si>
  <si>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</si>
  <si>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</si>
  <si>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</si>
  <si>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</si>
  <si>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</si>
  <si>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</si>
  <si>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</si>
  <si>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</si>
  <si>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</si>
  <si>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</si>
  <si>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</si>
  <si>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</si>
  <si>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</si>
  <si>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</si>
  <si>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</si>
  <si>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</si>
  <si>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</si>
  <si>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</si>
  <si>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</si>
  <si>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</si>
  <si>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</si>
  <si>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</si>
  <si>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</si>
  <si>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</si>
  <si>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</si>
  <si>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</si>
  <si>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</si>
  <si>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</si>
  <si>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</si>
  <si>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</si>
  <si>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</si>
  <si>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</si>
  <si>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</si>
  <si>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</si>
  <si>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</si>
  <si>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</si>
  <si>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</si>
  <si>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</si>
  <si>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</si>
  <si>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</si>
  <si>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</si>
  <si>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</si>
  <si>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</si>
  <si>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</si>
  <si>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</si>
  <si>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</si>
  <si>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</si>
  <si>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</si>
  <si>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</si>
  <si>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</si>
  <si>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</si>
  <si>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</si>
  <si>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</si>
  <si>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</si>
  <si>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</si>
  <si>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</si>
  <si>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</si>
  <si>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</si>
  <si>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</si>
  <si>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</si>
  <si>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</si>
  <si>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</si>
  <si>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</si>
  <si>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</si>
  <si>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</si>
  <si>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</si>
  <si>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</si>
  <si>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</si>
  <si>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</si>
  <si>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</si>
  <si>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</si>
  <si>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</si>
  <si>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</si>
  <si>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</si>
  <si>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</si>
  <si>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</si>
  <si>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</si>
  <si>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</si>
  <si>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</si>
  <si>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</si>
  <si>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</si>
  <si>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</si>
  <si>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</si>
  <si>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</si>
  <si>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</si>
  <si>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</si>
  <si>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</si>
  <si>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</si>
  <si>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</si>
  <si>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</si>
  <si>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</si>
  <si>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</si>
  <si>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</si>
  <si>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</si>
  <si>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</si>
  <si>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</si>
  <si>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</si>
  <si>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</si>
  <si>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</si>
  <si>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</si>
  <si>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</si>
  <si>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</si>
  <si>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</si>
  <si>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</si>
  <si>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</si>
  <si>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</si>
  <si>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</si>
  <si>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</si>
  <si>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</si>
  <si>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</si>
  <si>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</si>
  <si>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</si>
  <si>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</si>
  <si>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</si>
  <si>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</si>
  <si>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</si>
  <si>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</si>
  <si>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</si>
  <si>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</si>
  <si>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</si>
  <si>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</si>
  <si>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</si>
  <si>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</si>
  <si>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</si>
  <si>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</si>
  <si>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</si>
  <si>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</si>
  <si>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</si>
  <si>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</si>
  <si>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</si>
  <si>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</si>
  <si>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</si>
  <si>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</si>
  <si>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</si>
  <si>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</si>
  <si>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</si>
  <si>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</si>
  <si>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</si>
  <si>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</si>
  <si>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</si>
  <si>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</si>
  <si>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</si>
  <si>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</si>
  <si>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</si>
  <si>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</si>
  <si>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</si>
  <si>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</si>
  <si>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</si>
  <si>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</si>
  <si>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</si>
  <si>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</si>
  <si>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</si>
  <si>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</si>
  <si>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</si>
  <si>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</si>
  <si>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</si>
  <si>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</si>
  <si>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</si>
  <si>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</si>
  <si>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</si>
  <si>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</si>
  <si>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</si>
  <si>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</si>
  <si>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</si>
  <si>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</si>
  <si>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</si>
  <si>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</si>
  <si>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</si>
  <si>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</si>
  <si>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</si>
  <si>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</si>
  <si>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</si>
  <si>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</si>
  <si>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</si>
  <si>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</si>
  <si>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</si>
  <si>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</si>
  <si>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</si>
  <si>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</si>
  <si>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</si>
  <si>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</si>
  <si>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</si>
  <si>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</si>
  <si>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</si>
  <si>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</si>
  <si>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</si>
  <si>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</si>
  <si>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</si>
  <si>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</si>
  <si>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</si>
  <si>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</si>
  <si>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</si>
  <si>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</si>
  <si>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</si>
  <si>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</si>
  <si>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</si>
  <si>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</si>
  <si>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</si>
  <si>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</si>
  <si>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</si>
  <si>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</si>
  <si>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</si>
  <si>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</si>
  <si>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</si>
  <si>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</si>
  <si>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</si>
  <si>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</si>
  <si>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</si>
  <si>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</si>
  <si>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</si>
  <si>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</si>
  <si>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</si>
  <si>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</si>
  <si>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</si>
  <si>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</si>
  <si>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</si>
  <si>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</si>
  <si>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</si>
  <si>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</si>
  <si>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</si>
  <si>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</si>
  <si>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</si>
  <si>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</si>
  <si>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</si>
  <si>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</si>
  <si>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</si>
  <si>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</si>
  <si>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</si>
  <si>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</si>
  <si>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</si>
  <si>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</si>
  <si>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</si>
  <si>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</si>
  <si>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</si>
  <si>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</si>
  <si>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</si>
  <si>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</si>
  <si>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</si>
  <si>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</si>
  <si>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</si>
  <si>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</si>
  <si>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</si>
  <si>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</si>
  <si>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</si>
  <si>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</si>
  <si>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</si>
  <si>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</si>
  <si>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</si>
  <si>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</si>
  <si>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</si>
  <si>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</si>
  <si>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</si>
  <si>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</si>
  <si>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</si>
  <si>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</si>
  <si>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</si>
  <si>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</si>
  <si>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</si>
  <si>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</si>
  <si>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</si>
  <si>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</si>
  <si>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</si>
  <si>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</si>
  <si>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</si>
  <si>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</si>
  <si>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</si>
  <si>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</si>
  <si>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</si>
  <si>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</si>
  <si>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</si>
  <si>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</si>
  <si>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</si>
  <si>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</si>
  <si>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</si>
  <si>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</si>
  <si>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</si>
  <si>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</si>
  <si>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</si>
  <si>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</si>
  <si>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</si>
  <si>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</si>
  <si>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</si>
  <si>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</si>
  <si>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</si>
  <si>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</si>
  <si>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</si>
  <si>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</si>
  <si>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</si>
  <si>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</si>
  <si>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</si>
  <si>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</si>
  <si>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</si>
  <si>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</si>
  <si>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</si>
  <si>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</si>
  <si>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</si>
  <si>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</si>
  <si>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</si>
  <si>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</si>
  <si>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</si>
  <si>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</si>
  <si>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</si>
  <si>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</si>
  <si>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</si>
  <si>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</si>
  <si>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</si>
  <si>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</si>
  <si>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</si>
  <si>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</si>
  <si>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</si>
  <si>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</si>
  <si>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</si>
  <si>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</si>
  <si>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</si>
  <si>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</si>
  <si>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</si>
  <si>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</si>
  <si>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</si>
  <si>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</si>
  <si>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</si>
  <si>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</si>
  <si>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</si>
  <si>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</si>
  <si>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</si>
  <si>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</si>
  <si>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</si>
  <si>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</si>
  <si>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</si>
  <si>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</si>
  <si>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</si>
  <si>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</si>
  <si>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</si>
  <si>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</si>
  <si>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</si>
  <si>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</si>
  <si>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</si>
  <si>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</si>
  <si>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</si>
  <si>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</si>
  <si>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</si>
  <si>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</si>
  <si>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</si>
  <si>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</si>
  <si>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</si>
  <si>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</si>
  <si>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</si>
  <si>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</si>
  <si>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</si>
  <si>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</si>
  <si>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</si>
  <si>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</si>
  <si>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</si>
  <si>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</si>
  <si>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</si>
  <si>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</si>
  <si>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</si>
  <si>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</si>
  <si>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</si>
  <si>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</si>
  <si>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</si>
  <si>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</si>
  <si>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</si>
  <si>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</si>
  <si>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</si>
  <si>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</si>
  <si>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</si>
  <si>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</si>
  <si>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</si>
  <si>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</si>
  <si>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</si>
  <si>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</si>
  <si>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</si>
  <si>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</si>
  <si>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</si>
  <si>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</si>
  <si>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</si>
  <si>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</si>
  <si>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</si>
  <si>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</si>
  <si>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</si>
  <si>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</si>
  <si>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</si>
  <si>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</si>
  <si>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</si>
  <si>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</si>
  <si>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</si>
  <si>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</si>
  <si>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</si>
  <si>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</si>
  <si>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</si>
  <si>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</si>
  <si>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</si>
  <si>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</si>
  <si>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</si>
  <si>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</si>
  <si>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</si>
  <si>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</si>
  <si>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</si>
  <si>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</si>
  <si>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</si>
  <si>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</si>
  <si>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</si>
  <si>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</si>
  <si>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</si>
  <si>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</si>
  <si>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</si>
  <si>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</si>
  <si>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</si>
  <si>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</si>
  <si>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</si>
  <si>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</si>
  <si>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</si>
  <si>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</si>
  <si>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</si>
  <si>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</si>
  <si>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</si>
  <si>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</si>
  <si>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</si>
  <si>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</si>
  <si>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</si>
  <si>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</si>
  <si>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</si>
  <si>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</si>
  <si>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</si>
  <si>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</si>
  <si>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</si>
  <si>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</si>
  <si>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</si>
  <si>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</si>
  <si>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</si>
  <si>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</si>
  <si>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</si>
  <si>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</si>
  <si>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</si>
  <si>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</si>
  <si>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</si>
  <si>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</si>
  <si>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</si>
  <si>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</si>
  <si>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</si>
  <si>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</si>
  <si>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</si>
  <si>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</si>
  <si>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</si>
  <si>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</si>
  <si>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</si>
  <si>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</si>
  <si>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</si>
  <si>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</si>
  <si>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</si>
  <si>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</si>
  <si>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</si>
  <si>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</si>
  <si>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</si>
  <si>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</si>
  <si>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</si>
  <si>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</si>
  <si>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</si>
  <si>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</si>
  <si>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</si>
  <si>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</si>
  <si>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</si>
  <si>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</si>
  <si>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</si>
  <si>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</si>
  <si>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</si>
  <si>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</si>
  <si>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</si>
  <si>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</si>
  <si>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</si>
  <si>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</si>
  <si>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</si>
  <si>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</si>
  <si>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</si>
  <si>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</si>
  <si>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</si>
  <si>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</si>
  <si>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</si>
  <si>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</si>
  <si>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</si>
  <si>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</si>
  <si>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</si>
  <si>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</si>
  <si>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</si>
  <si>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</si>
  <si>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</si>
  <si>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</si>
  <si>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</si>
  <si>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</si>
  <si>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</si>
  <si>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</si>
  <si>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</si>
  <si>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</si>
  <si>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</si>
  <si>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</si>
  <si>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</si>
  <si>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</si>
  <si>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</si>
  <si>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</si>
  <si>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</si>
  <si>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</si>
  <si>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</si>
  <si>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</si>
  <si>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</si>
  <si>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</si>
  <si>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</si>
  <si>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</si>
  <si>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</si>
  <si>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</si>
  <si>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</si>
  <si>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</si>
  <si>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</si>
  <si>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</si>
  <si>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</si>
  <si>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</si>
  <si>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</si>
  <si>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</si>
  <si>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</si>
  <si>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</si>
  <si>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</si>
  <si>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</si>
  <si>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</si>
  <si>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</si>
  <si>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</si>
  <si>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</si>
  <si>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</si>
  <si>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</si>
  <si>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</si>
  <si>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</si>
  <si>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</si>
  <si>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</si>
  <si>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</si>
  <si>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</si>
  <si>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</si>
  <si>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</si>
  <si>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</si>
  <si>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</si>
  <si>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</si>
  <si>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</si>
  <si>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</si>
  <si>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</si>
  <si>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</si>
  <si>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</si>
  <si>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</si>
  <si>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</si>
  <si>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</si>
  <si>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</si>
  <si>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</si>
  <si>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</si>
  <si>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</si>
  <si>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</si>
  <si>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</si>
  <si>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</si>
  <si>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</si>
  <si>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</si>
  <si>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</si>
  <si>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</si>
  <si>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</si>
  <si>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</si>
  <si>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</si>
  <si>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</si>
  <si>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</si>
  <si>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</si>
  <si>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</si>
  <si>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</si>
  <si>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</si>
  <si>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</si>
  <si>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</si>
  <si>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</si>
  <si>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</si>
  <si>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</si>
  <si>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</si>
  <si>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</si>
  <si>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</si>
  <si>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</si>
  <si>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</si>
  <si>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</si>
  <si>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</si>
  <si>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</si>
  <si>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</si>
  <si>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</si>
  <si>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</si>
  <si>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</si>
  <si>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</si>
  <si>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</si>
  <si>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</si>
  <si>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</si>
  <si>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</si>
  <si>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</si>
  <si>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</si>
  <si>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</si>
  <si>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</si>
  <si>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</si>
  <si>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</si>
  <si>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</si>
  <si>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</si>
  <si>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</si>
  <si>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</si>
  <si>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</si>
  <si>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</si>
  <si>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</si>
  <si>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</si>
  <si>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</si>
  <si>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</si>
  <si>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</si>
  <si>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</si>
  <si>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</si>
  <si>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</si>
  <si>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</si>
  <si>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</si>
  <si>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</si>
  <si>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</si>
  <si>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</si>
  <si>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</si>
  <si>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</si>
  <si>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</si>
  <si>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</si>
  <si>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</si>
  <si>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</si>
  <si>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</si>
  <si>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</si>
  <si>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</si>
  <si>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</si>
  <si>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</si>
  <si>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</si>
  <si>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</si>
  <si>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</si>
  <si>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</si>
  <si>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</si>
  <si>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</si>
  <si>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</si>
  <si>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</si>
  <si>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</si>
  <si>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</si>
  <si>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</si>
  <si>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</si>
  <si>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</si>
  <si>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</si>
  <si>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</si>
  <si>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</si>
  <si>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</si>
  <si>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</si>
  <si>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</si>
  <si>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</si>
  <si>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</si>
  <si>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</si>
  <si>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</si>
  <si>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</si>
  <si>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</si>
  <si>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</si>
  <si>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</si>
  <si>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</si>
  <si>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</si>
  <si>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</si>
  <si>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</si>
  <si>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</si>
  <si>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</si>
  <si>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</si>
  <si>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</si>
  <si>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</si>
  <si>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</si>
  <si>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</si>
  <si>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</si>
  <si>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</si>
  <si>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</si>
  <si>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</si>
  <si>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</si>
  <si>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</si>
  <si>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</si>
  <si>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</si>
  <si>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</si>
  <si>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</si>
  <si>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</si>
  <si>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</si>
  <si>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</si>
  <si>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</si>
  <si>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</si>
  <si>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</si>
  <si>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</si>
  <si>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</si>
  <si>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</si>
  <si>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</si>
  <si>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</si>
  <si>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</si>
  <si>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</si>
  <si>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</si>
  <si>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</si>
  <si>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</si>
  <si>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</si>
  <si>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</si>
  <si>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</si>
  <si>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</si>
  <si>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</si>
  <si>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</si>
  <si>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</si>
  <si>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</si>
  <si>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</si>
  <si>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</si>
  <si>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</si>
  <si>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</si>
  <si>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</si>
  <si>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</si>
  <si>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</si>
  <si>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</si>
  <si>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</si>
  <si>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</si>
  <si>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</si>
  <si>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</si>
  <si>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</si>
  <si>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</si>
  <si>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</si>
  <si>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</si>
  <si>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</si>
  <si>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</si>
  <si>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</si>
  <si>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</si>
  <si>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</si>
  <si>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</si>
  <si>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</si>
  <si>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</si>
  <si>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</si>
  <si>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</si>
  <si>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</si>
  <si>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</si>
  <si>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</si>
  <si>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</si>
  <si>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</si>
  <si>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</si>
  <si>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</si>
  <si>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</si>
  <si>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</si>
  <si>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</si>
  <si>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</si>
  <si>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</si>
  <si>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</si>
  <si>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</si>
  <si>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</si>
  <si>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</si>
  <si>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</si>
  <si>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</si>
  <si>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</si>
  <si>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</si>
  <si>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</si>
  <si>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</si>
  <si>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</si>
  <si>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</si>
  <si>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</si>
  <si>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</si>
  <si>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</si>
  <si>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</si>
  <si>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</si>
  <si>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</si>
  <si>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</si>
  <si>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</si>
  <si>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</si>
  <si>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</si>
  <si>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</si>
  <si>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</si>
  <si>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</si>
  <si>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</si>
  <si>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</si>
  <si>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</si>
  <si>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</si>
  <si>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</si>
  <si>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</si>
  <si>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</si>
  <si>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</si>
  <si>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</si>
  <si>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</si>
  <si>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</si>
  <si>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</si>
  <si>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</si>
  <si>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</si>
  <si>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</si>
  <si>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</si>
  <si>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</si>
  <si>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</si>
  <si>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</si>
  <si>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</si>
  <si>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</si>
  <si>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</si>
  <si>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</si>
  <si>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</si>
  <si>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</si>
  <si>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</si>
  <si>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</si>
  <si>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</si>
  <si>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</si>
  <si>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</si>
  <si>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</si>
  <si>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</si>
  <si>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</si>
  <si>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</si>
  <si>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</si>
  <si>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</si>
  <si>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</si>
  <si>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</si>
  <si>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</si>
  <si>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</si>
  <si>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</si>
  <si>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</si>
  <si>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</si>
  <si>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</si>
  <si>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</si>
  <si>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</si>
  <si>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</si>
  <si>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</si>
  <si>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</si>
  <si>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</si>
  <si>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</si>
  <si>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</si>
  <si>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</si>
  <si>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</si>
  <si>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</si>
  <si>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</si>
  <si>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</si>
  <si>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</si>
  <si>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</si>
  <si>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</si>
  <si>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</si>
  <si>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</si>
  <si>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</si>
  <si>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</si>
  <si>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</si>
  <si>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</si>
  <si>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</si>
  <si>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</si>
  <si>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</si>
  <si>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</si>
  <si>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</si>
  <si>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</si>
  <si>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</si>
  <si>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</si>
  <si>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</si>
  <si>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</si>
  <si>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</si>
  <si>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</si>
  <si>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</si>
  <si>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</si>
  <si>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</si>
  <si>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</si>
  <si>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</si>
  <si>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</si>
  <si>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</si>
  <si>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</si>
  <si>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</si>
  <si>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</si>
  <si>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</si>
  <si>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</si>
  <si>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</si>
  <si>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</si>
  <si>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</si>
  <si>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</si>
  <si>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</si>
  <si>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</si>
  <si>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</si>
  <si>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</si>
  <si>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</si>
  <si>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</si>
  <si>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</si>
  <si>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</si>
  <si>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</si>
  <si>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</si>
  <si>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</si>
  <si>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</si>
  <si>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</si>
  <si>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</si>
  <si>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</si>
  <si>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</si>
  <si>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</si>
  <si>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</si>
  <si>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</si>
  <si>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</si>
  <si>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</si>
  <si>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</si>
  <si>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</si>
  <si>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</si>
  <si>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</si>
  <si>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</si>
  <si>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</si>
  <si>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</si>
  <si>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</si>
  <si>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</si>
  <si>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</si>
  <si>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</si>
  <si>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</si>
  <si>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</si>
  <si>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</si>
  <si>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</si>
  <si>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</si>
  <si>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</si>
  <si>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</si>
  <si>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</si>
  <si>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</si>
  <si>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</si>
  <si>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</si>
  <si>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</si>
  <si>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</si>
  <si>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</si>
  <si>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</si>
  <si>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</si>
  <si>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</si>
  <si>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</si>
  <si>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</si>
  <si>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</si>
  <si>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</si>
  <si>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</si>
  <si>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</si>
  <si>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</si>
  <si>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</si>
  <si>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</si>
  <si>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</si>
  <si>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</si>
  <si>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</si>
  <si>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</si>
  <si>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</si>
  <si>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</si>
  <si>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</si>
  <si>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</si>
  <si>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</si>
  <si>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</si>
  <si>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</si>
  <si>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</si>
  <si>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</si>
  <si>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</si>
  <si>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</si>
  <si>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</si>
  <si>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</si>
  <si>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</si>
  <si>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</si>
  <si>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</si>
  <si>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</si>
  <si>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</si>
  <si>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</si>
  <si>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</si>
  <si>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</si>
  <si>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</si>
  <si>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</si>
  <si>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</si>
  <si>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</si>
  <si>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</si>
  <si>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</si>
  <si>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</si>
  <si>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</si>
  <si>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</si>
  <si>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</si>
  <si>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</si>
  <si>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</si>
  <si>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</si>
  <si>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</si>
  <si>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</si>
  <si>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</si>
  <si>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</si>
  <si>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</si>
  <si>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</si>
  <si>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</si>
  <si>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</si>
  <si>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</si>
  <si>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</si>
  <si>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</si>
  <si>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</si>
  <si>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</si>
  <si>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</si>
  <si>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</si>
  <si>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</si>
  <si>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</si>
  <si>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</si>
  <si>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</si>
  <si>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</si>
  <si>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</si>
  <si>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</si>
  <si>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</si>
  <si>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</si>
  <si>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</si>
  <si>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</si>
  <si>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</si>
  <si>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</si>
  <si>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</si>
  <si>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</si>
  <si>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</si>
  <si>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</si>
  <si>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</si>
  <si>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</si>
  <si>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</si>
  <si>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</si>
  <si>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</si>
  <si>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</si>
  <si>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</si>
  <si>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</si>
  <si>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</si>
  <si>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</si>
  <si>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</si>
  <si>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</si>
  <si>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</si>
  <si>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</si>
  <si>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</si>
  <si>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</si>
  <si>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</si>
  <si>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</si>
  <si>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</si>
  <si>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</si>
  <si>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</si>
  <si>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</si>
  <si>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</si>
  <si>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</si>
  <si>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</si>
  <si>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</si>
  <si>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</si>
  <si>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</si>
  <si>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</si>
  <si>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</si>
  <si>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</si>
  <si>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</si>
  <si>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</si>
  <si>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</si>
  <si>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</si>
  <si>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</si>
  <si>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</si>
  <si>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</si>
  <si>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</si>
  <si>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</si>
  <si>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</si>
  <si>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</si>
  <si>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</si>
  <si>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</si>
  <si>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</si>
  <si>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</si>
  <si>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</si>
  <si>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</si>
  <si>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</si>
  <si>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</si>
  <si>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</si>
  <si>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</si>
  <si>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</si>
  <si>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</si>
  <si>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</si>
  <si>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</si>
  <si>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</si>
  <si>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</si>
  <si>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</si>
  <si>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</si>
  <si>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</si>
  <si>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</si>
  <si>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</si>
  <si>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</si>
  <si>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</si>
  <si>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</si>
  <si>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</si>
  <si>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</si>
  <si>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</si>
  <si>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</si>
  <si>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</si>
  <si>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</si>
  <si>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</si>
  <si>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</si>
  <si>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</si>
  <si>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</si>
  <si>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</si>
  <si>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</si>
  <si>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</si>
  <si>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</si>
  <si>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</si>
  <si>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</si>
  <si>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</si>
  <si>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</si>
  <si>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</si>
  <si>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</si>
  <si>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</si>
  <si>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</si>
  <si>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</si>
  <si>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</si>
  <si>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</si>
  <si>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</si>
  <si>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</si>
  <si>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</si>
  <si>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</si>
  <si>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</si>
  <si>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</si>
  <si>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</si>
  <si>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</si>
  <si>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</si>
  <si>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</si>
  <si>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</si>
  <si>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</si>
  <si>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</si>
  <si>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</si>
  <si>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</si>
  <si>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</si>
  <si>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</si>
  <si>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</si>
  <si>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</si>
  <si>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</si>
  <si>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</si>
  <si>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</si>
  <si>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</si>
  <si>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</si>
  <si>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</si>
  <si>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</si>
  <si>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</si>
  <si>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</si>
  <si>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</si>
  <si>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</si>
  <si>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</si>
  <si>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</si>
  <si>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</si>
  <si>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</si>
  <si>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</si>
  <si>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</si>
  <si>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</si>
  <si>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</si>
  <si>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</si>
  <si>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</si>
  <si>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</si>
  <si>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</si>
  <si>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</si>
  <si>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</si>
  <si>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</si>
  <si>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</si>
  <si>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</si>
  <si>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</si>
  <si>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</si>
  <si>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</si>
  <si>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</si>
  <si>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</si>
  <si>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</si>
  <si>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</si>
  <si>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</si>
  <si>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</si>
  <si>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</si>
  <si>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</si>
  <si>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</si>
  <si>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</si>
  <si>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</si>
  <si>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</si>
  <si>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</si>
  <si>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</si>
  <si>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</si>
  <si>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</si>
  <si>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</si>
  <si>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</si>
  <si>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</si>
  <si>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</si>
  <si>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</si>
  <si>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</si>
  <si>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</si>
  <si>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</si>
  <si>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</si>
  <si>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</si>
  <si>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</si>
  <si>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</si>
  <si>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</si>
  <si>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</si>
  <si>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</si>
  <si>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</si>
  <si>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</si>
  <si>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</si>
  <si>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</si>
  <si>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</si>
  <si>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</si>
  <si>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</si>
  <si>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</si>
  <si>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</si>
  <si>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</si>
  <si>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</si>
  <si>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</si>
  <si>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</si>
  <si>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</si>
  <si>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</si>
  <si>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</si>
  <si>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</si>
  <si>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</si>
  <si>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</si>
  <si>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</si>
  <si>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</si>
  <si>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</si>
  <si>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</si>
  <si>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</si>
  <si>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</si>
  <si>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</si>
  <si>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</si>
  <si>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</si>
  <si>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</si>
  <si>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</si>
  <si>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</si>
  <si>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</si>
  <si>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</si>
  <si>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</si>
  <si>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</si>
  <si>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</si>
  <si>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</si>
  <si>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</si>
  <si>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</si>
  <si>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</si>
  <si>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</si>
  <si>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</si>
  <si>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</si>
  <si>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</si>
  <si>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</si>
  <si>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</si>
  <si>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</si>
  <si>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</si>
  <si>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</si>
  <si>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</si>
  <si>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</si>
  <si>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</si>
  <si>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</si>
  <si>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</si>
  <si>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</si>
  <si>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</si>
  <si>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</si>
  <si>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</si>
  <si>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</si>
  <si>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</si>
  <si>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</si>
  <si>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</si>
  <si>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</si>
  <si>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</si>
  <si>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</si>
  <si>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</si>
  <si>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</si>
  <si>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</si>
  <si>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</si>
  <si>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</si>
  <si>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</si>
  <si>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</si>
  <si>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</si>
  <si>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</si>
  <si>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</si>
  <si>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</si>
  <si>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</si>
  <si>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</si>
  <si>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</si>
  <si>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</si>
  <si>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</si>
  <si>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</si>
  <si>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</si>
  <si>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</si>
  <si>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</si>
  <si>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</si>
  <si>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</si>
  <si>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</si>
  <si>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</si>
  <si>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</si>
  <si>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</si>
  <si>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</si>
  <si>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</si>
  <si>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</si>
  <si>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</si>
  <si>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</si>
  <si>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</si>
  <si>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</si>
  <si>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</si>
  <si>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</si>
  <si>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</si>
  <si>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</si>
  <si>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</si>
  <si>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</si>
  <si>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</si>
  <si>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</si>
  <si>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</si>
  <si>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</si>
  <si>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</si>
  <si>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</si>
  <si>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</si>
  <si>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</si>
  <si>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</si>
  <si>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</si>
  <si>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</si>
  <si>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</si>
  <si>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</si>
  <si>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</si>
  <si>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</si>
  <si>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</si>
  <si>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</si>
  <si>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</si>
  <si>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</si>
  <si>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</si>
  <si>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</si>
  <si>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</si>
  <si>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</si>
  <si>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</si>
  <si>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</si>
  <si>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</si>
  <si>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</si>
  <si>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</si>
  <si>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</si>
  <si>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</si>
  <si>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</si>
  <si>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</si>
  <si>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</si>
  <si>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</si>
  <si>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</si>
  <si>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</si>
  <si>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</si>
  <si>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</si>
  <si>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</si>
  <si>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</si>
  <si>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</si>
  <si>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</si>
  <si>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</si>
  <si>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</si>
  <si>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</si>
  <si>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</si>
  <si>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</si>
  <si>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</si>
  <si>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</si>
  <si>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</si>
  <si>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</si>
  <si>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</si>
  <si>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</si>
  <si>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</si>
  <si>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</si>
  <si>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</si>
  <si>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</si>
  <si>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</si>
  <si>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</si>
  <si>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</si>
  <si>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</si>
  <si>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</si>
  <si>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</si>
  <si>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</si>
  <si>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</si>
  <si>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</si>
  <si>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</si>
  <si>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</si>
  <si>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</si>
  <si>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</si>
  <si>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</si>
  <si>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</si>
  <si>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</si>
  <si>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</si>
  <si>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</si>
  <si>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</si>
  <si>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</si>
  <si>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</si>
  <si>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</si>
  <si>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</si>
  <si>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</si>
  <si>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</si>
  <si>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</si>
  <si>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</si>
  <si>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</si>
  <si>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</si>
  <si>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</si>
  <si>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</si>
  <si>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</si>
  <si>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</si>
  <si>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</si>
  <si>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</si>
  <si>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</si>
  <si>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</si>
  <si>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</si>
  <si>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</si>
  <si>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</si>
  <si>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</si>
  <si>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</si>
  <si>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</si>
  <si>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</si>
  <si>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</si>
  <si>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</si>
  <si>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</si>
  <si>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</si>
  <si>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</si>
  <si>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</si>
  <si>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</si>
  <si>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</si>
  <si>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</si>
  <si>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</si>
  <si>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</si>
  <si>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</si>
  <si>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</si>
  <si>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</si>
  <si>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</si>
  <si>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</si>
  <si>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</si>
  <si>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</si>
  <si>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</si>
  <si>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</si>
  <si>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</si>
  <si>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</si>
  <si>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</si>
  <si>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</si>
  <si>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</si>
  <si>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</si>
  <si>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</si>
  <si>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</si>
  <si>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</si>
  <si>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</si>
  <si>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</si>
  <si>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</si>
  <si>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</si>
  <si>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</si>
  <si>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</si>
  <si>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</si>
  <si>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</si>
  <si>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</si>
  <si>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</si>
  <si>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</si>
  <si>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</si>
  <si>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</si>
  <si>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</si>
  <si>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</si>
  <si>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</si>
  <si>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</si>
  <si>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</si>
  <si>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</si>
  <si>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</si>
  <si>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</si>
  <si>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</si>
  <si>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</si>
  <si>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</si>
  <si>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</si>
  <si>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</si>
  <si>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</si>
  <si>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We have in previous years booked IDEA Grant Revenue to General Fund 1 in Finance System and General Fund 10 on Ms25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</si>
</sst>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27" zoomScale="90" zoomScaleNormal="9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998</v>
      </c>
      <c r="B2" s="126">
        <f>INDEX('School Tables'!$AH$3:$AH$208,MATCH('DOE25'!A2,'School Tables'!$AJ$3:$AJ$208,0))</f>
        <v>127</v>
      </c>
      <c r="C2" s="126">
        <f>INDEX('School Tables'!$AI$3:$AI$208,MATCH('DOE25'!A2,'School Tables'!$AJ$3:$AJ$208,0))</f>
        <v>127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3184063.69</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776032.55</v>
      </c>
      <c r="K12" s="24" t="s">
        <v>288</v>
      </c>
      <c r="L12" s="24" t="s">
        <v>288</v>
      </c>
      <c r="M12" s="8"/>
      <c r="N12" s="265"/>
    </row>
    <row r="13" spans="1:14" s="3" customFormat="1" ht="12.2" customHeight="1" x14ac:dyDescent="0.15">
      <c r="A13" s="1" t="s">
        <v>604</v>
      </c>
      <c r="B13" s="2" t="s">
        <v>289</v>
      </c>
      <c r="C13" s="6">
        <v>5</v>
      </c>
      <c r="D13" s="2" t="s">
        <v>428</v>
      </c>
      <c r="E13" s="6">
        <v>140</v>
      </c>
      <c r="F13" s="18">
        <v>174812.29</v>
      </c>
      <c r="G13" s="18">
        <v>0</v>
      </c>
      <c r="H13" s="18">
        <v>0</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375566.08000000002</v>
      </c>
      <c r="G14" s="18">
        <v>113613.34</v>
      </c>
      <c r="H14" s="18">
        <v>121794.09</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10201.42</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3734442.06</v>
      </c>
      <c r="G19" s="41">
        <f>SUM(G9:G18)</f>
        <v>123814.76</v>
      </c>
      <c r="H19" s="41">
        <f>SUM(H9:H18)</f>
        <v>121794.09</v>
      </c>
      <c r="I19" s="41">
        <f>SUM(I9:I18)</f>
        <v>0</v>
      </c>
      <c r="J19" s="41">
        <f>SUM(J9:J18)</f>
        <v>776032.55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17504.03</v>
      </c>
      <c r="H22" s="18">
        <f>119153.4-2366.39-445.38</f>
        <v>116341.62999999999</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2862292.12</v>
      </c>
      <c r="G23" s="18">
        <v>2244.64</v>
      </c>
      <c r="H23" s="18">
        <v>0</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5674.07</v>
      </c>
      <c r="G24" s="18">
        <v>0</v>
      </c>
      <c r="H24" s="18">
        <v>0</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2867966.19</v>
      </c>
      <c r="G32" s="41">
        <f>SUM(G22:G31)</f>
        <v>19748.669999999998</v>
      </c>
      <c r="H32" s="41">
        <f>SUM(H22:H31)</f>
        <v>116341.62999999999</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866475.87</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104066.09</v>
      </c>
      <c r="H48" s="18">
        <v>5452.46</v>
      </c>
      <c r="I48" s="18"/>
      <c r="J48" s="13">
        <f>SUM(I460)</f>
        <v>776032.55</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866475.87</v>
      </c>
      <c r="G51" s="41">
        <f>SUM(G35:G50)</f>
        <v>104066.09</v>
      </c>
      <c r="H51" s="41">
        <f>SUM(H35:H50)</f>
        <v>5452.46</v>
      </c>
      <c r="I51" s="41">
        <f>SUM(I35:I50)</f>
        <v>0</v>
      </c>
      <c r="J51" s="41">
        <f>SUM(J35:J50)</f>
        <v>776032.55</v>
      </c>
      <c r="K51" s="45" t="s">
        <v>288</v>
      </c>
      <c r="L51" s="45" t="s">
        <v>288</v>
      </c>
      <c r="N51" s="263"/>
    </row>
    <row r="52" spans="1:14" s="3" customFormat="1" ht="12.2" customHeight="1" thickTop="1" x14ac:dyDescent="0.15">
      <c r="A52" s="38" t="s">
        <v>455</v>
      </c>
      <c r="B52" s="39" t="s">
        <v>289</v>
      </c>
      <c r="C52" s="6">
        <v>37</v>
      </c>
      <c r="D52" s="39" t="s">
        <v>653</v>
      </c>
      <c r="E52" s="39"/>
      <c r="F52" s="41">
        <f>F51+F32</f>
        <v>3734442.06</v>
      </c>
      <c r="G52" s="41">
        <f>G51+G32</f>
        <v>123814.76</v>
      </c>
      <c r="H52" s="41">
        <f>H51+H32</f>
        <v>121794.09</v>
      </c>
      <c r="I52" s="41">
        <f>I51+I32</f>
        <v>0</v>
      </c>
      <c r="J52" s="41">
        <f>J51+J32</f>
        <v>776032.55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9991937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9991937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22605</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v>1290.6600000000001</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22605</v>
      </c>
      <c r="G79" s="45" t="s">
        <v>288</v>
      </c>
      <c r="H79" s="41">
        <f>SUM(H63:H78)</f>
        <v>1290.6600000000001</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1406.66</v>
      </c>
      <c r="G96" s="18"/>
      <c r="H96" s="18"/>
      <c r="I96" s="18"/>
      <c r="J96" s="18">
        <v>-19267.88</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11779.3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0</v>
      </c>
      <c r="G109" s="18"/>
      <c r="H109" s="18">
        <v>0</v>
      </c>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14937.02</f>
        <v>14937.02</v>
      </c>
      <c r="G110" s="18">
        <v>0</v>
      </c>
      <c r="H110" s="18">
        <v>0</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16343.68</v>
      </c>
      <c r="G111" s="41">
        <f>SUM(G96:G110)</f>
        <v>11779.3</v>
      </c>
      <c r="H111" s="41">
        <f>SUM(H96:H110)</f>
        <v>0</v>
      </c>
      <c r="I111" s="41">
        <f>SUM(I96:I110)</f>
        <v>0</v>
      </c>
      <c r="J111" s="41">
        <f>SUM(J96:J110)</f>
        <v>-19267.88</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10030885.68</v>
      </c>
      <c r="G112" s="41">
        <f>G60+G111</f>
        <v>11779.3</v>
      </c>
      <c r="H112" s="41">
        <f>H60+H79+H94+H111</f>
        <v>1290.6600000000001</v>
      </c>
      <c r="I112" s="41">
        <f>I60+I111</f>
        <v>0</v>
      </c>
      <c r="J112" s="41">
        <f>J60+J111</f>
        <v>-19267.88</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2241373.81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1172450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7438.54</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3421262.35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162571.13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700.68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c r="H135" s="18">
        <f>18732.08</f>
        <v>18732.080000000002</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162571.13</v>
      </c>
      <c r="G136" s="41">
        <f>SUM(G123:G135)</f>
        <v>700.68</v>
      </c>
      <c r="H136" s="41">
        <f>SUM(H123:H135)</f>
        <v>18732.080000000002</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3583833.48</v>
      </c>
      <c r="G140" s="41">
        <f>G121+SUM(G136:G137)</f>
        <v>700.68</v>
      </c>
      <c r="H140" s="41">
        <f>H121+SUM(H136:H139)</f>
        <v>18732.080000000002</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52199.839999999997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47711.92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296778.88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286439.07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36330.54</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11003.01</v>
      </c>
      <c r="H161" s="18">
        <v>8366.27</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150835.37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36330.54</v>
      </c>
      <c r="G163" s="41">
        <f>SUM(G150:G162)</f>
        <v>307781.89</v>
      </c>
      <c r="H163" s="41">
        <f>SUM(H150:H162)</f>
        <v>545552.47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36330.54</v>
      </c>
      <c r="G170" s="41">
        <f>G147+G163+SUM(G164:G169)</f>
        <v>307781.89</v>
      </c>
      <c r="H170" s="41">
        <f>H147+H163+SUM(H164:H169)</f>
        <v>545552.47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109610.19</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109610.19</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109610.19</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13760659.889999999</v>
      </c>
      <c r="G194" s="47">
        <f>G112+G140+G170+G193</f>
        <v>320261.87</v>
      </c>
      <c r="H194" s="47">
        <f>H112+H140+H170+H193</f>
        <v>565575.21</v>
      </c>
      <c r="I194" s="47">
        <f>I112+I140+I170+I193</f>
        <v>0</v>
      </c>
      <c r="J194" s="47">
        <f>J112+J140+J193</f>
        <v>-19267.88</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2719133.77</v>
      </c>
      <c r="G198" s="18">
        <v>1391501.13</v>
      </c>
      <c r="H198" s="18">
        <f>2788813.62-2737862.44</f>
        <v>50951.180000000168</v>
      </c>
      <c r="I198" s="18">
        <v>86019.64</v>
      </c>
      <c r="J198" s="18">
        <v>49683.97</v>
      </c>
      <c r="K198" s="18">
        <v>0</v>
      </c>
      <c r="L198" s="19">
        <f>SUM(F198:K198)</f>
        <v>4297289.6899999995</v>
      </c>
      <c r="M198" s="8"/>
      <c r="N198" s="265"/>
    </row>
    <row r="199" spans="1:14" s="3" customFormat="1" ht="12.2" customHeight="1" x14ac:dyDescent="0.15">
      <c r="A199" s="1" t="s">
        <v>439</v>
      </c>
      <c r="B199" s="2" t="s">
        <v>341</v>
      </c>
      <c r="C199" s="2" t="s">
        <v>291</v>
      </c>
      <c r="D199" s="2" t="s">
        <v>431</v>
      </c>
      <c r="E199" s="6">
        <v>1200</v>
      </c>
      <c r="F199" s="18">
        <f>1370273.76-286439.07</f>
        <v>1083834.69</v>
      </c>
      <c r="G199" s="18">
        <v>701229.57</v>
      </c>
      <c r="H199" s="18">
        <f>2003099.87-1265015.34-308068.91-24544.94</f>
        <v>405470.68000000005</v>
      </c>
      <c r="I199" s="18">
        <v>4853.4799999999996</v>
      </c>
      <c r="J199" s="18">
        <v>3335.67</v>
      </c>
      <c r="K199" s="18">
        <v>0</v>
      </c>
      <c r="L199" s="19">
        <f>SUM(F199:K199)</f>
        <v>2198724.09</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30286</v>
      </c>
      <c r="G201" s="18">
        <v>17320.490000000002</v>
      </c>
      <c r="H201" s="18">
        <v>3560</v>
      </c>
      <c r="I201" s="18">
        <v>4573.66</v>
      </c>
      <c r="J201" s="18">
        <v>0</v>
      </c>
      <c r="K201" s="18">
        <v>520</v>
      </c>
      <c r="L201" s="19">
        <f>SUM(F201:K201)</f>
        <v>56260.150000000009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212826.8</v>
      </c>
      <c r="G203" s="18">
        <v>108912.87</v>
      </c>
      <c r="H203" s="18">
        <f>2445.34+308068.61</f>
        <v>310513.95</v>
      </c>
      <c r="I203" s="18">
        <v>1986.51</v>
      </c>
      <c r="J203" s="18">
        <v>0</v>
      </c>
      <c r="K203" s="18">
        <v>0</v>
      </c>
      <c r="L203" s="19">
        <f t="shared" ref="L203:L209" si="0">SUM(F203:K203)</f>
        <v>634240.13</v>
      </c>
      <c r="M203" s="8"/>
      <c r="N203" s="265"/>
    </row>
    <row r="204" spans="1:14" s="3" customFormat="1" ht="12.2" customHeight="1" x14ac:dyDescent="0.15">
      <c r="A204" s="1" t="s">
        <v>443</v>
      </c>
      <c r="B204" s="2" t="s">
        <v>341</v>
      </c>
      <c r="C204" s="2" t="s">
        <v>295</v>
      </c>
      <c r="D204" s="2" t="s">
        <v>431</v>
      </c>
      <c r="E204" s="6">
        <v>2200</v>
      </c>
      <c r="F204" s="18">
        <v>101897.2</v>
      </c>
      <c r="G204" s="18">
        <v>52145.3</v>
      </c>
      <c r="H204" s="18">
        <v>35376.92</v>
      </c>
      <c r="I204" s="18">
        <v>7061.39</v>
      </c>
      <c r="J204" s="18">
        <v>32.64</v>
      </c>
      <c r="K204" s="18">
        <v>0</v>
      </c>
      <c r="L204" s="19">
        <f t="shared" si="0"/>
        <v>196513.45</v>
      </c>
      <c r="M204" s="8"/>
      <c r="N204" s="265"/>
    </row>
    <row r="205" spans="1:14" s="3" customFormat="1" ht="12.2" customHeight="1" x14ac:dyDescent="0.15">
      <c r="A205" s="1" t="s">
        <v>444</v>
      </c>
      <c r="B205" s="2" t="s">
        <v>341</v>
      </c>
      <c r="C205" s="2" t="s">
        <v>296</v>
      </c>
      <c r="D205" s="2" t="s">
        <v>431</v>
      </c>
      <c r="E205" s="6">
        <v>2300</v>
      </c>
      <c r="F205" s="18">
        <v>3115</v>
      </c>
      <c r="G205" s="18">
        <v>1594.08</v>
      </c>
      <c r="H205" s="18">
        <v>438580.46</v>
      </c>
      <c r="I205" s="18">
        <v>3970.1</v>
      </c>
      <c r="J205" s="18">
        <v>0</v>
      </c>
      <c r="K205" s="18">
        <v>9176.17</v>
      </c>
      <c r="L205" s="19">
        <f t="shared" si="0"/>
        <v>456435.81</v>
      </c>
      <c r="M205" s="8"/>
      <c r="N205" s="265"/>
    </row>
    <row r="206" spans="1:14" s="3" customFormat="1" ht="12.2" customHeight="1" x14ac:dyDescent="0.15">
      <c r="A206" s="1" t="s">
        <v>445</v>
      </c>
      <c r="B206" s="2" t="s">
        <v>341</v>
      </c>
      <c r="C206" s="2" t="s">
        <v>297</v>
      </c>
      <c r="D206" s="2" t="s">
        <v>431</v>
      </c>
      <c r="E206" s="6">
        <v>2400</v>
      </c>
      <c r="F206" s="18">
        <v>352749.86</v>
      </c>
      <c r="G206" s="18">
        <v>180517.68</v>
      </c>
      <c r="H206" s="18">
        <v>64849.24</v>
      </c>
      <c r="I206" s="18">
        <v>523.02</v>
      </c>
      <c r="J206" s="18">
        <v>0</v>
      </c>
      <c r="K206" s="18">
        <v>5321.62</v>
      </c>
      <c r="L206" s="19">
        <f t="shared" si="0"/>
        <v>603961.42000000004</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164964.01999999999</v>
      </c>
      <c r="G208" s="18">
        <v>84419.37</v>
      </c>
      <c r="H208" s="18">
        <v>265608.58</v>
      </c>
      <c r="I208" s="18">
        <v>138683.12</v>
      </c>
      <c r="J208" s="18">
        <v>0</v>
      </c>
      <c r="K208" s="18">
        <v>0</v>
      </c>
      <c r="L208" s="19">
        <f t="shared" si="0"/>
        <v>653675.09</v>
      </c>
      <c r="M208" s="8"/>
      <c r="N208" s="265"/>
    </row>
    <row r="209" spans="1:14" s="3" customFormat="1" ht="12.2" customHeight="1" x14ac:dyDescent="0.15">
      <c r="A209" s="1" t="s">
        <v>448</v>
      </c>
      <c r="B209" s="2" t="s">
        <v>341</v>
      </c>
      <c r="C209" s="2" t="s">
        <v>300</v>
      </c>
      <c r="D209" s="2" t="s">
        <v>431</v>
      </c>
      <c r="E209" s="6">
        <v>2700</v>
      </c>
      <c r="F209" s="18"/>
      <c r="G209" s="18"/>
      <c r="H209" s="18">
        <f>530649.72</f>
        <v>530649.72</v>
      </c>
      <c r="I209" s="18"/>
      <c r="J209" s="18"/>
      <c r="K209" s="18"/>
      <c r="L209" s="19">
        <f t="shared" si="0"/>
        <v>530649.72</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4668807.34</v>
      </c>
      <c r="G212" s="41">
        <f t="shared" si="1"/>
        <v>2537640.4900000002</v>
      </c>
      <c r="H212" s="41">
        <f t="shared" si="1"/>
        <v>2105560.7300000004</v>
      </c>
      <c r="I212" s="41">
        <f t="shared" si="1"/>
        <v>247670.91999999998</v>
      </c>
      <c r="J212" s="41">
        <f t="shared" si="1"/>
        <v>53052.28</v>
      </c>
      <c r="K212" s="41">
        <f t="shared" si="1"/>
        <v>15017.79</v>
      </c>
      <c r="L212" s="41">
        <f t="shared" si="1"/>
        <v>9627749.5500000007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2737862.44</v>
      </c>
      <c r="I234" s="18"/>
      <c r="J234" s="18"/>
      <c r="K234" s="18"/>
      <c r="L234" s="19">
        <f>SUM(F234:K234)</f>
        <v>2737862.44</v>
      </c>
      <c r="M234" s="8"/>
      <c r="N234" s="265"/>
    </row>
    <row r="235" spans="1:14" s="3" customFormat="1" ht="12.2" customHeight="1" x14ac:dyDescent="0.15">
      <c r="A235" s="1" t="s">
        <v>439</v>
      </c>
      <c r="B235" s="2" t="s">
        <v>350</v>
      </c>
      <c r="C235" s="2" t="s">
        <v>291</v>
      </c>
      <c r="D235" s="2" t="s">
        <v>431</v>
      </c>
      <c r="E235" s="6">
        <v>1200</v>
      </c>
      <c r="F235" s="18"/>
      <c r="G235" s="18"/>
      <c r="H235" s="18">
        <v>1265015.3400000001</v>
      </c>
      <c r="I235" s="18"/>
      <c r="J235" s="18"/>
      <c r="K235" s="18"/>
      <c r="L235" s="19">
        <f>SUM(F235:K235)</f>
        <v>1265015.3400000001</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24544.94</v>
      </c>
      <c r="I239" s="18"/>
      <c r="J239" s="18"/>
      <c r="K239" s="18"/>
      <c r="L239" s="19">
        <f t="shared" ref="L239:L245" si="4">SUM(F239:K239)</f>
        <v>24544.94</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v>0</v>
      </c>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249163.79</v>
      </c>
      <c r="I245" s="18"/>
      <c r="J245" s="18"/>
      <c r="K245" s="18"/>
      <c r="L245" s="19">
        <f t="shared" si="4"/>
        <v>249163.79</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4276586.51</v>
      </c>
      <c r="I248" s="41">
        <f t="shared" si="5"/>
        <v>0</v>
      </c>
      <c r="J248" s="41">
        <f t="shared" si="5"/>
        <v>0</v>
      </c>
      <c r="K248" s="41">
        <f t="shared" si="5"/>
        <v>0</v>
      </c>
      <c r="L248" s="41">
        <f t="shared" si="5"/>
        <v>4276586.51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v>3264.2</v>
      </c>
      <c r="I255" s="18"/>
      <c r="J255" s="18"/>
      <c r="K255" s="18"/>
      <c r="L255" s="19">
        <f t="shared" si="6"/>
        <v>3264.2</v>
      </c>
      <c r="M255" s="8"/>
      <c r="N255" s="265"/>
    </row>
    <row r="256" spans="1:14" s="3" customFormat="1" ht="12.2" customHeight="1" thickBot="1" x14ac:dyDescent="0.2">
      <c r="A256" s="1" t="s">
        <v>584</v>
      </c>
      <c r="B256" s="2" t="s">
        <v>352</v>
      </c>
      <c r="C256" s="6">
        <v>6</v>
      </c>
      <c r="D256" s="2" t="s">
        <v>431</v>
      </c>
      <c r="E256" s="6">
        <v>4000</v>
      </c>
      <c r="F256" s="18"/>
      <c r="G256" s="18"/>
      <c r="H256" s="18">
        <v>109610.19</v>
      </c>
      <c r="I256" s="18"/>
      <c r="J256" s="18"/>
      <c r="K256" s="18"/>
      <c r="L256" s="19">
        <f t="shared" si="6"/>
        <v>109610.19</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112874.39</v>
      </c>
      <c r="I257" s="41">
        <f t="shared" si="7"/>
        <v>0</v>
      </c>
      <c r="J257" s="41">
        <f t="shared" si="7"/>
        <v>0</v>
      </c>
      <c r="K257" s="41">
        <f t="shared" si="7"/>
        <v>0</v>
      </c>
      <c r="L257" s="41">
        <f>SUM(F257:K257)</f>
        <v>112874.39</v>
      </c>
      <c r="M257" s="8"/>
      <c r="N257" s="265"/>
    </row>
    <row r="258" spans="1:14" s="3" customFormat="1" ht="12.2" customHeight="1" thickTop="1" x14ac:dyDescent="0.15">
      <c r="A258" s="38" t="s">
        <v>462</v>
      </c>
      <c r="B258" s="40">
        <v>10</v>
      </c>
      <c r="C258" s="40">
        <v>8</v>
      </c>
      <c r="D258" s="39" t="s">
        <v>431</v>
      </c>
      <c r="E258" s="40"/>
      <c r="F258" s="41">
        <f t="shared" ref="F258:L258" si="8">F212+F230+F248+F257</f>
        <v>4668807.34</v>
      </c>
      <c r="G258" s="41">
        <f t="shared" si="8"/>
        <v>2537640.4900000002</v>
      </c>
      <c r="H258" s="41">
        <f t="shared" si="8"/>
        <v>6495021.6299999999</v>
      </c>
      <c r="I258" s="41">
        <f t="shared" si="8"/>
        <v>247670.91999999998</v>
      </c>
      <c r="J258" s="41">
        <f t="shared" si="8"/>
        <v>53052.28</v>
      </c>
      <c r="K258" s="41">
        <f t="shared" si="8"/>
        <v>15017.79</v>
      </c>
      <c r="L258" s="41">
        <f t="shared" si="8"/>
        <v>14017210.450000001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4668807.34</v>
      </c>
      <c r="G272" s="42">
        <f t="shared" si="11"/>
        <v>2537640.4900000002</v>
      </c>
      <c r="H272" s="42">
        <f t="shared" si="11"/>
        <v>6495021.6299999999</v>
      </c>
      <c r="I272" s="42">
        <f t="shared" si="11"/>
        <v>247670.91999999998</v>
      </c>
      <c r="J272" s="42">
        <f t="shared" si="11"/>
        <v>53052.28</v>
      </c>
      <c r="K272" s="42">
        <f t="shared" si="11"/>
        <v>15017.79</v>
      </c>
      <c r="L272" s="42">
        <f t="shared" si="11"/>
        <v>14017210.450000001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23529.919999999998</v>
      </c>
      <c r="G277" s="18">
        <v>4977.18</v>
      </c>
      <c r="H277" s="18">
        <v>0</v>
      </c>
      <c r="I277" s="18">
        <v>1962.19</v>
      </c>
      <c r="J277" s="18">
        <v>90503.55</v>
      </c>
      <c r="K277" s="18">
        <v>0</v>
      </c>
      <c r="L277" s="19">
        <f>SUM(F277:K277)</f>
        <v>120972.84</v>
      </c>
      <c r="M277" s="8"/>
      <c r="N277" s="265"/>
    </row>
    <row r="278" spans="1:14" s="3" customFormat="1" ht="12.2" customHeight="1" x14ac:dyDescent="0.15">
      <c r="A278" s="1" t="s">
        <v>439</v>
      </c>
      <c r="B278" s="2" t="s">
        <v>357</v>
      </c>
      <c r="C278" s="2" t="s">
        <v>291</v>
      </c>
      <c r="D278" s="2" t="s">
        <v>431</v>
      </c>
      <c r="E278" s="6">
        <v>1200</v>
      </c>
      <c r="F278" s="18">
        <f>286439.07+2240</f>
        <v>288679.07</v>
      </c>
      <c r="G278" s="18">
        <v>0</v>
      </c>
      <c r="H278" s="18">
        <v>0</v>
      </c>
      <c r="I278" s="18">
        <v>417.99</v>
      </c>
      <c r="J278" s="18">
        <v>7948.28</v>
      </c>
      <c r="K278" s="18">
        <v>0</v>
      </c>
      <c r="L278" s="19">
        <f>SUM(F278:K278)</f>
        <v>297045.34000000003</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-1390+15550</f>
        <v>14160</v>
      </c>
      <c r="G280" s="18">
        <v>3010.78</v>
      </c>
      <c r="H280" s="18">
        <v>0</v>
      </c>
      <c r="I280" s="18">
        <v>14694.26</v>
      </c>
      <c r="J280" s="18">
        <v>0</v>
      </c>
      <c r="K280" s="18">
        <v>0</v>
      </c>
      <c r="L280" s="19">
        <f>SUM(F280:K280)</f>
        <v>31865.040000000001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27725+2000+2000+21500+1273+17474.73</f>
        <v>71972.73</v>
      </c>
      <c r="G282" s="18">
        <v>12866.3</v>
      </c>
      <c r="H282" s="18">
        <v>13000</v>
      </c>
      <c r="I282" s="18">
        <v>0</v>
      </c>
      <c r="J282" s="18">
        <v>0</v>
      </c>
      <c r="K282" s="18">
        <v>0</v>
      </c>
      <c r="L282" s="19">
        <f t="shared" ref="L282:L288" si="12">SUM(F282:K282)</f>
        <v>97839.03</v>
      </c>
      <c r="M282" s="8"/>
      <c r="N282" s="265"/>
    </row>
    <row r="283" spans="1:14" s="3" customFormat="1" ht="12.2" customHeight="1" x14ac:dyDescent="0.15">
      <c r="A283" s="1" t="s">
        <v>443</v>
      </c>
      <c r="B283" s="2" t="s">
        <v>357</v>
      </c>
      <c r="C283" s="2" t="s">
        <v>295</v>
      </c>
      <c r="D283" s="2" t="s">
        <v>431</v>
      </c>
      <c r="E283" s="6">
        <v>2200</v>
      </c>
      <c r="F283" s="18">
        <v>0</v>
      </c>
      <c r="G283" s="18">
        <v>0</v>
      </c>
      <c r="H283" s="18">
        <v>0</v>
      </c>
      <c r="I283" s="18">
        <v>0</v>
      </c>
      <c r="J283" s="18">
        <v>0</v>
      </c>
      <c r="K283" s="18">
        <v>0</v>
      </c>
      <c r="L283" s="19">
        <f t="shared" si="12"/>
        <v>0</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5370.68</v>
      </c>
      <c r="L284" s="19">
        <f t="shared" si="12"/>
        <v>5370.68</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39.97</v>
      </c>
      <c r="J285" s="18">
        <v>0</v>
      </c>
      <c r="K285" s="18">
        <v>0</v>
      </c>
      <c r="L285" s="19">
        <f t="shared" si="12"/>
        <v>39.97</v>
      </c>
      <c r="M285" s="8"/>
      <c r="N285" s="265"/>
    </row>
    <row r="286" spans="1:14" s="3" customFormat="1" ht="12.2" customHeight="1" x14ac:dyDescent="0.15">
      <c r="A286" s="1" t="s">
        <v>446</v>
      </c>
      <c r="B286" s="2" t="s">
        <v>357</v>
      </c>
      <c r="C286" s="2" t="s">
        <v>298</v>
      </c>
      <c r="D286" s="2" t="s">
        <v>431</v>
      </c>
      <c r="E286" s="6">
        <v>2500</v>
      </c>
      <c r="F286" s="18"/>
      <c r="G286" s="18"/>
      <c r="H286" s="18">
        <v>0</v>
      </c>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1575</v>
      </c>
      <c r="I287" s="18">
        <v>396</v>
      </c>
      <c r="J287" s="18">
        <v>3989.7</v>
      </c>
      <c r="K287" s="18">
        <v>0</v>
      </c>
      <c r="L287" s="19">
        <f t="shared" si="12"/>
        <v>5960.7</v>
      </c>
      <c r="M287" s="8"/>
      <c r="N287" s="265"/>
    </row>
    <row r="288" spans="1:14" s="3" customFormat="1" ht="12.2" customHeight="1" x14ac:dyDescent="0.15">
      <c r="A288" s="1" t="s">
        <v>448</v>
      </c>
      <c r="B288" s="2" t="s">
        <v>357</v>
      </c>
      <c r="C288" s="2" t="s">
        <v>300</v>
      </c>
      <c r="D288" s="2" t="s">
        <v>431</v>
      </c>
      <c r="E288" s="6">
        <v>2700</v>
      </c>
      <c r="F288" s="18"/>
      <c r="G288" s="18"/>
      <c r="H288" s="18">
        <v>3840.92</v>
      </c>
      <c r="I288" s="18"/>
      <c r="J288" s="18"/>
      <c r="K288" s="18"/>
      <c r="L288" s="19">
        <f t="shared" si="12"/>
        <v>3840.92</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398341.72</v>
      </c>
      <c r="G291" s="42">
        <f t="shared" si="13"/>
        <v>20854.260000000002</v>
      </c>
      <c r="H291" s="42">
        <f t="shared" si="13"/>
        <v>18415.919999999998</v>
      </c>
      <c r="I291" s="42">
        <f t="shared" si="13"/>
        <v>17510.410000000003</v>
      </c>
      <c r="J291" s="42">
        <f t="shared" si="13"/>
        <v>102441.53</v>
      </c>
      <c r="K291" s="42">
        <f t="shared" si="13"/>
        <v>5370.68</v>
      </c>
      <c r="L291" s="41">
        <f t="shared" si="13"/>
        <v>562934.52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0</v>
      </c>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398341.72</v>
      </c>
      <c r="G339" s="41">
        <f t="shared" si="20"/>
        <v>20854.260000000002</v>
      </c>
      <c r="H339" s="41">
        <f t="shared" si="20"/>
        <v>18415.919999999998</v>
      </c>
      <c r="I339" s="41">
        <f t="shared" si="20"/>
        <v>17510.410000000003</v>
      </c>
      <c r="J339" s="41">
        <f t="shared" si="20"/>
        <v>102441.53</v>
      </c>
      <c r="K339" s="41">
        <f t="shared" si="20"/>
        <v>5370.68</v>
      </c>
      <c r="L339" s="41">
        <f t="shared" si="20"/>
        <v>562934.52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398341.72</v>
      </c>
      <c r="G353" s="41">
        <f>G339</f>
        <v>20854.260000000002</v>
      </c>
      <c r="H353" s="41">
        <f>H339</f>
        <v>18415.919999999998</v>
      </c>
      <c r="I353" s="41">
        <f>I339</f>
        <v>17510.410000000003</v>
      </c>
      <c r="J353" s="41">
        <f>J339</f>
        <v>102441.53</v>
      </c>
      <c r="K353" s="47">
        <f>K339+K352</f>
        <v>5370.68</v>
      </c>
      <c r="L353" s="41">
        <f>L339+L352</f>
        <v>562934.52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75399.38</v>
      </c>
      <c r="G359" s="18">
        <v>7171.46</v>
      </c>
      <c r="H359" s="18">
        <v>6959.3</v>
      </c>
      <c r="I359" s="18">
        <v>126565.64</v>
      </c>
      <c r="J359" s="18"/>
      <c r="K359" s="18">
        <v>700</v>
      </c>
      <c r="L359" s="13">
        <f>SUM(F359:K359)</f>
        <v>216795.78000000003</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75399.38</v>
      </c>
      <c r="G363" s="47">
        <f t="shared" si="22"/>
        <v>7171.46</v>
      </c>
      <c r="H363" s="47">
        <f t="shared" si="22"/>
        <v>6959.3</v>
      </c>
      <c r="I363" s="47">
        <f t="shared" si="22"/>
        <v>126565.64</v>
      </c>
      <c r="J363" s="47">
        <f t="shared" si="22"/>
        <v>0</v>
      </c>
      <c r="K363" s="47">
        <f t="shared" si="22"/>
        <v>700</v>
      </c>
      <c r="L363" s="47">
        <f t="shared" si="22"/>
        <v>216795.78000000003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116166.01</v>
      </c>
      <c r="G368" s="18"/>
      <c r="H368" s="18"/>
      <c r="I368" s="56">
        <f>SUM(F368:H368)</f>
        <v>116166.01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10399.629999999999</v>
      </c>
      <c r="G369" s="63"/>
      <c r="H369" s="63"/>
      <c r="I369" s="56">
        <f>SUM(F369:H369)</f>
        <v>10399.629999999999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126565.64</v>
      </c>
      <c r="G370" s="47">
        <f>SUM(G368:G369)</f>
        <v>0</v>
      </c>
      <c r="H370" s="47">
        <f>SUM(H368:H369)</f>
        <v>0</v>
      </c>
      <c r="I370" s="47">
        <f>SUM(I368:I369)</f>
        <v>126565.64</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0</v>
      </c>
      <c r="H390" s="18">
        <f>417.91-5733.57</f>
        <v>-5315.66</v>
      </c>
      <c r="I390" s="18"/>
      <c r="J390" s="24" t="s">
        <v>288</v>
      </c>
      <c r="K390" s="24" t="s">
        <v>288</v>
      </c>
      <c r="L390" s="56">
        <f t="shared" si="25"/>
        <v>-5315.66</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-5315.66</v>
      </c>
      <c r="I394" s="65">
        <f>SUM(I388:I393)</f>
        <v>0</v>
      </c>
      <c r="J394" s="45" t="s">
        <v>288</v>
      </c>
      <c r="K394" s="45" t="s">
        <v>288</v>
      </c>
      <c r="L394" s="47">
        <f>SUM(L388:L393)</f>
        <v>-5315.66</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f>0.32-4.18+573.73-7871.43</f>
        <v>-7301.56</v>
      </c>
      <c r="I397" s="18"/>
      <c r="J397" s="24" t="s">
        <v>288</v>
      </c>
      <c r="K397" s="24" t="s">
        <v>288</v>
      </c>
      <c r="L397" s="56">
        <f t="shared" si="26"/>
        <v>-7301.56</v>
      </c>
      <c r="M397" s="8"/>
      <c r="N397" s="265"/>
    </row>
    <row r="398" spans="1:14" s="3" customFormat="1" ht="12.2" customHeight="1" x14ac:dyDescent="0.15">
      <c r="A398" s="79" t="s">
        <v>515</v>
      </c>
      <c r="B398" s="2" t="s">
        <v>381</v>
      </c>
      <c r="C398" s="6">
        <v>10</v>
      </c>
      <c r="D398" s="2" t="s">
        <v>432</v>
      </c>
      <c r="E398" s="6"/>
      <c r="F398" s="18"/>
      <c r="G398" s="18"/>
      <c r="H398" s="18">
        <f>364.85-5005.5</f>
        <v>-4640.6499999999996</v>
      </c>
      <c r="I398" s="18"/>
      <c r="J398" s="24" t="s">
        <v>288</v>
      </c>
      <c r="K398" s="24" t="s">
        <v>288</v>
      </c>
      <c r="L398" s="56">
        <f t="shared" si="26"/>
        <v>-4640.6499999999996</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f>35.13-482.03</f>
        <v>-446.9</v>
      </c>
      <c r="I400" s="18"/>
      <c r="J400" s="24" t="s">
        <v>288</v>
      </c>
      <c r="K400" s="24" t="s">
        <v>288</v>
      </c>
      <c r="L400" s="56">
        <f t="shared" si="26"/>
        <v>-446.9</v>
      </c>
      <c r="M400" s="8"/>
      <c r="N400" s="265"/>
    </row>
    <row r="401" spans="1:21" s="3" customFormat="1" ht="12.2" customHeight="1" thickBot="1" x14ac:dyDescent="0.2">
      <c r="A401" s="79" t="s">
        <v>510</v>
      </c>
      <c r="B401" s="2" t="s">
        <v>381</v>
      </c>
      <c r="C401" s="6">
        <v>13</v>
      </c>
      <c r="D401" s="2" t="s">
        <v>432</v>
      </c>
      <c r="E401" s="6"/>
      <c r="F401" s="18"/>
      <c r="G401" s="18"/>
      <c r="H401" s="18">
        <f>122.43-1679.73+0.47-6.28</f>
        <v>-1563.11</v>
      </c>
      <c r="I401" s="18"/>
      <c r="J401" s="24" t="s">
        <v>288</v>
      </c>
      <c r="K401" s="24" t="s">
        <v>288</v>
      </c>
      <c r="L401" s="56">
        <f t="shared" si="26"/>
        <v>-1563.11</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-13952.22</v>
      </c>
      <c r="I402" s="47">
        <f>SUM(I396:I401)</f>
        <v>0</v>
      </c>
      <c r="J402" s="45" t="s">
        <v>288</v>
      </c>
      <c r="K402" s="45" t="s">
        <v>288</v>
      </c>
      <c r="L402" s="47">
        <f>SUM(L396:L401)</f>
        <v>-13952.22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-19267.879999999997</v>
      </c>
      <c r="I409" s="47">
        <f>I394+I402+I408</f>
        <v>0</v>
      </c>
      <c r="J409" s="24" t="s">
        <v>288</v>
      </c>
      <c r="K409" s="24" t="s">
        <v>288</v>
      </c>
      <c r="L409" s="47">
        <f>L394+L402+L408</f>
        <v>-19267.879999999997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109610.19</v>
      </c>
      <c r="I416" s="18"/>
      <c r="J416" s="18"/>
      <c r="K416" s="18">
        <v>0</v>
      </c>
      <c r="L416" s="56">
        <f t="shared" si="27"/>
        <v>109610.19</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109610.19</v>
      </c>
      <c r="I420" s="139">
        <f t="shared" si="28"/>
        <v>0</v>
      </c>
      <c r="J420" s="139">
        <f t="shared" si="28"/>
        <v>0</v>
      </c>
      <c r="K420" s="139">
        <f t="shared" si="28"/>
        <v>0</v>
      </c>
      <c r="L420" s="47">
        <f t="shared" si="28"/>
        <v>109610.19</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109610.19</v>
      </c>
      <c r="I435" s="47">
        <f t="shared" si="32"/>
        <v>0</v>
      </c>
      <c r="J435" s="47">
        <f t="shared" si="32"/>
        <v>0</v>
      </c>
      <c r="K435" s="47">
        <f t="shared" si="32"/>
        <v>0</v>
      </c>
      <c r="L435" s="47">
        <f t="shared" si="32"/>
        <v>109610.19</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134722.20000000001</v>
      </c>
      <c r="G442" s="18">
        <v>641310.35</v>
      </c>
      <c r="H442" s="18"/>
      <c r="I442" s="56">
        <f t="shared" si="33"/>
        <v>776032.55</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134722.20000000001</v>
      </c>
      <c r="G447" s="13">
        <f>SUM(G440:G446)</f>
        <v>641310.35</v>
      </c>
      <c r="H447" s="13">
        <f>SUM(H440:H446)</f>
        <v>0</v>
      </c>
      <c r="I447" s="13">
        <f>SUM(I440:I446)</f>
        <v>776032.55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134722.20000000001</v>
      </c>
      <c r="G460" s="18">
        <v>641310.35</v>
      </c>
      <c r="H460" s="18"/>
      <c r="I460" s="56">
        <f t="shared" si="34"/>
        <v>776032.55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134722.20000000001</v>
      </c>
      <c r="G461" s="83">
        <f>SUM(G455:G460)</f>
        <v>641310.35</v>
      </c>
      <c r="H461" s="83">
        <f>SUM(H455:H460)</f>
        <v>0</v>
      </c>
      <c r="I461" s="83">
        <f>SUM(I455:I460)</f>
        <v>776032.55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134722.20000000001</v>
      </c>
      <c r="G462" s="42">
        <f>G453+G461</f>
        <v>641310.35</v>
      </c>
      <c r="H462" s="42">
        <f>H453+H461</f>
        <v>0</v>
      </c>
      <c r="I462" s="42">
        <f>I453+I461</f>
        <v>776032.55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1123026.43</v>
      </c>
      <c r="G466" s="18">
        <v>600</v>
      </c>
      <c r="H466" s="18">
        <v>2811.77</v>
      </c>
      <c r="I466" s="18"/>
      <c r="J466" s="18">
        <v>906245.45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14047098.96-286439.07</f>
        <v>13760659.890000001</v>
      </c>
      <c r="G469" s="18">
        <f>320261.87</f>
        <v>320261.87</v>
      </c>
      <c r="H469" s="18">
        <f>279136.14+286439.07</f>
        <v>565575.21</v>
      </c>
      <c r="I469" s="18"/>
      <c r="J469" s="18">
        <f>-19267.88</f>
        <v>-19267.88</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-1334.83</v>
      </c>
      <c r="K470" s="24" t="s">
        <v>288</v>
      </c>
      <c r="L470" s="24" t="s">
        <v>288</v>
      </c>
      <c r="N470" s="264"/>
    </row>
    <row r="471" spans="1:14" s="52" customFormat="1" ht="12.2" customHeight="1" x14ac:dyDescent="0.2">
      <c r="A471" s="92" t="s">
        <v>425</v>
      </c>
      <c r="B471" s="75">
        <v>19</v>
      </c>
      <c r="C471" s="80">
        <v>4</v>
      </c>
      <c r="D471" s="2" t="s">
        <v>432</v>
      </c>
      <c r="E471" s="80"/>
      <c r="F471" s="53">
        <f>SUM(F469:F470)</f>
        <v>13760659.890000001</v>
      </c>
      <c r="G471" s="53">
        <f>SUM(G469:G470)</f>
        <v>320261.87</v>
      </c>
      <c r="H471" s="53">
        <f>SUM(H469:H470)</f>
        <v>565575.21</v>
      </c>
      <c r="I471" s="53">
        <f>SUM(I469:I470)</f>
        <v>0</v>
      </c>
      <c r="J471" s="53">
        <f>SUM(J469:J470)</f>
        <v>-20602.71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14303649.52-286439.07</f>
        <v>14017210.449999999</v>
      </c>
      <c r="G473" s="18">
        <v>216795.78</v>
      </c>
      <c r="H473" s="18">
        <f>286439.07+276495.45</f>
        <v>562934.52</v>
      </c>
      <c r="I473" s="18"/>
      <c r="J473" s="18">
        <v>109610.19</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14017210.449999999</v>
      </c>
      <c r="G475" s="53">
        <f>SUM(G473:G474)</f>
        <v>216795.78</v>
      </c>
      <c r="H475" s="53">
        <f>SUM(H473:H474)</f>
        <v>562934.52</v>
      </c>
      <c r="I475" s="53">
        <f>SUM(I473:I474)</f>
        <v>0</v>
      </c>
      <c r="J475" s="53">
        <f>SUM(J473:J474)</f>
        <v>109610.19</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866475.87000000104</v>
      </c>
      <c r="G477" s="53">
        <f>(G466+G471)- G475</f>
        <v>104066.09</v>
      </c>
      <c r="H477" s="53">
        <f>(H466+H471)- H475</f>
        <v>5452.4599999999627</v>
      </c>
      <c r="I477" s="53">
        <f>(I466+I471)- I475</f>
        <v>0</v>
      </c>
      <c r="J477" s="53">
        <f>(J466+J471)- J475</f>
        <v>776032.55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F199</f>
        <v>1083834.69</v>
      </c>
      <c r="G522" s="18">
        <f t="shared" ref="G522:K522" si="36">G199</f>
        <v>701229.57</v>
      </c>
      <c r="H522" s="18">
        <f t="shared" si="36"/>
        <v>405470.68000000005</v>
      </c>
      <c r="I522" s="18">
        <f t="shared" si="36"/>
        <v>4853.4799999999996</v>
      </c>
      <c r="J522" s="18">
        <f t="shared" si="36"/>
        <v>3335.67</v>
      </c>
      <c r="K522" s="18">
        <f t="shared" si="36"/>
        <v>0</v>
      </c>
      <c r="L522" s="88">
        <f>SUM(F522:K522)</f>
        <v>2198724.09</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f>F235</f>
        <v>0</v>
      </c>
      <c r="G524" s="18">
        <f t="shared" ref="G524:K524" si="37">G235</f>
        <v>0</v>
      </c>
      <c r="H524" s="18">
        <f t="shared" si="37"/>
        <v>1265015.3400000001</v>
      </c>
      <c r="I524" s="18">
        <f t="shared" si="37"/>
        <v>0</v>
      </c>
      <c r="J524" s="18">
        <f t="shared" si="37"/>
        <v>0</v>
      </c>
      <c r="K524" s="18">
        <f t="shared" si="37"/>
        <v>0</v>
      </c>
      <c r="L524" s="88">
        <f>SUM(F524:K524)</f>
        <v>1265015.3400000001</v>
      </c>
      <c r="N524" s="264"/>
    </row>
    <row r="525" spans="1:14" s="52" customFormat="1" ht="12.2" customHeight="1" thickTop="1" x14ac:dyDescent="0.2">
      <c r="A525" s="139" t="s">
        <v>63</v>
      </c>
      <c r="B525" s="107">
        <v>21</v>
      </c>
      <c r="C525" s="194">
        <v>4</v>
      </c>
      <c r="D525" s="195" t="s">
        <v>432</v>
      </c>
      <c r="E525" s="194"/>
      <c r="F525" s="108">
        <f>SUM(F522:F524)</f>
        <v>1083834.69</v>
      </c>
      <c r="G525" s="108">
        <f t="shared" ref="G525:L525" si="38">SUM(G522:G524)</f>
        <v>701229.57</v>
      </c>
      <c r="H525" s="108">
        <f t="shared" si="38"/>
        <v>1670486.02</v>
      </c>
      <c r="I525" s="108">
        <f t="shared" si="38"/>
        <v>4853.4799999999996</v>
      </c>
      <c r="J525" s="108">
        <f t="shared" si="38"/>
        <v>3335.67</v>
      </c>
      <c r="K525" s="108">
        <f t="shared" si="38"/>
        <v>0</v>
      </c>
      <c r="L525" s="89">
        <f t="shared" si="38"/>
        <v>3463739.4299999997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f>H203</f>
        <v>310513.95</v>
      </c>
      <c r="I527" s="18"/>
      <c r="J527" s="18"/>
      <c r="K527" s="18"/>
      <c r="L527" s="88">
        <f>SUM(F527:K527)</f>
        <v>310513.95</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f>H239</f>
        <v>24544.94</v>
      </c>
      <c r="I529" s="18"/>
      <c r="J529" s="18"/>
      <c r="K529" s="18"/>
      <c r="L529" s="88">
        <f>SUM(F529:K529)</f>
        <v>24544.94</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9">SUM(G527:G529)</f>
        <v>0</v>
      </c>
      <c r="H530" s="89">
        <f t="shared" si="39"/>
        <v>335058.89</v>
      </c>
      <c r="I530" s="89">
        <f t="shared" si="39"/>
        <v>0</v>
      </c>
      <c r="J530" s="89">
        <f t="shared" si="39"/>
        <v>0</v>
      </c>
      <c r="K530" s="89">
        <f t="shared" si="39"/>
        <v>0</v>
      </c>
      <c r="L530" s="89">
        <f t="shared" si="39"/>
        <v>335058.89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19208.64</v>
      </c>
      <c r="G532" s="18">
        <v>9514.23</v>
      </c>
      <c r="H532" s="18"/>
      <c r="I532" s="18"/>
      <c r="J532" s="18"/>
      <c r="K532" s="18"/>
      <c r="L532" s="88">
        <f>SUM(F532:K532)</f>
        <v>28722.87</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4802.16</v>
      </c>
      <c r="G534" s="18">
        <v>2378.56</v>
      </c>
      <c r="H534" s="18"/>
      <c r="I534" s="18"/>
      <c r="J534" s="18"/>
      <c r="K534" s="18"/>
      <c r="L534" s="88">
        <f>SUM(F534:K534)</f>
        <v>7180.7199999999993</v>
      </c>
      <c r="M534" s="8"/>
      <c r="N534" s="265"/>
    </row>
    <row r="535" spans="1:14" s="3" customFormat="1" ht="12.2" customHeight="1" thickTop="1" x14ac:dyDescent="0.15">
      <c r="A535" s="139" t="s">
        <v>67</v>
      </c>
      <c r="B535" s="107">
        <v>21</v>
      </c>
      <c r="C535" s="107">
        <v>12</v>
      </c>
      <c r="D535" s="158" t="s">
        <v>432</v>
      </c>
      <c r="E535" s="107"/>
      <c r="F535" s="89">
        <f>SUM(F532:F534)</f>
        <v>24010.799999999999</v>
      </c>
      <c r="G535" s="89">
        <f t="shared" ref="G535:L535" si="40">SUM(G532:G534)</f>
        <v>11892.789999999999</v>
      </c>
      <c r="H535" s="89">
        <f t="shared" si="40"/>
        <v>0</v>
      </c>
      <c r="I535" s="89">
        <f t="shared" si="40"/>
        <v>0</v>
      </c>
      <c r="J535" s="89">
        <f t="shared" si="40"/>
        <v>0</v>
      </c>
      <c r="K535" s="89">
        <f t="shared" si="40"/>
        <v>0</v>
      </c>
      <c r="L535" s="89">
        <f t="shared" si="40"/>
        <v>35903.589999999997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191625.87</f>
        <v>191625.87</v>
      </c>
      <c r="I542" s="18"/>
      <c r="J542" s="18"/>
      <c r="K542" s="18"/>
      <c r="L542" s="88">
        <f>SUM(F542:K542)</f>
        <v>191625.87</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119846.36</v>
      </c>
      <c r="I544" s="18"/>
      <c r="J544" s="18"/>
      <c r="K544" s="18"/>
      <c r="L544" s="88">
        <f>SUM(F544:K544)</f>
        <v>119846.36</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2">SUM(G542:G544)</f>
        <v>0</v>
      </c>
      <c r="H545" s="192">
        <f t="shared" si="42"/>
        <v>311472.23</v>
      </c>
      <c r="I545" s="192">
        <f t="shared" si="42"/>
        <v>0</v>
      </c>
      <c r="J545" s="192">
        <f t="shared" si="42"/>
        <v>0</v>
      </c>
      <c r="K545" s="192">
        <f t="shared" si="42"/>
        <v>0</v>
      </c>
      <c r="L545" s="192">
        <f t="shared" si="42"/>
        <v>311472.23</v>
      </c>
      <c r="M545" s="8"/>
      <c r="N545" s="265"/>
    </row>
    <row r="546" spans="1:14" s="3" customFormat="1" ht="12.2" customHeight="1" thickTop="1" x14ac:dyDescent="0.15">
      <c r="A546" s="98" t="s">
        <v>72</v>
      </c>
      <c r="B546" s="107">
        <v>21</v>
      </c>
      <c r="C546" s="107">
        <v>21</v>
      </c>
      <c r="D546" s="158" t="s">
        <v>432</v>
      </c>
      <c r="E546" s="107"/>
      <c r="F546" s="89">
        <f>F525+F530+F535+F540+F545</f>
        <v>1107845.49</v>
      </c>
      <c r="G546" s="89">
        <f t="shared" ref="G546:L546" si="43">G525+G530+G535+G540+G545</f>
        <v>713122.36</v>
      </c>
      <c r="H546" s="89">
        <f t="shared" si="43"/>
        <v>2317017.14</v>
      </c>
      <c r="I546" s="89">
        <f t="shared" si="43"/>
        <v>4853.4799999999996</v>
      </c>
      <c r="J546" s="89">
        <f t="shared" si="43"/>
        <v>3335.67</v>
      </c>
      <c r="K546" s="89">
        <f t="shared" si="43"/>
        <v>0</v>
      </c>
      <c r="L546" s="89">
        <f t="shared" si="43"/>
        <v>4146174.1399999997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2198724.09</v>
      </c>
      <c r="G550" s="87">
        <f>L527</f>
        <v>310513.95</v>
      </c>
      <c r="H550" s="87">
        <f>L532</f>
        <v>28722.87</v>
      </c>
      <c r="I550" s="87">
        <f>L537</f>
        <v>0</v>
      </c>
      <c r="J550" s="87">
        <f>L542</f>
        <v>191625.87</v>
      </c>
      <c r="K550" s="87">
        <f>SUM(F550:J550)</f>
        <v>2729586.7800000003</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1265015.3400000001</v>
      </c>
      <c r="G552" s="87">
        <f>L529</f>
        <v>24544.94</v>
      </c>
      <c r="H552" s="87">
        <f>L534</f>
        <v>7180.7199999999993</v>
      </c>
      <c r="I552" s="87">
        <f>L539</f>
        <v>0</v>
      </c>
      <c r="J552" s="87">
        <f>L544</f>
        <v>119846.36</v>
      </c>
      <c r="K552" s="87">
        <f>SUM(F552:J552)</f>
        <v>1416587.36</v>
      </c>
      <c r="L552" s="24" t="s">
        <v>288</v>
      </c>
      <c r="M552" s="8"/>
      <c r="N552" s="265"/>
    </row>
    <row r="553" spans="1:14" s="3" customFormat="1" ht="12.2" customHeight="1" thickTop="1" x14ac:dyDescent="0.15">
      <c r="A553" s="172" t="s">
        <v>340</v>
      </c>
      <c r="B553" s="44">
        <v>21</v>
      </c>
      <c r="C553" s="44">
        <v>25</v>
      </c>
      <c r="D553" s="39" t="s">
        <v>432</v>
      </c>
      <c r="E553" s="44"/>
      <c r="F553" s="89">
        <f t="shared" ref="F553:K553" si="44">SUM(F550:F552)</f>
        <v>3463739.4299999997</v>
      </c>
      <c r="G553" s="89">
        <f t="shared" si="44"/>
        <v>335058.89</v>
      </c>
      <c r="H553" s="89">
        <f t="shared" si="44"/>
        <v>35903.589999999997</v>
      </c>
      <c r="I553" s="89">
        <f t="shared" si="44"/>
        <v>0</v>
      </c>
      <c r="J553" s="89">
        <f t="shared" si="44"/>
        <v>311472.23</v>
      </c>
      <c r="K553" s="89">
        <f t="shared" si="44"/>
        <v>4146174.1400000006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7">SUM(G568:G570)</f>
        <v>0</v>
      </c>
      <c r="H571" s="192">
        <f t="shared" si="47"/>
        <v>0</v>
      </c>
      <c r="I571" s="192">
        <f t="shared" si="47"/>
        <v>0</v>
      </c>
      <c r="J571" s="192">
        <f t="shared" si="47"/>
        <v>0</v>
      </c>
      <c r="K571" s="192">
        <f t="shared" si="47"/>
        <v>0</v>
      </c>
      <c r="L571" s="192">
        <f t="shared" si="47"/>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2737862.44</v>
      </c>
      <c r="I576" s="87">
        <f>SUM(F576:H576)</f>
        <v>2737862.44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91230.18</v>
      </c>
      <c r="G580" s="18"/>
      <c r="H580" s="18">
        <v>1021890.85</v>
      </c>
      <c r="I580" s="87">
        <f t="shared" si="49"/>
        <v>1113121.03</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247546.59</v>
      </c>
      <c r="G583" s="18"/>
      <c r="H583" s="18">
        <v>220192.6</v>
      </c>
      <c r="I583" s="87">
        <f t="shared" si="49"/>
        <v>467739.19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9"/>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334176.9</f>
        <v>334176.90000000002</v>
      </c>
      <c r="I592" s="18"/>
      <c r="J592" s="18">
        <v>129317.43</v>
      </c>
      <c r="K592" s="104">
        <f t="shared" ref="K592:K598" si="50">SUM(H592:J592)</f>
        <v>463494.33</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191625.87</v>
      </c>
      <c r="I593" s="18"/>
      <c r="J593" s="18">
        <v>119846.36</v>
      </c>
      <c r="K593" s="104">
        <f t="shared" si="50"/>
        <v>311472.23</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50"/>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50"/>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4846.95</v>
      </c>
      <c r="I596" s="18"/>
      <c r="J596" s="18"/>
      <c r="K596" s="104">
        <f t="shared" si="50"/>
        <v>4846.95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530649.72</v>
      </c>
      <c r="I599" s="108">
        <f>SUM(I592:I598)</f>
        <v>0</v>
      </c>
      <c r="J599" s="108">
        <f>SUM(J592:J598)</f>
        <v>249163.78999999998</v>
      </c>
      <c r="K599" s="108">
        <f>SUM(K592:K598)</f>
        <v>779813.51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J212+J248+J291+J329</f>
        <v>155493.81</v>
      </c>
      <c r="I605" s="18"/>
      <c r="J605" s="18"/>
      <c r="K605" s="104">
        <f>SUM(H605:J605)</f>
        <v>155493.81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155493.81</v>
      </c>
      <c r="I606" s="108">
        <f>SUM(I603:I605)</f>
        <v>0</v>
      </c>
      <c r="J606" s="108">
        <f>SUM(J603:J605)</f>
        <v>0</v>
      </c>
      <c r="K606" s="108">
        <f>SUM(K603:K605)</f>
        <v>155493.81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3734442.06</v>
      </c>
      <c r="H618" s="109">
        <f>SUM(F52)</f>
        <v>3734442.06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123814.76</v>
      </c>
      <c r="H619" s="109">
        <f>SUM(G52)</f>
        <v>123814.76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121794.09</v>
      </c>
      <c r="H620" s="109">
        <f>SUM(H52)</f>
        <v>121794.09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776032.55</v>
      </c>
      <c r="H622" s="109">
        <f>SUM(J52)</f>
        <v>776032.55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866475.87</v>
      </c>
      <c r="H623" s="109">
        <f>F477</f>
        <v>866475.87000000104</v>
      </c>
      <c r="I623" s="121" t="s">
        <v>101</v>
      </c>
      <c r="J623" s="109">
        <f t="shared" ref="J623:J656" si="52">G623-H623</f>
        <v>-1.0477378964424133E-9</v>
      </c>
      <c r="K623" s="109"/>
      <c r="L623" s="109"/>
      <c r="M623" s="8"/>
    </row>
    <row r="624" spans="1:14" s="3" customFormat="1" ht="12.2" customHeight="1" x14ac:dyDescent="0.15">
      <c r="A624" s="97"/>
      <c r="B624" s="105"/>
      <c r="C624" s="119"/>
      <c r="D624" s="119"/>
      <c r="E624" s="119"/>
      <c r="F624" s="119" t="s">
        <v>866</v>
      </c>
      <c r="G624" s="109">
        <f>G51</f>
        <v>104066.09</v>
      </c>
      <c r="H624" s="109">
        <f>G477</f>
        <v>104066.09</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5452.46</v>
      </c>
      <c r="H625" s="109">
        <f>H477</f>
        <v>5452.4599999999627</v>
      </c>
      <c r="I625" s="121" t="s">
        <v>103</v>
      </c>
      <c r="J625" s="109">
        <f t="shared" si="52"/>
        <v>3.7289282772690058E-11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776032.55</v>
      </c>
      <c r="H627" s="109">
        <f>J477</f>
        <v>776032.55</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13760659.889999999</v>
      </c>
      <c r="H628" s="104">
        <f>SUM(F469)</f>
        <v>13760659.890000001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320261.87</v>
      </c>
      <c r="H629" s="104">
        <f>SUM(G469)</f>
        <v>320261.87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565575.21</v>
      </c>
      <c r="H630" s="104">
        <f>SUM(H469)</f>
        <v>565575.21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-19267.88</v>
      </c>
      <c r="H632" s="104">
        <f>SUM(J469)</f>
        <v>-19267.88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14017210.450000001</v>
      </c>
      <c r="H633" s="104">
        <f>SUM(F473)</f>
        <v>14017210.449999999</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562934.52</v>
      </c>
      <c r="H634" s="104">
        <f>SUM(H473)</f>
        <v>562934.52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126565.64</v>
      </c>
      <c r="H635" s="104">
        <f>I370</f>
        <v>126565.64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216795.78000000003</v>
      </c>
      <c r="H636" s="104">
        <f>SUM(G473)</f>
        <v>216795.78</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-19267.879999999997</v>
      </c>
      <c r="H638" s="164">
        <f>SUM(J469)</f>
        <v>-19267.88</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109610.19</v>
      </c>
      <c r="H639" s="164">
        <f>SUM(J473)</f>
        <v>109610.19</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134722.20000000001</v>
      </c>
      <c r="H640" s="104">
        <f>SUM(F462)</f>
        <v>134722.20000000001</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641310.35</v>
      </c>
      <c r="H641" s="104">
        <f>SUM(G462)</f>
        <v>641310.35</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776032.55</v>
      </c>
      <c r="H643" s="104">
        <f>SUM(I462)</f>
        <v>776032.55</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-19267.88</v>
      </c>
      <c r="H645" s="104">
        <f>H409</f>
        <v>-19267.879999999997</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-19267.88</v>
      </c>
      <c r="H647" s="104">
        <f>L409</f>
        <v>-19267.879999999997</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779813.51</v>
      </c>
      <c r="H648" s="104">
        <f>L209+L227+L245</f>
        <v>779813.51</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155493.81</v>
      </c>
      <c r="H649" s="104">
        <f>(J258+J339)-(J256+J337)</f>
        <v>155493.81</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530649.72</v>
      </c>
      <c r="H650" s="104">
        <f>H599</f>
        <v>530649.72</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249163.79</v>
      </c>
      <c r="H652" s="104">
        <f>J599</f>
        <v>249163.78999999998</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10407479.85</v>
      </c>
      <c r="G661" s="19">
        <f>(L230+L310+L360)</f>
        <v>0</v>
      </c>
      <c r="H661" s="19">
        <f>(L248+L329+L361)</f>
        <v>4276586.51</v>
      </c>
      <c r="I661" s="19">
        <f>SUM(F661:H661)</f>
        <v>14684066.359999999</v>
      </c>
      <c r="J661" s="13"/>
      <c r="K661" s="13"/>
      <c r="L661" s="13"/>
      <c r="M661" s="9"/>
    </row>
    <row r="662" spans="1:13" s="3" customFormat="1" ht="12.2" customHeight="1" x14ac:dyDescent="0.2">
      <c r="A662" s="1" t="s">
        <v>127</v>
      </c>
      <c r="F662" s="19">
        <f>(L359/IF(SUM(L359:L361)=0,1,SUM(L359:L361))*(SUM(G97:G110)))</f>
        <v>11779.3</v>
      </c>
      <c r="G662" s="19">
        <f>(L360/IF(SUM(L359:L361)=0,1,SUM(L359:L361))*(SUM(G97:G110)))</f>
        <v>0</v>
      </c>
      <c r="H662" s="19">
        <f>(L361/IF(SUM(L359:L361)=0,1,SUM(L359:L361))*(SUM(G97:G110)))</f>
        <v>0</v>
      </c>
      <c r="I662" s="19">
        <f>SUM(F662:H662)</f>
        <v>11779.3</v>
      </c>
      <c r="J662"/>
      <c r="K662" s="13"/>
      <c r="L662" s="13"/>
      <c r="M662" s="8"/>
    </row>
    <row r="663" spans="1:13" s="3" customFormat="1" ht="12.2" customHeight="1" x14ac:dyDescent="0.2">
      <c r="A663" s="1" t="s">
        <v>128</v>
      </c>
      <c r="F663" s="19">
        <f>(L209+L288)-(J209+J288)</f>
        <v>534490.64</v>
      </c>
      <c r="G663" s="19">
        <f>(L227+L307)-(J227+J307)</f>
        <v>0</v>
      </c>
      <c r="H663" s="19">
        <f>(L245+L326)-(J245+J326)</f>
        <v>249163.79</v>
      </c>
      <c r="I663" s="19">
        <f>SUM(F663:H663)</f>
        <v>783654.43</v>
      </c>
      <c r="J663"/>
      <c r="K663" s="13"/>
      <c r="L663" s="13"/>
      <c r="M663" s="9"/>
    </row>
    <row r="664" spans="1:13" s="3" customFormat="1" ht="12.2" customHeight="1" x14ac:dyDescent="0.15">
      <c r="A664" s="197" t="s">
        <v>129</v>
      </c>
      <c r="B664" s="169"/>
      <c r="C664" s="169"/>
      <c r="D664" s="169"/>
      <c r="E664" s="169"/>
      <c r="F664" s="198">
        <f>SUM(F576:F588)+SUM(H603:H605)+SUM(L612)</f>
        <v>494270.58</v>
      </c>
      <c r="G664" s="198">
        <f>SUM(G576:G588)+SUM(I603:I605)+L613</f>
        <v>0</v>
      </c>
      <c r="H664" s="198">
        <f>SUM(H576:H588)+SUM(J603:J605)+L614</f>
        <v>3979945.89</v>
      </c>
      <c r="I664" s="19">
        <f>SUM(F664:H664)</f>
        <v>4474216.47</v>
      </c>
      <c r="J664" s="13"/>
      <c r="K664" s="13"/>
      <c r="L664" s="13"/>
      <c r="M664" s="9"/>
    </row>
    <row r="665" spans="1:13" s="3" customFormat="1" ht="12.2" customHeight="1" x14ac:dyDescent="0.15">
      <c r="A665" s="1" t="s">
        <v>130</v>
      </c>
      <c r="F665" s="19">
        <f>F661-SUM(F662:F664)</f>
        <v>9366939.3300000001</v>
      </c>
      <c r="G665" s="19">
        <f>G661-SUM(G662:G664)</f>
        <v>0</v>
      </c>
      <c r="H665" s="19">
        <f>H661-SUM(H662:H664)</f>
        <v>47476.830000000075</v>
      </c>
      <c r="I665" s="19">
        <f>I661-SUM(I662:I664)</f>
        <v>9414416.1600000001</v>
      </c>
      <c r="J665" s="13"/>
      <c r="K665" s="13"/>
      <c r="L665" s="13"/>
      <c r="M665" s="8"/>
    </row>
    <row r="666" spans="1:13" s="3" customFormat="1" ht="12.2" customHeight="1" x14ac:dyDescent="0.2">
      <c r="A666" s="1" t="s">
        <v>131</v>
      </c>
      <c r="F666" s="245">
        <v>490.27</v>
      </c>
      <c r="G666" s="246"/>
      <c r="H666" s="246"/>
      <c r="I666" s="19">
        <f>SUM(F666:H666)</f>
        <v>490.27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19105.68</v>
      </c>
      <c r="G668" s="19" t="e">
        <f>ROUND(G665/G666,2)</f>
        <v>#DIV/0!</v>
      </c>
      <c r="H668" s="19" t="e">
        <f>ROUND(H665/H666,2)</f>
        <v>#DIV/0!</v>
      </c>
      <c r="I668" s="19">
        <f>ROUND(I665/I666,2)</f>
        <v>19202.509999999998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-47476.83</v>
      </c>
      <c r="I670" s="19">
        <f>SUM(F670:H670)</f>
        <v>-47476.83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19105.68</v>
      </c>
      <c r="G673" s="19" t="e">
        <f>ROUND((G665+G670)/(G666+G671),2)</f>
        <v>#DIV/0!</v>
      </c>
      <c r="H673" s="19" t="e">
        <f>ROUND((H665+H670)/(H666+H671),2)</f>
        <v>#DIV/0!</v>
      </c>
      <c r="I673" s="19">
        <f>ROUND((I665+I670)/(I666+I671),2)</f>
        <v>19105.68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5" sqref="C25"/>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47711.92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25156.68</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v>22555.24</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Deerfield</v>
      </c>
      <c r="C5" s="375"/>
      <c r="D5" s="375"/>
      <c r="E5" s="375"/>
      <c r="F5" s="375"/>
    </row>
    <row r="8" spans="1:9" ht="18" x14ac:dyDescent="0.25">
      <c r="A8" s="312" t="s">
        <v>1568</v>
      </c>
      <c r="F8" s="319" t="s">
        <v>1586</v>
      </c>
    </row>
    <row r="9" spans="1:9" ht="15" x14ac:dyDescent="0.2">
      <c r="A9" s="310" t="s">
        <v>1569</v>
      </c>
      <c r="B9" s="313">
        <f>'DOE25'!G97</f>
        <v>11779.3</v>
      </c>
      <c r="F9" s="310" t="s">
        <v>1582</v>
      </c>
    </row>
    <row r="10" spans="1:9" ht="15" x14ac:dyDescent="0.2">
      <c r="A10" s="310" t="s">
        <v>1570</v>
      </c>
      <c r="B10" s="313">
        <f>'DOE25'!G112-'DOE25'!G97</f>
        <v>0</v>
      </c>
      <c r="F10" s="310" t="s">
        <v>1583</v>
      </c>
    </row>
    <row r="11" spans="1:9" ht="15" x14ac:dyDescent="0.2">
      <c r="A11" s="310" t="s">
        <v>1571</v>
      </c>
      <c r="B11" s="313">
        <f>'DOE25'!G140</f>
        <v>700.68</v>
      </c>
      <c r="F11" s="310" t="s">
        <v>1584</v>
      </c>
    </row>
    <row r="12" spans="1:9" ht="15" x14ac:dyDescent="0.2">
      <c r="A12" s="310" t="s">
        <v>1572</v>
      </c>
      <c r="B12" s="313">
        <f>'DOE25'!G170</f>
        <v>307781.89</v>
      </c>
      <c r="F12" s="310" t="s">
        <v>1585</v>
      </c>
    </row>
    <row r="13" spans="1:9" ht="15" x14ac:dyDescent="0.2">
      <c r="A13" s="310" t="s">
        <v>1573</v>
      </c>
      <c r="B13" s="313">
        <f>'DOE25'!G193-'DOE25'!G180</f>
        <v>0</v>
      </c>
      <c r="F13" s="310" t="s">
        <v>1595</v>
      </c>
    </row>
    <row r="14" spans="1:9" ht="18" x14ac:dyDescent="0.25">
      <c r="A14" s="312" t="s">
        <v>732</v>
      </c>
      <c r="B14" s="314">
        <f>SUM(B9:B13)</f>
        <v>320261.87</v>
      </c>
    </row>
    <row r="16" spans="1:9" ht="18" x14ac:dyDescent="0.25">
      <c r="A16" s="312" t="s">
        <v>786</v>
      </c>
      <c r="F16" s="319" t="s">
        <v>1587</v>
      </c>
    </row>
    <row r="17" spans="1:6" ht="15" x14ac:dyDescent="0.2">
      <c r="A17" s="310" t="s">
        <v>1574</v>
      </c>
      <c r="B17" s="313">
        <f>'DOE25'!L363-'DOE25'!L362</f>
        <v>216795.78000000003</v>
      </c>
      <c r="F17" s="310" t="s">
        <v>1588</v>
      </c>
    </row>
    <row r="18" spans="1:6" ht="15" x14ac:dyDescent="0.2">
      <c r="A18" s="310" t="s">
        <v>1575</v>
      </c>
      <c r="B18" s="323"/>
      <c r="F18" s="319" t="s">
        <v>1612</v>
      </c>
    </row>
    <row r="19" spans="1:6" ht="18" x14ac:dyDescent="0.25">
      <c r="A19" s="312" t="s">
        <v>725</v>
      </c>
      <c r="B19" s="314">
        <f>SUM(B17:B18)</f>
        <v>216795.78000000003</v>
      </c>
    </row>
    <row r="21" spans="1:6" ht="18.75" thickBot="1" x14ac:dyDescent="0.3">
      <c r="A21" s="312" t="s">
        <v>1576</v>
      </c>
    </row>
    <row r="22" spans="1:6" ht="18.75" thickTop="1" x14ac:dyDescent="0.25">
      <c r="A22" s="312" t="s">
        <v>1577</v>
      </c>
      <c r="B22" s="318">
        <f>B14-B19</f>
        <v>103466.08999999997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600</v>
      </c>
      <c r="F31" s="310" t="s">
        <v>1592</v>
      </c>
    </row>
    <row r="33" spans="1:6" ht="15" x14ac:dyDescent="0.2">
      <c r="A33" s="310" t="s">
        <v>1635</v>
      </c>
      <c r="B33" s="313">
        <f>'DOE25'!G477</f>
        <v>104066.09</v>
      </c>
      <c r="F33" s="310" t="s">
        <v>1593</v>
      </c>
    </row>
    <row r="36" spans="1:6" ht="15" x14ac:dyDescent="0.2">
      <c r="A36" s="310" t="s">
        <v>1579</v>
      </c>
      <c r="B36" s="324">
        <v>18029.009999999998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Deerfield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2742663.69</v>
      </c>
      <c r="C9" s="228">
        <f>'DOE25'!G198+'DOE25'!G216+'DOE25'!G234+'DOE25'!G277+'DOE25'!G296+'DOE25'!G315</f>
        <v>1396478.3099999998</v>
      </c>
    </row>
    <row r="10" spans="1:3" x14ac:dyDescent="0.2">
      <c r="A10" t="s">
        <v>775</v>
      </c>
      <c r="B10" s="239">
        <v>2489135.29</v>
      </c>
      <c r="C10" s="239">
        <v>1267389.5900000001</v>
      </c>
    </row>
    <row r="11" spans="1:3" x14ac:dyDescent="0.2">
      <c r="A11" t="s">
        <v>776</v>
      </c>
      <c r="B11" s="239">
        <v>96299.33</v>
      </c>
      <c r="C11" s="239">
        <v>49032.6</v>
      </c>
    </row>
    <row r="12" spans="1:3" x14ac:dyDescent="0.2">
      <c r="A12" t="s">
        <v>777</v>
      </c>
      <c r="B12" s="239">
        <v>157229.07</v>
      </c>
      <c r="C12" s="239">
        <v>80056.12</v>
      </c>
    </row>
    <row r="13" spans="1:3" x14ac:dyDescent="0.2">
      <c r="A13" t="str">
        <f>IF(B9=B13,IF(C9=C13,"Check Total OK","Check Total Error"),"Check Total Error")</f>
        <v>Check Total OK</v>
      </c>
      <c r="B13" s="230">
        <f>SUM(B10:B12)</f>
        <v>2742663.69</v>
      </c>
      <c r="C13" s="230">
        <f>SUM(C10:C12)</f>
        <v>1396478.31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1372513.76</v>
      </c>
      <c r="C18" s="228">
        <f>'DOE25'!G199+'DOE25'!G217+'DOE25'!G235+'DOE25'!G278+'DOE25'!G297+'DOE25'!G316</f>
        <v>701229.57</v>
      </c>
    </row>
    <row r="19" spans="1:3" x14ac:dyDescent="0.2">
      <c r="A19" t="s">
        <v>775</v>
      </c>
      <c r="B19" s="239">
        <v>670542.82999999996</v>
      </c>
      <c r="C19" s="239">
        <v>342586.34</v>
      </c>
    </row>
    <row r="20" spans="1:3" x14ac:dyDescent="0.2">
      <c r="A20" t="s">
        <v>776</v>
      </c>
      <c r="B20" s="239">
        <v>589641.42000000004</v>
      </c>
      <c r="C20" s="239">
        <v>301253.08</v>
      </c>
    </row>
    <row r="21" spans="1:3" x14ac:dyDescent="0.2">
      <c r="A21" t="s">
        <v>777</v>
      </c>
      <c r="B21" s="239">
        <v>112329.51</v>
      </c>
      <c r="C21" s="239">
        <v>57390.15</v>
      </c>
    </row>
    <row r="22" spans="1:3" x14ac:dyDescent="0.2">
      <c r="A22" t="str">
        <f>IF(B18=B22,IF(C18=C22,"Check Total OK","Check Total Error"),"Check Total Error")</f>
        <v>Check Total OK</v>
      </c>
      <c r="B22" s="230">
        <f>SUM(B19:B21)</f>
        <v>1372513.76</v>
      </c>
      <c r="C22" s="230">
        <f>SUM(C19:C21)</f>
        <v>701229.57000000007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44446</v>
      </c>
      <c r="C36" s="234">
        <f>'DOE25'!G201+'DOE25'!G219+'DOE25'!G237+'DOE25'!G280+'DOE25'!G299+'DOE25'!G318</f>
        <v>20331.27</v>
      </c>
    </row>
    <row r="37" spans="1:3" x14ac:dyDescent="0.2">
      <c r="A37" t="s">
        <v>775</v>
      </c>
      <c r="B37" s="239">
        <v>44446</v>
      </c>
      <c r="C37" s="239">
        <v>20331.27</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44446</v>
      </c>
      <c r="C40" s="230">
        <f>SUM(C37:C39)</f>
        <v>20331.27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G40" sqref="G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Deerfield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10555151.710000001</v>
      </c>
      <c r="D5" s="20">
        <f>SUM('DOE25'!L198:L201)+SUM('DOE25'!L216:L219)+SUM('DOE25'!L234:L237)-F5-G5-H5</f>
        <v>10501612.07</v>
      </c>
      <c r="E5" s="242"/>
      <c r="F5" s="243"/>
      <c r="G5" s="53">
        <f>SUM('DOE25'!J198:J201)+SUM('DOE25'!J216:J219)+SUM('DOE25'!J234:J237)</f>
        <v>53019.64</v>
      </c>
      <c r="H5" s="53">
        <f>SUM('DOE25'!K198:K201)+SUM('DOE25'!K216:K219)+SUM('DOE25'!K234:K237)</f>
        <v>520</v>
      </c>
      <c r="I5" s="255"/>
    </row>
    <row r="6" spans="1:9" x14ac:dyDescent="0.2">
      <c r="A6" s="32">
        <v>2100</v>
      </c>
      <c r="B6" t="s">
        <v>796</v>
      </c>
      <c r="C6" s="274">
        <f t="shared" si="0"/>
        <v>658785.06999999995</v>
      </c>
      <c r="D6" s="20">
        <f>'DOE25'!L203+'DOE25'!L221+'DOE25'!L239-F6-G6-H6</f>
        <v>658785.06999999995</v>
      </c>
      <c r="E6" s="242"/>
      <c r="F6" s="243"/>
      <c r="G6" s="53">
        <f>'DOE25'!J203+'DOE25'!J221+'DOE25'!J239</f>
        <v>0</v>
      </c>
      <c r="H6" s="53">
        <f>'DOE25'!K203+'DOE25'!K221+'DOE25'!K239</f>
        <v>0</v>
      </c>
      <c r="I6" s="255"/>
    </row>
    <row r="7" spans="1:9" x14ac:dyDescent="0.2">
      <c r="A7" s="32">
        <v>2200</v>
      </c>
      <c r="B7" t="s">
        <v>821</v>
      </c>
      <c r="C7" s="274">
        <f t="shared" si="0"/>
        <v>196513.45</v>
      </c>
      <c r="D7" s="20">
        <f>'DOE25'!L204+'DOE25'!L222+'DOE25'!L240-F7-G7-H7</f>
        <v>196480.81</v>
      </c>
      <c r="E7" s="242"/>
      <c r="F7" s="243"/>
      <c r="G7" s="53">
        <f>'DOE25'!J204+'DOE25'!J222+'DOE25'!J240</f>
        <v>32.64</v>
      </c>
      <c r="H7" s="53">
        <f>'DOE25'!K204+'DOE25'!K222+'DOE25'!K240</f>
        <v>0</v>
      </c>
      <c r="I7" s="255"/>
    </row>
    <row r="8" spans="1:9" x14ac:dyDescent="0.2">
      <c r="A8" s="32">
        <v>2300</v>
      </c>
      <c r="B8" t="s">
        <v>797</v>
      </c>
      <c r="C8" s="274">
        <f t="shared" si="0"/>
        <v>456435.81</v>
      </c>
      <c r="D8" s="242"/>
      <c r="E8" s="20">
        <f>'DOE25'!L205+'DOE25'!L223+'DOE25'!L241-F8-G8-H8-D9-D11</f>
        <v>447259.64</v>
      </c>
      <c r="F8" s="243"/>
      <c r="G8" s="53">
        <f>'DOE25'!J205+'DOE25'!J223+'DOE25'!J241</f>
        <v>0</v>
      </c>
      <c r="H8" s="53">
        <f>'DOE25'!K205+'DOE25'!K223+'DOE25'!K241</f>
        <v>9176.17</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603961.42000000004</v>
      </c>
      <c r="D12" s="20">
        <f>'DOE25'!L206+'DOE25'!L224+'DOE25'!L242-F12-G12-H12</f>
        <v>598639.80000000005</v>
      </c>
      <c r="E12" s="242"/>
      <c r="F12" s="243"/>
      <c r="G12" s="53">
        <f>'DOE25'!J206+'DOE25'!J224+'DOE25'!J242</f>
        <v>0</v>
      </c>
      <c r="H12" s="53">
        <f>'DOE25'!K206+'DOE25'!K224+'DOE25'!K242</f>
        <v>5321.62</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653675.09</v>
      </c>
      <c r="D14" s="20">
        <f>'DOE25'!L208+'DOE25'!L226+'DOE25'!L244-F14-G14-H14</f>
        <v>610694.09</v>
      </c>
      <c r="E14" s="242"/>
      <c r="F14" s="243">
        <f>7196+35785</f>
        <v>42981</v>
      </c>
      <c r="G14" s="53">
        <f>'DOE25'!J208+'DOE25'!J226+'DOE25'!J244</f>
        <v>0</v>
      </c>
      <c r="H14" s="53">
        <f>'DOE25'!K208+'DOE25'!K226+'DOE25'!K244</f>
        <v>0</v>
      </c>
      <c r="I14" s="255"/>
    </row>
    <row r="15" spans="1:9" x14ac:dyDescent="0.2">
      <c r="A15" s="32">
        <v>2700</v>
      </c>
      <c r="B15" t="s">
        <v>799</v>
      </c>
      <c r="C15" s="274">
        <f t="shared" si="0"/>
        <v>779813.51</v>
      </c>
      <c r="D15" s="20">
        <f>'DOE25'!L209+'DOE25'!L227+'DOE25'!L245-F15-G15-H15</f>
        <v>311822.06</v>
      </c>
      <c r="E15" s="242"/>
      <c r="F15" s="243">
        <f>29497.12+438494.33</f>
        <v>467991.45</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109610.19</v>
      </c>
      <c r="D22" s="242"/>
      <c r="E22" s="242"/>
      <c r="F22" s="242"/>
      <c r="G22" s="53">
        <f>'DOE25'!L256+'DOE25'!L337</f>
        <v>109610.19</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100629.77000000003</v>
      </c>
      <c r="D29" s="282">
        <f>'DOE25'!L359+'DOE25'!L360+'DOE25'!L361-'DOE25'!I368-F29-G29-H29</f>
        <v>99929.770000000033</v>
      </c>
      <c r="E29" s="242"/>
      <c r="F29" s="243"/>
      <c r="G29" s="53">
        <f>'DOE25'!J359+'DOE25'!J360+'DOE25'!J361</f>
        <v>0</v>
      </c>
      <c r="H29" s="53">
        <f>'DOE25'!K359+'DOE25'!K360+'DOE25'!K361</f>
        <v>700</v>
      </c>
      <c r="I29" s="255"/>
    </row>
    <row r="30" spans="1:9" x14ac:dyDescent="0.2">
      <c r="A30" s="32"/>
      <c r="C30" s="275"/>
      <c r="D30" s="20"/>
      <c r="E30" s="279"/>
      <c r="F30" s="269"/>
      <c r="G30" s="53"/>
      <c r="H30" s="53"/>
      <c r="I30" s="255"/>
    </row>
    <row r="31" spans="1:9" x14ac:dyDescent="0.2">
      <c r="A31" s="32" t="s">
        <v>818</v>
      </c>
      <c r="B31" t="s">
        <v>817</v>
      </c>
      <c r="C31" s="274">
        <f>SUM(D31:I31)</f>
        <v>562934.52</v>
      </c>
      <c r="D31" s="20">
        <f>'DOE25'!L291+'DOE25'!L310+'DOE25'!L329+'DOE25'!L334+'DOE25'!L335+'DOE25'!L336-F31-G31-H31</f>
        <v>455122.31</v>
      </c>
      <c r="E31" s="242"/>
      <c r="F31" s="243"/>
      <c r="G31" s="53">
        <f>'DOE25'!J291+'DOE25'!J310+'DOE25'!J329+'DOE25'!J334+'DOE25'!J335+'DOE25'!J336</f>
        <v>102441.53</v>
      </c>
      <c r="H31" s="53">
        <f>'DOE25'!K291+'DOE25'!K310+'DOE25'!K329+'DOE25'!K334+'DOE25'!K335+'DOE25'!K336</f>
        <v>5370.68</v>
      </c>
      <c r="I31" s="255"/>
    </row>
    <row r="32" spans="1:9" ht="12" thickBot="1" x14ac:dyDescent="0.25">
      <c r="C32" s="275"/>
      <c r="G32" s="250"/>
      <c r="H32" s="250"/>
      <c r="I32" s="257"/>
    </row>
    <row r="33" spans="1:9" ht="12" thickTop="1" x14ac:dyDescent="0.2">
      <c r="B33" t="s">
        <v>809</v>
      </c>
      <c r="D33" s="244">
        <f t="shared" ref="D33:I33" si="1">SUM(D5:D31)</f>
        <v>13433085.980000002</v>
      </c>
      <c r="E33" s="244">
        <f t="shared" si="1"/>
        <v>447259.64</v>
      </c>
      <c r="F33" s="244">
        <f t="shared" si="1"/>
        <v>510972.45</v>
      </c>
      <c r="G33" s="244">
        <f t="shared" si="1"/>
        <v>265104</v>
      </c>
      <c r="H33" s="244">
        <f t="shared" si="1"/>
        <v>21088.47</v>
      </c>
      <c r="I33" s="244">
        <f t="shared" si="1"/>
        <v>0</v>
      </c>
    </row>
    <row r="35" spans="1:9" ht="12" thickBot="1" x14ac:dyDescent="0.25">
      <c r="B35" s="250" t="s">
        <v>831</v>
      </c>
      <c r="D35" s="251">
        <f>E33</f>
        <v>447259.64</v>
      </c>
      <c r="E35" s="247"/>
      <c r="F35" s="328" t="s">
        <v>1617</v>
      </c>
      <c r="G35" s="329"/>
      <c r="H35" s="329"/>
      <c r="I35" s="329"/>
    </row>
    <row r="36" spans="1:9" ht="12" thickTop="1" x14ac:dyDescent="0.2">
      <c r="B36" t="s">
        <v>810</v>
      </c>
      <c r="D36" s="20">
        <f>D33</f>
        <v>13433085.980000002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Deerfield</v>
      </c>
      <c r="B2" s="126">
        <f>'DOE25'!B2</f>
        <v>127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10190684.07</v>
      </c>
      <c r="G4" s="299">
        <f>'DOE25'!L212+'DOE25'!L291</f>
        <v>10190684.07</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9676053.1099999994</v>
      </c>
      <c r="E5" s="290">
        <f>52199.84+25156.68+150835.37+286439.07</f>
        <v>514630.95999999996</v>
      </c>
      <c r="F5" s="303">
        <f>D5+E5</f>
        <v>10190684.07</v>
      </c>
      <c r="G5" s="293"/>
      <c r="H5" s="293"/>
      <c r="I5" s="384"/>
      <c r="N5"/>
    </row>
    <row r="6" spans="1:18" x14ac:dyDescent="0.2">
      <c r="A6" s="126" t="str" cm="1">
        <f t="array" ref="A6">IFERROR(INDEX('School Tables'!$A$4:$G$325,'School Tables'!$J4,3),"")</f>
        <v>Deerfield Community School</v>
      </c>
      <c r="B6" s="300">
        <f>IFERROR(VLOOKUP(A6,'School Tables'!$C$3:$D$365,2,FALSE),"")</f>
        <v>22595</v>
      </c>
      <c r="C6" s="293" t="str">
        <f>IFERROR(INDEX('School Tables'!$B$3:$B$365,MATCH('School Level Expenditures'!B6,'School Tables'!$D$3:$D$365,0)),"")</f>
        <v>Deerfield</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9676053.1099999994</v>
      </c>
      <c r="E21" s="338">
        <f>SUM(E5:E20)</f>
        <v>514630.95999999996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4276586.51</v>
      </c>
      <c r="G36" s="299">
        <f>'DOE25'!L248+'DOE25'!L329</f>
        <v>4276586.51</v>
      </c>
      <c r="H36" s="340">
        <f>F36-G36</f>
        <v>0</v>
      </c>
      <c r="I36" s="383" t="str">
        <f>IF(H36=0,"","ISSUES!! Please review page 9 and 13 totals in comparison with total on this page")</f>
        <v/>
      </c>
      <c r="N36"/>
    </row>
    <row r="37" spans="1:14" x14ac:dyDescent="0.2">
      <c r="A37" s="126" t="s">
        <v>1548</v>
      </c>
      <c r="B37" s="300">
        <v>99999</v>
      </c>
      <c r="C37" s="293" t="s">
        <v>1548</v>
      </c>
      <c r="D37" s="290">
        <v>4276586.51</v>
      </c>
      <c r="E37" s="290"/>
      <c r="F37" s="303">
        <f t="shared" ref="F37:F42" si="2">D37+E37</f>
        <v>4276586.51</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4276586.51</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BreakPreview" zoomScale="6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Deerfield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3184063.69</v>
      </c>
      <c r="D8" s="95">
        <f>'DOE25'!G9</f>
        <v>0</v>
      </c>
      <c r="E8" s="95">
        <f>'DOE25'!H9</f>
        <v>0</v>
      </c>
      <c r="F8" s="95">
        <f>'DOE25'!I9</f>
        <v>0</v>
      </c>
      <c r="G8" s="95">
        <f>'DOE25'!J9</f>
        <v>0</v>
      </c>
      <c r="H8" s="124">
        <f>SUM(C8:G8)</f>
        <v>3184063.69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776032.55</v>
      </c>
      <c r="H11" s="124">
        <f t="shared" si="0"/>
        <v>776032.55</v>
      </c>
      <c r="I11" s="124"/>
    </row>
    <row r="12" spans="1:9" x14ac:dyDescent="0.2">
      <c r="A12" s="1" t="s">
        <v>143</v>
      </c>
      <c r="B12" s="6">
        <v>140</v>
      </c>
      <c r="C12" s="95">
        <f>'DOE25'!F13</f>
        <v>174812.29</v>
      </c>
      <c r="D12" s="95">
        <f>'DOE25'!G13</f>
        <v>0</v>
      </c>
      <c r="E12" s="95">
        <f>'DOE25'!H13</f>
        <v>0</v>
      </c>
      <c r="F12" s="95">
        <f>'DOE25'!I13</f>
        <v>0</v>
      </c>
      <c r="G12" s="95">
        <f>'DOE25'!J13</f>
        <v>0</v>
      </c>
      <c r="H12" s="124">
        <f t="shared" si="0"/>
        <v>174812.29</v>
      </c>
      <c r="I12" s="124"/>
    </row>
    <row r="13" spans="1:9" x14ac:dyDescent="0.2">
      <c r="A13" s="1" t="s">
        <v>144</v>
      </c>
      <c r="B13" s="6">
        <v>150</v>
      </c>
      <c r="C13" s="95">
        <f>'DOE25'!F14</f>
        <v>375566.08000000002</v>
      </c>
      <c r="D13" s="95">
        <f>'DOE25'!G14</f>
        <v>113613.34</v>
      </c>
      <c r="E13" s="95">
        <f>'DOE25'!H14</f>
        <v>121794.09</v>
      </c>
      <c r="F13" s="95">
        <f>'DOE25'!I14</f>
        <v>0</v>
      </c>
      <c r="G13" s="95">
        <f>'DOE25'!J14</f>
        <v>0</v>
      </c>
      <c r="H13" s="124">
        <f t="shared" si="0"/>
        <v>610973.51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10201.42</v>
      </c>
      <c r="E15" s="95">
        <f>'DOE25'!H16</f>
        <v>0</v>
      </c>
      <c r="F15" s="95">
        <f>'DOE25'!I16</f>
        <v>0</v>
      </c>
      <c r="G15" s="24" t="s">
        <v>288</v>
      </c>
      <c r="H15" s="124">
        <f t="shared" si="0"/>
        <v>10201.42</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3734442.06</v>
      </c>
      <c r="D18" s="41">
        <f>SUM(D8:D17)</f>
        <v>123814.76</v>
      </c>
      <c r="E18" s="41">
        <f>SUM(E8:E17)</f>
        <v>121794.09</v>
      </c>
      <c r="F18" s="41">
        <f>SUM(F8:F17)</f>
        <v>0</v>
      </c>
      <c r="G18" s="41">
        <f>SUM(G8:G17)</f>
        <v>776032.55</v>
      </c>
      <c r="H18" s="41">
        <f t="shared" si="0"/>
        <v>4756083.46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17504.03</v>
      </c>
      <c r="E21" s="95">
        <f>'DOE25'!H22</f>
        <v>116341.62999999999</v>
      </c>
      <c r="F21" s="95">
        <f>'DOE25'!I22</f>
        <v>0</v>
      </c>
      <c r="G21" s="95">
        <f>'DOE25'!J22</f>
        <v>0</v>
      </c>
      <c r="H21" s="124">
        <f t="shared" ref="H21:H31" si="1">SUM(C21:G21)</f>
        <v>133845.65999999997</v>
      </c>
      <c r="I21" s="124"/>
    </row>
    <row r="22" spans="1:9" x14ac:dyDescent="0.2">
      <c r="A22" s="1" t="s">
        <v>151</v>
      </c>
      <c r="B22" s="6">
        <v>410</v>
      </c>
      <c r="C22" s="95">
        <f>'DOE25'!F23</f>
        <v>2862292.12</v>
      </c>
      <c r="D22" s="95">
        <f>'DOE25'!G23</f>
        <v>2244.64</v>
      </c>
      <c r="E22" s="95">
        <f>'DOE25'!H23</f>
        <v>0</v>
      </c>
      <c r="F22" s="95">
        <f>'DOE25'!I23</f>
        <v>0</v>
      </c>
      <c r="G22" s="95">
        <f>'DOE25'!J23</f>
        <v>0</v>
      </c>
      <c r="H22" s="124">
        <f t="shared" si="1"/>
        <v>2864536.7600000002</v>
      </c>
      <c r="I22" s="124"/>
    </row>
    <row r="23" spans="1:9" x14ac:dyDescent="0.2">
      <c r="A23" s="1" t="s">
        <v>152</v>
      </c>
      <c r="B23" s="6">
        <v>420</v>
      </c>
      <c r="C23" s="95">
        <f>'DOE25'!F24</f>
        <v>5674.07</v>
      </c>
      <c r="D23" s="95">
        <f>'DOE25'!G24</f>
        <v>0</v>
      </c>
      <c r="E23" s="95">
        <f>'DOE25'!H24</f>
        <v>0</v>
      </c>
      <c r="F23" s="95">
        <f>'DOE25'!I24</f>
        <v>0</v>
      </c>
      <c r="G23" s="95">
        <f>'DOE25'!J24</f>
        <v>0</v>
      </c>
      <c r="H23" s="124">
        <f t="shared" si="1"/>
        <v>5674.07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2867966.19</v>
      </c>
      <c r="D31" s="41">
        <f>SUM(D21:D30)</f>
        <v>19748.669999999998</v>
      </c>
      <c r="E31" s="41">
        <f>SUM(E21:E30)</f>
        <v>116341.62999999999</v>
      </c>
      <c r="F31" s="41">
        <f>SUM(F21:F30)</f>
        <v>0</v>
      </c>
      <c r="G31" s="41">
        <f>SUM(G21:G30)</f>
        <v>0</v>
      </c>
      <c r="H31" s="41">
        <f t="shared" si="1"/>
        <v>3004056.4899999998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866475.87</v>
      </c>
      <c r="D43" s="95">
        <f>'DOE25'!G44</f>
        <v>0</v>
      </c>
      <c r="E43" s="95">
        <f>'DOE25'!H44</f>
        <v>0</v>
      </c>
      <c r="F43" s="95">
        <f>'DOE25'!I44</f>
        <v>0</v>
      </c>
      <c r="G43" s="24" t="s">
        <v>288</v>
      </c>
      <c r="H43" s="124">
        <f t="shared" si="2"/>
        <v>866475.87</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104066.09</v>
      </c>
      <c r="E47" s="95">
        <f>'DOE25'!H48</f>
        <v>5452.46</v>
      </c>
      <c r="F47" s="95">
        <f>'DOE25'!I48</f>
        <v>0</v>
      </c>
      <c r="G47" s="95">
        <f>'DOE25'!J48</f>
        <v>776032.55</v>
      </c>
      <c r="H47" s="124">
        <f t="shared" si="2"/>
        <v>885551.10000000009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866475.87</v>
      </c>
      <c r="D50" s="41">
        <f>SUM(D34:D49)</f>
        <v>104066.09</v>
      </c>
      <c r="E50" s="41">
        <f>SUM(E34:E49)</f>
        <v>5452.46</v>
      </c>
      <c r="F50" s="41">
        <f>SUM(F34:F49)</f>
        <v>0</v>
      </c>
      <c r="G50" s="41">
        <f>SUM(G34:G49)</f>
        <v>776032.55</v>
      </c>
      <c r="H50" s="41">
        <f t="shared" si="2"/>
        <v>1752026.97</v>
      </c>
      <c r="I50" s="124"/>
    </row>
    <row r="51" spans="1:9" ht="12" thickTop="1" x14ac:dyDescent="0.2">
      <c r="A51" s="38" t="s">
        <v>885</v>
      </c>
      <c r="B51" s="2"/>
      <c r="C51" s="41">
        <f>C50+C31</f>
        <v>3734442.06</v>
      </c>
      <c r="D51" s="41">
        <f>D50+D31</f>
        <v>123814.76</v>
      </c>
      <c r="E51" s="41">
        <f>E50+E31</f>
        <v>121794.09</v>
      </c>
      <c r="F51" s="41">
        <f>F50+F31</f>
        <v>0</v>
      </c>
      <c r="G51" s="41">
        <f>G50+G31</f>
        <v>776032.55</v>
      </c>
      <c r="H51" s="41">
        <f t="shared" si="2"/>
        <v>4756083.46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9991937</v>
      </c>
      <c r="D56" s="95">
        <f>'DOE25'!G60</f>
        <v>0</v>
      </c>
      <c r="E56" s="95">
        <f>'DOE25'!H60</f>
        <v>0</v>
      </c>
      <c r="F56" s="95">
        <f>'DOE25'!I60</f>
        <v>0</v>
      </c>
      <c r="G56" s="95">
        <f>'DOE25'!J60</f>
        <v>0</v>
      </c>
      <c r="H56" s="124">
        <f t="shared" ref="H56:H63" si="3">SUM(C56:G56)</f>
        <v>9991937</v>
      </c>
      <c r="I56"/>
    </row>
    <row r="57" spans="1:9" x14ac:dyDescent="0.2">
      <c r="A57" s="1" t="s">
        <v>164</v>
      </c>
      <c r="B57" s="6" t="s">
        <v>165</v>
      </c>
      <c r="C57" s="95">
        <f>'DOE25'!F79</f>
        <v>22605</v>
      </c>
      <c r="D57" s="24" t="s">
        <v>288</v>
      </c>
      <c r="E57" s="95">
        <f>'DOE25'!H79</f>
        <v>1290.6600000000001</v>
      </c>
      <c r="F57" s="24" t="s">
        <v>288</v>
      </c>
      <c r="G57" s="24" t="s">
        <v>288</v>
      </c>
      <c r="H57" s="124">
        <f t="shared" si="3"/>
        <v>23895.66</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1406.66</v>
      </c>
      <c r="D59" s="95">
        <f>'DOE25'!G96</f>
        <v>0</v>
      </c>
      <c r="E59" s="95">
        <f>'DOE25'!H96</f>
        <v>0</v>
      </c>
      <c r="F59" s="95">
        <f>'DOE25'!I96</f>
        <v>0</v>
      </c>
      <c r="G59" s="95">
        <f>'DOE25'!J96</f>
        <v>-19267.88</v>
      </c>
      <c r="H59" s="124">
        <f t="shared" si="3"/>
        <v>-17861.22</v>
      </c>
      <c r="I59"/>
    </row>
    <row r="60" spans="1:9" x14ac:dyDescent="0.2">
      <c r="A60" s="1" t="s">
        <v>170</v>
      </c>
      <c r="B60" s="118" t="s">
        <v>171</v>
      </c>
      <c r="C60" s="24" t="s">
        <v>288</v>
      </c>
      <c r="D60" s="95">
        <f>'DOE25'!G97</f>
        <v>11779.3</v>
      </c>
      <c r="E60" s="24" t="s">
        <v>288</v>
      </c>
      <c r="F60" s="24" t="s">
        <v>288</v>
      </c>
      <c r="G60" s="24" t="s">
        <v>288</v>
      </c>
      <c r="H60" s="124">
        <f t="shared" si="3"/>
        <v>11779.3</v>
      </c>
      <c r="I60"/>
    </row>
    <row r="61" spans="1:9" ht="12" thickBot="1" x14ac:dyDescent="0.25">
      <c r="A61" s="1" t="s">
        <v>172</v>
      </c>
      <c r="B61" s="118" t="s">
        <v>173</v>
      </c>
      <c r="C61" s="95">
        <f>SUM('DOE25'!F98:F110)</f>
        <v>14937.02</v>
      </c>
      <c r="D61" s="95">
        <f>SUM('DOE25'!G98:G110)</f>
        <v>0</v>
      </c>
      <c r="E61" s="95">
        <f>SUM('DOE25'!H98:H110)</f>
        <v>0</v>
      </c>
      <c r="F61" s="95">
        <f>SUM('DOE25'!I98:I110)</f>
        <v>0</v>
      </c>
      <c r="G61" s="95">
        <f>SUM('DOE25'!J98:J110)</f>
        <v>0</v>
      </c>
      <c r="H61" s="124">
        <f t="shared" si="3"/>
        <v>14937.02</v>
      </c>
      <c r="I61"/>
    </row>
    <row r="62" spans="1:9" ht="12.75" thickTop="1" thickBot="1" x14ac:dyDescent="0.25">
      <c r="A62" s="29" t="s">
        <v>174</v>
      </c>
      <c r="B62" s="6"/>
      <c r="C62" s="130">
        <f>SUM(C57:C61)</f>
        <v>38948.68</v>
      </c>
      <c r="D62" s="130">
        <f>SUM(D57:D61)</f>
        <v>11779.3</v>
      </c>
      <c r="E62" s="130">
        <f>SUM(E57:E61)</f>
        <v>1290.6600000000001</v>
      </c>
      <c r="F62" s="130">
        <f>SUM(F57:F61)</f>
        <v>0</v>
      </c>
      <c r="G62" s="130">
        <f>SUM(G57:G61)</f>
        <v>-19267.88</v>
      </c>
      <c r="H62" s="124">
        <f t="shared" si="3"/>
        <v>32750.76</v>
      </c>
      <c r="I62"/>
    </row>
    <row r="63" spans="1:9" ht="12" thickTop="1" x14ac:dyDescent="0.2">
      <c r="A63" s="29" t="s">
        <v>175</v>
      </c>
      <c r="B63" s="6"/>
      <c r="C63" s="22">
        <f>C56+C62</f>
        <v>10030885.68</v>
      </c>
      <c r="D63" s="22">
        <f>D56+D62</f>
        <v>11779.3</v>
      </c>
      <c r="E63" s="22">
        <f>E56+E62</f>
        <v>1290.6600000000001</v>
      </c>
      <c r="F63" s="22">
        <f>F56+F62</f>
        <v>0</v>
      </c>
      <c r="G63" s="22">
        <f>G56+G62</f>
        <v>-19267.88</v>
      </c>
      <c r="H63" s="124">
        <f t="shared" si="3"/>
        <v>10024687.76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2241373.81</v>
      </c>
      <c r="D66" s="24" t="s">
        <v>288</v>
      </c>
      <c r="E66" s="24" t="s">
        <v>288</v>
      </c>
      <c r="F66" s="24" t="s">
        <v>288</v>
      </c>
      <c r="G66" s="24" t="s">
        <v>288</v>
      </c>
      <c r="H66" s="124">
        <f t="shared" ref="H66:H81" si="4">SUM(C66:G66)</f>
        <v>2241373.81</v>
      </c>
      <c r="I66"/>
    </row>
    <row r="67" spans="1:9" x14ac:dyDescent="0.2">
      <c r="A67" s="1" t="s">
        <v>770</v>
      </c>
      <c r="B67" s="6">
        <v>3112</v>
      </c>
      <c r="C67" s="95">
        <f>'DOE25'!F118</f>
        <v>1172450</v>
      </c>
      <c r="D67" s="24"/>
      <c r="E67" s="24"/>
      <c r="F67" s="24"/>
      <c r="G67" s="24"/>
      <c r="H67" s="124">
        <f t="shared" si="4"/>
        <v>1172450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7438.54</v>
      </c>
      <c r="D69" s="95">
        <f>'DOE25'!G120</f>
        <v>0</v>
      </c>
      <c r="E69" s="95">
        <f>'DOE25'!H120</f>
        <v>0</v>
      </c>
      <c r="F69" s="95">
        <f>'DOE25'!I120</f>
        <v>0</v>
      </c>
      <c r="G69" s="95">
        <f>'DOE25'!J120</f>
        <v>0</v>
      </c>
      <c r="H69" s="124">
        <f t="shared" si="4"/>
        <v>7438.54</v>
      </c>
      <c r="I69"/>
    </row>
    <row r="70" spans="1:9" ht="12" thickTop="1" x14ac:dyDescent="0.2">
      <c r="A70" s="29" t="s">
        <v>252</v>
      </c>
      <c r="B70" s="2"/>
      <c r="C70" s="139">
        <f>SUM(C66:C69)</f>
        <v>3421262.35</v>
      </c>
      <c r="D70" s="139">
        <f>D69</f>
        <v>0</v>
      </c>
      <c r="E70" s="139">
        <f>E69</f>
        <v>0</v>
      </c>
      <c r="F70" s="139">
        <f>F69</f>
        <v>0</v>
      </c>
      <c r="G70" s="139">
        <f>G69</f>
        <v>0</v>
      </c>
      <c r="H70" s="124">
        <f t="shared" si="4"/>
        <v>3421262.35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162571.13</v>
      </c>
      <c r="D75" s="24" t="s">
        <v>288</v>
      </c>
      <c r="E75" s="24" t="s">
        <v>288</v>
      </c>
      <c r="F75" s="24" t="s">
        <v>288</v>
      </c>
      <c r="G75" s="24" t="s">
        <v>288</v>
      </c>
      <c r="H75" s="124">
        <f t="shared" si="4"/>
        <v>162571.13</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700.68</v>
      </c>
      <c r="E77" s="95">
        <f>SUM('DOE25'!H131:H135)</f>
        <v>18732.080000000002</v>
      </c>
      <c r="F77" s="95">
        <f>SUM('DOE25'!I131:I135)</f>
        <v>0</v>
      </c>
      <c r="G77" s="95">
        <f>SUM('DOE25'!J131:J135)</f>
        <v>0</v>
      </c>
      <c r="H77" s="124">
        <f t="shared" si="4"/>
        <v>19432.760000000002</v>
      </c>
      <c r="I77"/>
    </row>
    <row r="78" spans="1:9" ht="12.75" thickTop="1" thickBot="1" x14ac:dyDescent="0.25">
      <c r="A78" s="29" t="s">
        <v>259</v>
      </c>
      <c r="B78" s="6"/>
      <c r="C78" s="130">
        <f>SUM(C72:C77)</f>
        <v>162571.13</v>
      </c>
      <c r="D78" s="130">
        <f>SUM(D72:D77)</f>
        <v>700.68</v>
      </c>
      <c r="E78" s="130">
        <f>SUM(E72:E77)</f>
        <v>18732.080000000002</v>
      </c>
      <c r="F78" s="130">
        <f>SUM(F72:F77)</f>
        <v>0</v>
      </c>
      <c r="G78" s="130">
        <f>SUM(G72:G77)</f>
        <v>0</v>
      </c>
      <c r="H78" s="124">
        <f t="shared" si="4"/>
        <v>182003.89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3583833.48</v>
      </c>
      <c r="D81" s="130">
        <f>SUM(D79:D80)+D78+D70</f>
        <v>700.68</v>
      </c>
      <c r="E81" s="130">
        <f>SUM(E79:E80)+E78+E70</f>
        <v>18732.080000000002</v>
      </c>
      <c r="F81" s="130">
        <f>SUM(F79:F80)+F78+F70</f>
        <v>0</v>
      </c>
      <c r="G81" s="130">
        <f>SUM(G79:G80)+G78+G70</f>
        <v>0</v>
      </c>
      <c r="H81" s="130">
        <f t="shared" si="4"/>
        <v>3603266.24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36330.54</v>
      </c>
      <c r="D88" s="326">
        <f>SUM('DOE25'!G153:G162)</f>
        <v>307781.89</v>
      </c>
      <c r="E88" s="326">
        <f>SUM('DOE25'!H153:H162)</f>
        <v>545552.47</v>
      </c>
      <c r="F88" s="326">
        <f>SUM('DOE25'!I153:I162)</f>
        <v>0</v>
      </c>
      <c r="G88" s="24" t="s">
        <v>288</v>
      </c>
      <c r="H88" s="124">
        <f t="shared" si="5"/>
        <v>889664.89999999991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36330.54</v>
      </c>
      <c r="D91" s="131">
        <f>SUM(D85:D90)</f>
        <v>307781.89</v>
      </c>
      <c r="E91" s="131">
        <f>SUM(E85:E90)</f>
        <v>545552.47</v>
      </c>
      <c r="F91" s="131">
        <f>SUM(F85:F90)</f>
        <v>0</v>
      </c>
      <c r="G91" s="24" t="s">
        <v>288</v>
      </c>
      <c r="H91" s="124">
        <f t="shared" si="5"/>
        <v>889664.89999999991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109610.19</v>
      </c>
      <c r="D99" s="95">
        <f>'DOE25'!G186</f>
        <v>0</v>
      </c>
      <c r="E99" s="95">
        <f>'DOE25'!H186</f>
        <v>0</v>
      </c>
      <c r="F99" s="95">
        <f>'DOE25'!I186</f>
        <v>0</v>
      </c>
      <c r="G99" s="24" t="s">
        <v>288</v>
      </c>
      <c r="H99" s="124">
        <f t="shared" si="5"/>
        <v>109610.19</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109610.19</v>
      </c>
      <c r="D103" s="86">
        <f>SUM(D93:D102)</f>
        <v>0</v>
      </c>
      <c r="E103" s="86">
        <f>SUM(E93:E102)</f>
        <v>0</v>
      </c>
      <c r="F103" s="86">
        <f>SUM(F93:F102)</f>
        <v>0</v>
      </c>
      <c r="G103" s="86">
        <f>SUM(G93:G102)</f>
        <v>0</v>
      </c>
      <c r="H103" s="86">
        <f t="shared" si="5"/>
        <v>109610.19</v>
      </c>
    </row>
    <row r="104" spans="1:8" ht="12.75" thickTop="1" thickBot="1" x14ac:dyDescent="0.25">
      <c r="A104" s="33" t="s">
        <v>761</v>
      </c>
      <c r="C104" s="86">
        <f>C63+C81+C91+C103</f>
        <v>13760659.889999999</v>
      </c>
      <c r="D104" s="86">
        <f>D63+D81+D91+D103</f>
        <v>320261.87</v>
      </c>
      <c r="E104" s="86">
        <f>E63+E81+E91+E103</f>
        <v>565575.21</v>
      </c>
      <c r="F104" s="86">
        <f>F63+F81+F91+F103</f>
        <v>0</v>
      </c>
      <c r="G104" s="86">
        <f>G63+G81+G103</f>
        <v>-19267.88</v>
      </c>
      <c r="H104" s="86">
        <f t="shared" si="5"/>
        <v>14627229.089999998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7035152.129999999</v>
      </c>
      <c r="D109" s="24" t="s">
        <v>288</v>
      </c>
      <c r="E109" s="95">
        <f>('DOE25'!L277)+('DOE25'!L296)+('DOE25'!L315)</f>
        <v>120972.84</v>
      </c>
      <c r="F109" s="24" t="s">
        <v>288</v>
      </c>
      <c r="G109" s="24" t="s">
        <v>288</v>
      </c>
      <c r="H109" s="124">
        <f t="shared" ref="H109:H115" si="6">SUM(C109:G109)</f>
        <v>7156124.9699999988</v>
      </c>
    </row>
    <row r="110" spans="1:8" x14ac:dyDescent="0.2">
      <c r="A110" t="s">
        <v>198</v>
      </c>
      <c r="B110" s="32" t="s">
        <v>199</v>
      </c>
      <c r="C110" s="95">
        <f>('DOE25'!L199)+('DOE25'!L217)+('DOE25'!L235)</f>
        <v>3463739.4299999997</v>
      </c>
      <c r="D110" s="24" t="s">
        <v>288</v>
      </c>
      <c r="E110" s="95">
        <f>('DOE25'!L278)+('DOE25'!L297)+('DOE25'!L316)</f>
        <v>297045.34000000003</v>
      </c>
      <c r="F110" s="24" t="s">
        <v>288</v>
      </c>
      <c r="G110" s="24" t="s">
        <v>288</v>
      </c>
      <c r="H110" s="124">
        <f t="shared" si="6"/>
        <v>3760784.7699999996</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56260.150000000009</v>
      </c>
      <c r="D112" s="24" t="s">
        <v>288</v>
      </c>
      <c r="E112" s="95">
        <f>+('DOE25'!L280)+('DOE25'!L299)+('DOE25'!L318)</f>
        <v>31865.040000000001</v>
      </c>
      <c r="F112" s="24" t="s">
        <v>288</v>
      </c>
      <c r="G112" s="24" t="s">
        <v>288</v>
      </c>
      <c r="H112" s="124">
        <f t="shared" si="6"/>
        <v>88125.19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10555151.709999999</v>
      </c>
      <c r="D115" s="86">
        <f>SUM(D109:D114)</f>
        <v>0</v>
      </c>
      <c r="E115" s="86">
        <f>SUM(E109:E114)</f>
        <v>449883.22000000003</v>
      </c>
      <c r="F115" s="86">
        <f>SUM(F109:F114)</f>
        <v>0</v>
      </c>
      <c r="G115" s="86">
        <f>SUM(G109:G114)</f>
        <v>0</v>
      </c>
      <c r="H115" s="86">
        <f t="shared" si="6"/>
        <v>11005034.93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658785.06999999995</v>
      </c>
      <c r="D118" s="24" t="s">
        <v>288</v>
      </c>
      <c r="E118" s="95">
        <f>+('DOE25'!L282)+('DOE25'!L301)+('DOE25'!L320)</f>
        <v>97839.03</v>
      </c>
      <c r="F118" s="24" t="s">
        <v>288</v>
      </c>
      <c r="G118" s="24" t="s">
        <v>288</v>
      </c>
      <c r="H118" s="124">
        <f t="shared" ref="H118:H145" si="7">SUM(C118:G118)</f>
        <v>756624.1</v>
      </c>
    </row>
    <row r="119" spans="1:8" x14ac:dyDescent="0.2">
      <c r="A119" t="s">
        <v>208</v>
      </c>
      <c r="B119" s="32" t="s">
        <v>209</v>
      </c>
      <c r="C119" s="95">
        <f>('DOE25'!L204)+('DOE25'!L222)+('DOE25'!L240)</f>
        <v>196513.45</v>
      </c>
      <c r="D119" s="24" t="s">
        <v>288</v>
      </c>
      <c r="E119" s="95">
        <f>+('DOE25'!L283)+('DOE25'!L302)+('DOE25'!L321)</f>
        <v>0</v>
      </c>
      <c r="F119" s="24" t="s">
        <v>288</v>
      </c>
      <c r="G119" s="24" t="s">
        <v>288</v>
      </c>
      <c r="H119" s="124">
        <f t="shared" si="7"/>
        <v>196513.45</v>
      </c>
    </row>
    <row r="120" spans="1:8" x14ac:dyDescent="0.2">
      <c r="A120" t="s">
        <v>210</v>
      </c>
      <c r="B120" s="32" t="s">
        <v>211</v>
      </c>
      <c r="C120" s="95">
        <f>('DOE25'!L205)+('DOE25'!L223)+('DOE25'!L241)</f>
        <v>456435.81</v>
      </c>
      <c r="D120" s="24" t="s">
        <v>288</v>
      </c>
      <c r="E120" s="95">
        <f>+('DOE25'!L284)+('DOE25'!L303)+('DOE25'!L322)</f>
        <v>5370.68</v>
      </c>
      <c r="F120" s="24" t="s">
        <v>288</v>
      </c>
      <c r="G120" s="24" t="s">
        <v>288</v>
      </c>
      <c r="H120" s="124">
        <f t="shared" si="7"/>
        <v>461806.49</v>
      </c>
    </row>
    <row r="121" spans="1:8" x14ac:dyDescent="0.2">
      <c r="A121" t="s">
        <v>212</v>
      </c>
      <c r="B121" s="32" t="s">
        <v>213</v>
      </c>
      <c r="C121" s="95">
        <f>('DOE25'!L206)+('DOE25'!L224)+('DOE25'!L242)</f>
        <v>603961.42000000004</v>
      </c>
      <c r="D121" s="24" t="s">
        <v>288</v>
      </c>
      <c r="E121" s="95">
        <f>+('DOE25'!L285)+('DOE25'!L304)+('DOE25'!L323)</f>
        <v>39.97</v>
      </c>
      <c r="F121" s="24" t="s">
        <v>288</v>
      </c>
      <c r="G121" s="24" t="s">
        <v>288</v>
      </c>
      <c r="H121" s="124">
        <f t="shared" si="7"/>
        <v>604001.39</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653675.09</v>
      </c>
      <c r="D123" s="24" t="s">
        <v>288</v>
      </c>
      <c r="E123" s="95">
        <f>+('DOE25'!L287)+('DOE25'!L306)+('DOE25'!L325)</f>
        <v>5960.7</v>
      </c>
      <c r="F123" s="24" t="s">
        <v>288</v>
      </c>
      <c r="G123" s="24" t="s">
        <v>288</v>
      </c>
      <c r="H123" s="124">
        <f t="shared" si="7"/>
        <v>659635.78999999992</v>
      </c>
    </row>
    <row r="124" spans="1:8" x14ac:dyDescent="0.2">
      <c r="A124" t="s">
        <v>218</v>
      </c>
      <c r="B124" s="32" t="s">
        <v>219</v>
      </c>
      <c r="C124" s="95">
        <f>('DOE25'!L209)+('DOE25'!L227)+('DOE25'!L245+'DOE25'!L255)</f>
        <v>783077.71</v>
      </c>
      <c r="D124" s="24" t="s">
        <v>288</v>
      </c>
      <c r="E124" s="95">
        <f>+('DOE25'!L288)+('DOE25'!L307)+('DOE25'!L326)</f>
        <v>3840.92</v>
      </c>
      <c r="F124" s="24" t="s">
        <v>288</v>
      </c>
      <c r="G124" s="24" t="s">
        <v>288</v>
      </c>
      <c r="H124" s="124">
        <f t="shared" si="7"/>
        <v>786918.63</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216795.78000000003</v>
      </c>
      <c r="E127" s="24" t="s">
        <v>288</v>
      </c>
      <c r="F127" s="24" t="s">
        <v>288</v>
      </c>
      <c r="G127" s="24" t="s">
        <v>288</v>
      </c>
      <c r="H127" s="124">
        <f t="shared" si="7"/>
        <v>216795.78000000003</v>
      </c>
    </row>
    <row r="128" spans="1:8" ht="12.75" thickTop="1" thickBot="1" x14ac:dyDescent="0.25">
      <c r="A128" s="33" t="s">
        <v>226</v>
      </c>
      <c r="C128" s="86">
        <f>SUM(C118:C127)</f>
        <v>3352448.55</v>
      </c>
      <c r="D128" s="86">
        <f>SUM(D118:D127)</f>
        <v>216795.78000000003</v>
      </c>
      <c r="E128" s="86">
        <f>SUM(E118:E127)</f>
        <v>113051.29999999999</v>
      </c>
      <c r="F128" s="86">
        <f>SUM(F118:F127)</f>
        <v>0</v>
      </c>
      <c r="G128" s="86">
        <f>SUM(G118:G127)</f>
        <v>0</v>
      </c>
      <c r="H128" s="86">
        <f t="shared" si="7"/>
        <v>3682295.63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109610.19</v>
      </c>
      <c r="D130" s="24" t="s">
        <v>288</v>
      </c>
      <c r="E130" s="129">
        <f>'DOE25'!L337</f>
        <v>0</v>
      </c>
      <c r="F130" s="129">
        <f>SUM('DOE25'!L375:'DOE25'!L381)</f>
        <v>0</v>
      </c>
      <c r="G130" s="24" t="s">
        <v>288</v>
      </c>
      <c r="H130" s="124">
        <f t="shared" si="7"/>
        <v>109610.19</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-5315.66</v>
      </c>
      <c r="D138" s="24" t="s">
        <v>288</v>
      </c>
      <c r="E138" s="24" t="s">
        <v>288</v>
      </c>
      <c r="F138" s="24" t="s">
        <v>288</v>
      </c>
      <c r="G138" s="24" t="s">
        <v>288</v>
      </c>
      <c r="H138" s="124">
        <f t="shared" si="7"/>
        <v>-5315.66</v>
      </c>
    </row>
    <row r="139" spans="1:8" x14ac:dyDescent="0.2">
      <c r="A139" t="s">
        <v>239</v>
      </c>
      <c r="B139" s="32">
        <v>5252</v>
      </c>
      <c r="C139" s="95">
        <f>'DOE25'!L402</f>
        <v>-13952.22</v>
      </c>
      <c r="D139" s="24" t="s">
        <v>288</v>
      </c>
      <c r="E139" s="24" t="s">
        <v>288</v>
      </c>
      <c r="F139" s="24" t="s">
        <v>288</v>
      </c>
      <c r="G139" s="24" t="s">
        <v>288</v>
      </c>
      <c r="H139" s="124">
        <f t="shared" si="7"/>
        <v>-13952.22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19267.879999999997</v>
      </c>
      <c r="D141" s="24" t="s">
        <v>288</v>
      </c>
      <c r="E141" s="24" t="s">
        <v>288</v>
      </c>
      <c r="F141" s="24" t="s">
        <v>288</v>
      </c>
      <c r="G141" s="24" t="s">
        <v>288</v>
      </c>
      <c r="H141" s="124">
        <f t="shared" si="7"/>
        <v>19267.879999999997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109610.19</v>
      </c>
      <c r="D144" s="141">
        <f>SUM(D130:D143)</f>
        <v>0</v>
      </c>
      <c r="E144" s="141">
        <f>SUM(E130:E143)</f>
        <v>0</v>
      </c>
      <c r="F144" s="141">
        <f>SUM(F130:F143)</f>
        <v>0</v>
      </c>
      <c r="G144" s="141">
        <f>SUM(G130:G143)</f>
        <v>0</v>
      </c>
      <c r="H144" s="141">
        <f t="shared" si="7"/>
        <v>109610.19</v>
      </c>
    </row>
    <row r="145" spans="1:9" ht="12.75" thickTop="1" thickBot="1" x14ac:dyDescent="0.25">
      <c r="A145" s="33" t="s">
        <v>244</v>
      </c>
      <c r="C145" s="86">
        <f>(C115+C128+C144)</f>
        <v>14017210.449999997</v>
      </c>
      <c r="D145" s="86">
        <f>(D115+D128+D144)</f>
        <v>216795.78000000003</v>
      </c>
      <c r="E145" s="86">
        <f>(E115+E128+E144)</f>
        <v>562934.52</v>
      </c>
      <c r="F145" s="86">
        <f>(F115+F128+F144)</f>
        <v>0</v>
      </c>
      <c r="G145" s="86">
        <f>(G115+G128+G144)</f>
        <v>0</v>
      </c>
      <c r="H145" s="86">
        <f t="shared" si="7"/>
        <v>14796940.749999996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Deerfield</v>
      </c>
    </row>
    <row r="3" spans="1:4" x14ac:dyDescent="0.2">
      <c r="B3" s="187" t="s">
        <v>1799</v>
      </c>
    </row>
    <row r="4" spans="1:4" x14ac:dyDescent="0.2">
      <c r="B4" t="s">
        <v>61</v>
      </c>
      <c r="C4" s="178">
        <f>IF('DOE25'!F666+'DOE25'!F671=0,0,ROUND('DOE25'!F673,0))</f>
        <v>19106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19106</v>
      </c>
    </row>
    <row r="9" spans="1:4" x14ac:dyDescent="0.2">
      <c r="A9" s="186" t="s">
        <v>94</v>
      </c>
      <c r="B9" s="187" t="s">
        <v>1800</v>
      </c>
      <c r="C9" s="180" t="s">
        <v>720</v>
      </c>
      <c r="D9" s="180" t="s">
        <v>721</v>
      </c>
    </row>
    <row r="10" spans="1:4" x14ac:dyDescent="0.2">
      <c r="A10">
        <v>1100</v>
      </c>
      <c r="B10" t="s">
        <v>702</v>
      </c>
      <c r="C10" s="178">
        <f>ROUND('DOE25'!L198+'DOE25'!L216+'DOE25'!L234+'DOE25'!L277+'DOE25'!L296+'DOE25'!L315,0)</f>
        <v>7156125</v>
      </c>
      <c r="D10" s="181">
        <f>ROUND((C10/$C$28)*100,1)</f>
        <v>48.8</v>
      </c>
    </row>
    <row r="11" spans="1:4" x14ac:dyDescent="0.2">
      <c r="A11">
        <v>1200</v>
      </c>
      <c r="B11" t="s">
        <v>703</v>
      </c>
      <c r="C11" s="178">
        <f>ROUND('DOE25'!L199+'DOE25'!L217+'DOE25'!L235+'DOE25'!L278+'DOE25'!L297+'DOE25'!L316,0)</f>
        <v>3760785</v>
      </c>
      <c r="D11" s="181">
        <f>ROUND((C11/$C$28)*100,1)</f>
        <v>25.6</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88125</v>
      </c>
      <c r="D13" s="181">
        <f>ROUND((C13/$C$28)*100,1)</f>
        <v>0.6</v>
      </c>
    </row>
    <row r="14" spans="1:4" x14ac:dyDescent="0.2">
      <c r="D14" s="181"/>
    </row>
    <row r="15" spans="1:4" x14ac:dyDescent="0.2">
      <c r="A15">
        <v>2100</v>
      </c>
      <c r="B15" t="s">
        <v>706</v>
      </c>
      <c r="C15" s="178">
        <f>ROUND('DOE25'!L203+'DOE25'!L221+'DOE25'!L239+'DOE25'!L282+'DOE25'!L301+'DOE25'!L320,0)</f>
        <v>756624</v>
      </c>
      <c r="D15" s="181">
        <f t="shared" ref="D15:D27" si="0">ROUND((C15/$C$28)*100,1)</f>
        <v>5.2</v>
      </c>
    </row>
    <row r="16" spans="1:4" x14ac:dyDescent="0.2">
      <c r="A16">
        <v>2200</v>
      </c>
      <c r="B16" t="s">
        <v>707</v>
      </c>
      <c r="C16" s="178">
        <f>ROUND('DOE25'!L204+'DOE25'!L222+'DOE25'!L240+'DOE25'!L283+'DOE25'!L302+'DOE25'!L321,0)</f>
        <v>196513</v>
      </c>
      <c r="D16" s="181">
        <f t="shared" si="0"/>
        <v>1.3</v>
      </c>
    </row>
    <row r="17" spans="1:4" x14ac:dyDescent="0.2">
      <c r="A17" s="182" t="s">
        <v>723</v>
      </c>
      <c r="B17" t="s">
        <v>738</v>
      </c>
      <c r="C17" s="178">
        <f>ROUND('DOE25'!L205+'DOE25'!L210+'DOE25'!L223+'DOE25'!L228+'DOE25'!L241+'DOE25'!L246+'DOE25'!L284+'DOE25'!L289+'DOE25'!L303+'DOE25'!L308+'DOE25'!L322+'DOE25'!L327,0)</f>
        <v>461806</v>
      </c>
      <c r="D17" s="181">
        <f t="shared" si="0"/>
        <v>3.1</v>
      </c>
    </row>
    <row r="18" spans="1:4" x14ac:dyDescent="0.2">
      <c r="A18">
        <v>2400</v>
      </c>
      <c r="B18" t="s">
        <v>711</v>
      </c>
      <c r="C18" s="178">
        <f>ROUND('DOE25'!L206+'DOE25'!L224+'DOE25'!L242+'DOE25'!L285+'DOE25'!L304+'DOE25'!L323,0)</f>
        <v>604001</v>
      </c>
      <c r="D18" s="181">
        <f t="shared" si="0"/>
        <v>4.0999999999999996</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659636</v>
      </c>
      <c r="D20" s="181">
        <f t="shared" si="0"/>
        <v>4.5</v>
      </c>
    </row>
    <row r="21" spans="1:4" x14ac:dyDescent="0.2">
      <c r="A21">
        <v>2700</v>
      </c>
      <c r="B21" t="s">
        <v>710</v>
      </c>
      <c r="C21" s="178">
        <f>ROUND('DOE25'!L209+'DOE25'!L227+'DOE25'!L245+'DOE25'!L288+'DOE25'!L307+'DOE25'!L326,0)</f>
        <v>783654</v>
      </c>
      <c r="D21" s="181">
        <f t="shared" si="0"/>
        <v>5.3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3264</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205016.7</v>
      </c>
      <c r="D27" s="181">
        <f t="shared" si="0"/>
        <v>1.4</v>
      </c>
    </row>
    <row r="28" spans="1:4" x14ac:dyDescent="0.2">
      <c r="B28" s="186" t="s">
        <v>719</v>
      </c>
      <c r="C28" s="179">
        <f>SUM(C10:C27)</f>
        <v>14675549.699999999</v>
      </c>
      <c r="D28" s="183">
        <f>ROUND(SUM(D10:D27),0)</f>
        <v>100</v>
      </c>
    </row>
    <row r="29" spans="1:4" x14ac:dyDescent="0.2">
      <c r="A29">
        <v>4000</v>
      </c>
      <c r="B29" t="s">
        <v>724</v>
      </c>
      <c r="C29" s="178">
        <f>ROUND('DOE25'!L256+'DOE25'!L337+'DOE25'!L375+'DOE25'!L376+'DOE25'!L377+'DOE25'!L378+'DOE25'!L379+'DOE25'!L380+'DOE25'!L381,0)</f>
        <v>109610</v>
      </c>
    </row>
    <row r="30" spans="1:4" x14ac:dyDescent="0.2">
      <c r="B30" s="186" t="s">
        <v>725</v>
      </c>
      <c r="C30" s="179">
        <f>SUM(C28:C29)</f>
        <v>14785159.699999999</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9991937</v>
      </c>
      <c r="D35" s="181">
        <f t="shared" ref="D35:D40" si="1">ROUND((C35/$C$41)*100,1)</f>
        <v>68.900000000000006</v>
      </c>
    </row>
    <row r="36" spans="1:4" x14ac:dyDescent="0.2">
      <c r="B36" s="184" t="s">
        <v>739</v>
      </c>
      <c r="C36" s="178">
        <f>SUM('DOE25'!F112:J112)-SUM('DOE25'!G97:G110)+('DOE25'!F175+'DOE25'!F176+'DOE25'!I175+'DOE25'!I176)-C35</f>
        <v>20971.459999999031</v>
      </c>
      <c r="D36" s="181">
        <f t="shared" si="1"/>
        <v>0.1</v>
      </c>
    </row>
    <row r="37" spans="1:4" x14ac:dyDescent="0.2">
      <c r="A37" s="182" t="s">
        <v>835</v>
      </c>
      <c r="B37" s="184" t="s">
        <v>728</v>
      </c>
      <c r="C37" s="178">
        <f>ROUND('DOE25'!F117+'DOE25'!F118,0)</f>
        <v>3413824</v>
      </c>
      <c r="D37" s="181">
        <f t="shared" si="1"/>
        <v>23.5</v>
      </c>
    </row>
    <row r="38" spans="1:4" x14ac:dyDescent="0.2">
      <c r="A38" s="182" t="s">
        <v>734</v>
      </c>
      <c r="B38" s="184" t="s">
        <v>729</v>
      </c>
      <c r="C38" s="178">
        <f>ROUND(SUM('DOE25'!F140:J140)-SUM('DOE25'!F117:F119),0)</f>
        <v>189442</v>
      </c>
      <c r="D38" s="181">
        <f t="shared" si="1"/>
        <v>1.3</v>
      </c>
    </row>
    <row r="39" spans="1:4" x14ac:dyDescent="0.2">
      <c r="A39">
        <v>4000</v>
      </c>
      <c r="B39" s="184" t="s">
        <v>730</v>
      </c>
      <c r="C39" s="178">
        <f>ROUND('DOE25'!F170+'DOE25'!G170+'DOE25'!H170+'DOE25'!I170,0)</f>
        <v>889665</v>
      </c>
      <c r="D39" s="181">
        <f t="shared" si="1"/>
        <v>6.1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14505839.459999999</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9" sqref="A9:XFD9"/>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Deerfield</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5</v>
      </c>
      <c r="B4" s="218">
        <v>12</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60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f>IF('School Level Expenditures'!$B$2=A63,'School Tables'!H63,"")</f>
        <v>60</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2022-12-19T14:57:10Z</dcterms:modified>
</cp:coreProperties>
</file>