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105E4A9-A5C2-41DF-BD9F-2A23CFA18E6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27" i="1" l="1"/>
  <c r="F527" i="1"/>
  <c r="F528" i="1"/>
  <c r="F522" i="1"/>
  <c r="G522" i="1"/>
  <c r="H522" i="1"/>
  <c r="I522" i="1"/>
  <c r="J522" i="1"/>
  <c r="K522" i="1"/>
  <c r="F523" i="1"/>
  <c r="G523" i="1"/>
  <c r="H523" i="1"/>
  <c r="I523" i="1"/>
  <c r="J523" i="1"/>
  <c r="K523" i="1"/>
  <c r="F524" i="1"/>
  <c r="G524" i="1"/>
  <c r="H524" i="1"/>
  <c r="F50" i="1" l="1"/>
  <c r="D25" i="14" l="1"/>
  <c r="D10" i="14"/>
  <c r="D9" i="14"/>
  <c r="F466" i="1"/>
  <c r="H605" i="1"/>
  <c r="I605" i="1"/>
  <c r="J216" i="1" l="1"/>
  <c r="G40" i="1" l="1"/>
  <c r="G16" i="1"/>
  <c r="H361" i="1"/>
  <c r="I302" i="1" l="1"/>
  <c r="I283" i="1"/>
  <c r="H155" i="1" l="1"/>
  <c r="H154" i="1"/>
  <c r="D37" i="14" l="1"/>
  <c r="D11" i="14"/>
  <c r="D8" i="14"/>
  <c r="D7" i="14"/>
  <c r="D27" i="14"/>
  <c r="D26" i="14"/>
  <c r="E7" i="14"/>
  <c r="E11" i="14"/>
  <c r="E10" i="14"/>
  <c r="E9" i="14"/>
  <c r="H593" i="1" l="1"/>
  <c r="I593" i="1"/>
  <c r="H239" i="1"/>
  <c r="H235" i="1"/>
  <c r="H227" i="1"/>
  <c r="I226" i="1"/>
  <c r="H226" i="1"/>
  <c r="I225" i="1"/>
  <c r="H224" i="1"/>
  <c r="G224" i="1"/>
  <c r="I223" i="1"/>
  <c r="H223" i="1"/>
  <c r="H222" i="1"/>
  <c r="G222" i="1"/>
  <c r="H221" i="1"/>
  <c r="I217" i="1"/>
  <c r="H217" i="1"/>
  <c r="I216" i="1"/>
  <c r="H209" i="1"/>
  <c r="I208" i="1"/>
  <c r="H208" i="1"/>
  <c r="I207" i="1"/>
  <c r="I206" i="1"/>
  <c r="H206" i="1"/>
  <c r="G206" i="1"/>
  <c r="I205" i="1"/>
  <c r="H205" i="1"/>
  <c r="I204" i="1"/>
  <c r="H204" i="1"/>
  <c r="G204" i="1"/>
  <c r="H203" i="1"/>
  <c r="I199" i="1"/>
  <c r="H199" i="1"/>
  <c r="D11" i="13" l="1"/>
  <c r="B12" i="12"/>
  <c r="C11" i="12"/>
  <c r="G13" i="1" l="1"/>
  <c r="H135" i="2" l="1"/>
  <c r="H136" i="2"/>
  <c r="H137" i="2"/>
  <c r="H139" i="2"/>
  <c r="H140" i="2"/>
  <c r="H142" i="2"/>
  <c r="H143" i="2"/>
  <c r="H134" i="2"/>
  <c r="H113" i="2"/>
  <c r="H97" i="2"/>
  <c r="H98" i="2"/>
  <c r="H99" i="2"/>
  <c r="H100" i="2"/>
  <c r="H101" i="2"/>
  <c r="H102" i="2"/>
  <c r="H103" i="2"/>
  <c r="H96" i="2"/>
  <c r="H94" i="2"/>
  <c r="H93" i="2"/>
  <c r="H89" i="2"/>
  <c r="H90" i="2"/>
  <c r="H87" i="2"/>
  <c r="H85" i="2"/>
  <c r="H76" i="2"/>
  <c r="H79" i="2"/>
  <c r="H80" i="2"/>
  <c r="H43" i="2"/>
  <c r="H42" i="2"/>
  <c r="H40" i="2"/>
  <c r="H38" i="2"/>
  <c r="H36" i="2"/>
  <c r="H30" i="2"/>
  <c r="H21" i="2"/>
  <c r="H9" i="2"/>
  <c r="H10" i="2"/>
  <c r="H14" i="2"/>
  <c r="H16"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F47" i="2"/>
  <c r="E47" i="2"/>
  <c r="D47" i="2"/>
  <c r="C47" i="2"/>
  <c r="F44" i="2"/>
  <c r="E44" i="2"/>
  <c r="D44" i="2"/>
  <c r="C44" i="2"/>
  <c r="H44" i="2" s="1"/>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H13" i="2" s="1"/>
  <c r="F13" i="2"/>
  <c r="I444" i="1"/>
  <c r="J14" i="1" s="1"/>
  <c r="G13" i="2" s="1"/>
  <c r="F14" i="2"/>
  <c r="C15" i="2"/>
  <c r="D15" i="2"/>
  <c r="H15" i="2" s="1"/>
  <c r="E15" i="2"/>
  <c r="F15" i="2"/>
  <c r="C16" i="2"/>
  <c r="D16" i="2"/>
  <c r="E16" i="2"/>
  <c r="F16" i="2"/>
  <c r="I445" i="1"/>
  <c r="J17" i="1" s="1"/>
  <c r="C17" i="2"/>
  <c r="D17" i="2"/>
  <c r="H17" i="2" s="1"/>
  <c r="E17" i="2"/>
  <c r="F17" i="2"/>
  <c r="I446" i="1"/>
  <c r="J18" i="1" s="1"/>
  <c r="G17" i="2" s="1"/>
  <c r="C21" i="2"/>
  <c r="D21" i="2"/>
  <c r="E21" i="2"/>
  <c r="F21" i="2"/>
  <c r="I449" i="1"/>
  <c r="J22" i="1" s="1"/>
  <c r="C22" i="2"/>
  <c r="D22" i="2"/>
  <c r="H22" i="2" s="1"/>
  <c r="E22" i="2"/>
  <c r="F22" i="2"/>
  <c r="I450" i="1"/>
  <c r="J23" i="1" s="1"/>
  <c r="G22" i="2" s="1"/>
  <c r="C23" i="2"/>
  <c r="D23" i="2"/>
  <c r="E23" i="2"/>
  <c r="F23" i="2"/>
  <c r="I451" i="1"/>
  <c r="J24" i="1" s="1"/>
  <c r="G23" i="2" s="1"/>
  <c r="C24" i="2"/>
  <c r="H24" i="2" s="1"/>
  <c r="D24" i="2"/>
  <c r="E24" i="2"/>
  <c r="F24" i="2"/>
  <c r="C25" i="2"/>
  <c r="H25" i="2" s="1"/>
  <c r="F25" i="2"/>
  <c r="C26" i="2"/>
  <c r="H26" i="2" s="1"/>
  <c r="F26" i="2"/>
  <c r="C27" i="2"/>
  <c r="H27" i="2" s="1"/>
  <c r="D27" i="2"/>
  <c r="E27" i="2"/>
  <c r="F27" i="2"/>
  <c r="C28" i="2"/>
  <c r="D28" i="2"/>
  <c r="E28" i="2"/>
  <c r="F28" i="2"/>
  <c r="C29" i="2"/>
  <c r="D29" i="2"/>
  <c r="E29" i="2"/>
  <c r="F29" i="2"/>
  <c r="C30" i="2"/>
  <c r="D30" i="2"/>
  <c r="E30" i="2"/>
  <c r="F30" i="2"/>
  <c r="I452" i="1"/>
  <c r="J31" i="1" s="1"/>
  <c r="G30" i="2" s="1"/>
  <c r="C34" i="2"/>
  <c r="D34" i="2"/>
  <c r="H34" i="2" s="1"/>
  <c r="E34" i="2"/>
  <c r="F34" i="2"/>
  <c r="C35" i="2"/>
  <c r="D35" i="2"/>
  <c r="H35" i="2" s="1"/>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H653" i="1"/>
  <c r="G654" i="1"/>
  <c r="H654" i="1"/>
  <c r="H655" i="1"/>
  <c r="H656" i="1"/>
  <c r="I170" i="1"/>
  <c r="G662" i="1" l="1"/>
  <c r="H47" i="2"/>
  <c r="E124" i="2"/>
  <c r="G663" i="1"/>
  <c r="D15" i="13"/>
  <c r="C15" i="13" s="1"/>
  <c r="C110" i="2"/>
  <c r="C119" i="2"/>
  <c r="C121" i="2"/>
  <c r="H48" i="2"/>
  <c r="H29" i="2"/>
  <c r="H28" i="2"/>
  <c r="H8" i="2"/>
  <c r="C120" i="2"/>
  <c r="H120" i="2" s="1"/>
  <c r="D6" i="13"/>
  <c r="C6" i="13" s="1"/>
  <c r="E13" i="13"/>
  <c r="C13" i="13" s="1"/>
  <c r="C112" i="2"/>
  <c r="H125" i="2"/>
  <c r="H61" i="2"/>
  <c r="H59" i="2"/>
  <c r="G62" i="2"/>
  <c r="H12" i="2"/>
  <c r="G477" i="1"/>
  <c r="H624" i="1" s="1"/>
  <c r="J624" i="1" s="1"/>
  <c r="D78" i="2"/>
  <c r="H77" i="2"/>
  <c r="H23" i="2"/>
  <c r="H11" i="2"/>
  <c r="J652" i="1"/>
  <c r="H477" i="1"/>
  <c r="H625" i="1" s="1"/>
  <c r="J625" i="1" s="1"/>
  <c r="E111" i="2"/>
  <c r="E121" i="2"/>
  <c r="A40" i="12"/>
  <c r="E112" i="2"/>
  <c r="H112" i="2" s="1"/>
  <c r="C12" i="10"/>
  <c r="C13" i="10"/>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78" i="2" l="1"/>
  <c r="L572" i="1"/>
  <c r="H119" i="2"/>
  <c r="H124" i="2"/>
  <c r="H110" i="2"/>
  <c r="H121" i="2"/>
  <c r="H31" i="2"/>
  <c r="H114" i="2"/>
  <c r="H122" i="2"/>
  <c r="H123" i="2"/>
  <c r="H111" i="2"/>
  <c r="C81" i="2"/>
  <c r="F194" i="1"/>
  <c r="G628" i="1" s="1"/>
  <c r="J628" i="1" s="1"/>
  <c r="B33" i="16"/>
  <c r="D128" i="2"/>
  <c r="D145" i="2" s="1"/>
  <c r="H127" i="2"/>
  <c r="H91" i="2"/>
  <c r="D81" i="2"/>
  <c r="D63" i="2"/>
  <c r="H62" i="2"/>
  <c r="D51" i="2"/>
  <c r="H18" i="2"/>
  <c r="I663" i="1"/>
  <c r="G24" i="14"/>
  <c r="H24" i="14" s="1"/>
  <c r="I24" i="14" s="1"/>
  <c r="E128" i="2"/>
  <c r="H118" i="2"/>
  <c r="E115" i="2"/>
  <c r="H109" i="2"/>
  <c r="F661" i="1"/>
  <c r="F665" i="1" s="1"/>
  <c r="F668" i="1" s="1"/>
  <c r="E51" i="2"/>
  <c r="H50"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3" i="2"/>
  <c r="H128" i="2"/>
  <c r="H115" i="2"/>
  <c r="H81" i="2"/>
  <c r="C144" i="2"/>
  <c r="H144" i="2" s="1"/>
  <c r="H141" i="2"/>
  <c r="H51" i="2"/>
  <c r="D104" i="2"/>
  <c r="H104" i="2" s="1"/>
  <c r="H673" i="1"/>
  <c r="C6" i="10" s="1"/>
  <c r="E145"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<sst xmlns="http://schemas.openxmlformats.org/spreadsheetml/2006/main" count="6532" uniqueCount="1803">
  <si>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</si>
  <si>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</si>
  <si>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</si>
  <si>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</si>
  <si>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</si>
  <si>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</si>
  <si>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</si>
  <si>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</si>
  <si>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</si>
  <si>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</si>
  <si>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</si>
  <si>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</si>
  <si>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</si>
  <si>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</si>
  <si>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</si>
  <si>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</si>
  <si>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</si>
  <si>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</si>
  <si>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</si>
  <si>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</si>
  <si>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</si>
  <si>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</si>
  <si>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</si>
  <si>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</si>
  <si>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</si>
  <si>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</si>
  <si>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</si>
  <si>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</si>
  <si>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</si>
  <si>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</si>
  <si>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</si>
  <si>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</si>
  <si>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</si>
  <si>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</si>
  <si>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</si>
  <si>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</si>
  <si>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</si>
  <si>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</si>
  <si>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</si>
  <si>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</si>
  <si>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</si>
  <si>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</si>
  <si>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</si>
  <si>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</si>
  <si>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</si>
  <si>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</si>
  <si>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</si>
  <si>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</si>
  <si>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</si>
  <si>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</si>
  <si>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</si>
  <si>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</si>
  <si>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</si>
  <si>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</si>
  <si>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</si>
  <si>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</si>
  <si>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</si>
  <si>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</si>
  <si>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</si>
  <si>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</si>
  <si>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</si>
  <si>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</si>
  <si>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</si>
  <si>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</si>
  <si>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</si>
  <si>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</si>
  <si>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</si>
  <si>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</si>
  <si>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</si>
  <si>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</si>
  <si>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</si>
  <si>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</si>
  <si>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</si>
  <si>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</si>
  <si>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</si>
  <si>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</si>
  <si>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</si>
  <si>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</si>
  <si>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</si>
  <si>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</si>
  <si>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</si>
  <si>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</si>
  <si>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</si>
  <si>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</si>
  <si>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</si>
  <si>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</si>
  <si>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</si>
  <si>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</si>
  <si>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</si>
  <si>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</si>
  <si>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</si>
  <si>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</si>
  <si>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</si>
  <si>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</si>
  <si>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</si>
  <si>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</si>
  <si>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</si>
  <si>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</si>
  <si>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</si>
  <si>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</si>
  <si>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</si>
  <si>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</si>
  <si>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</si>
  <si>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</si>
  <si>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</si>
  <si>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</si>
  <si>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</si>
  <si>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</si>
  <si>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</si>
  <si>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</si>
  <si>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</si>
  <si>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</si>
  <si>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</si>
  <si>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</si>
  <si>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</si>
  <si>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</si>
  <si>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</si>
  <si>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</si>
  <si>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</si>
  <si>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</si>
  <si>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</si>
  <si>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</si>
  <si>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</si>
  <si>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</si>
  <si>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</si>
  <si>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</si>
  <si>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</si>
  <si>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</si>
  <si>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</si>
  <si>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</si>
  <si>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</si>
  <si>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</si>
  <si>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</si>
  <si>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</si>
  <si>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</si>
  <si>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</si>
  <si>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</si>
  <si>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</si>
  <si>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</si>
  <si>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</si>
  <si>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</si>
  <si>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</si>
  <si>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</si>
  <si>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</si>
  <si>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</si>
  <si>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</si>
  <si>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</si>
  <si>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</si>
  <si>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</si>
  <si>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</si>
  <si>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</si>
  <si>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</si>
  <si>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</si>
  <si>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</si>
  <si>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</si>
  <si>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</si>
  <si>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</si>
  <si>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</si>
  <si>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</si>
  <si>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</si>
  <si>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</si>
  <si>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</si>
  <si>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</si>
  <si>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</si>
  <si>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</si>
  <si>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</si>
  <si>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</si>
  <si>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</si>
  <si>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</si>
  <si>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</si>
  <si>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</si>
  <si>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</si>
  <si>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</si>
  <si>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</si>
  <si>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</si>
  <si>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</si>
  <si>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</si>
  <si>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</si>
  <si>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</si>
  <si>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</si>
  <si>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</si>
  <si>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</si>
  <si>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</si>
  <si>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</si>
  <si>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</si>
  <si>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</si>
  <si>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</si>
  <si>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</si>
  <si>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</si>
  <si>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</si>
  <si>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</si>
  <si>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</si>
  <si>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</si>
  <si>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</si>
  <si>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</si>
  <si>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</si>
  <si>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</si>
  <si>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</si>
  <si>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</si>
  <si>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</si>
  <si>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</si>
  <si>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</si>
  <si>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</si>
  <si>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</si>
  <si>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</si>
  <si>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</si>
  <si>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</si>
  <si>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</si>
  <si>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</si>
  <si>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</si>
  <si>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</si>
  <si>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</si>
  <si>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</si>
  <si>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</si>
  <si>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</si>
  <si>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</si>
  <si>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</si>
  <si>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</si>
  <si>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</si>
  <si>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</si>
  <si>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</si>
  <si>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</si>
  <si>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</si>
  <si>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</si>
  <si>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</si>
  <si>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</si>
  <si>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</si>
  <si>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</si>
  <si>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</si>
  <si>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</si>
  <si>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</si>
  <si>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</si>
  <si>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</si>
  <si>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</si>
  <si>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</si>
  <si>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</si>
  <si>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</si>
  <si>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</si>
  <si>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</si>
  <si>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</si>
  <si>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</si>
  <si>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</si>
  <si>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</si>
  <si>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</si>
  <si>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</si>
  <si>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</si>
  <si>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</si>
  <si>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</si>
  <si>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</si>
  <si>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</si>
  <si>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</si>
  <si>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</si>
  <si>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</si>
  <si>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</si>
  <si>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</si>
  <si>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</si>
  <si>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</si>
  <si>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</si>
  <si>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</si>
  <si>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</si>
  <si>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</si>
  <si>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</si>
  <si>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</si>
  <si>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</si>
  <si>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</si>
  <si>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</si>
  <si>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</si>
  <si>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</si>
  <si>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</si>
  <si>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</si>
  <si>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</si>
  <si>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</si>
  <si>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</si>
  <si>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</si>
  <si>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</si>
  <si>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</si>
  <si>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</si>
  <si>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</si>
  <si>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</si>
  <si>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</si>
  <si>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</si>
  <si>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</si>
  <si>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</si>
  <si>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</si>
  <si>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</si>
  <si>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</si>
  <si>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</si>
  <si>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</si>
  <si>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</si>
  <si>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</si>
  <si>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</si>
  <si>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</si>
  <si>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</si>
  <si>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</si>
  <si>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</si>
  <si>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</si>
  <si>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</si>
  <si>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</si>
  <si>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</si>
  <si>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</si>
  <si>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</si>
  <si>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</si>
  <si>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</si>
  <si>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</si>
  <si>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</si>
  <si>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</si>
  <si>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</si>
  <si>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</si>
  <si>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</si>
  <si>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</si>
  <si>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</si>
  <si>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</si>
  <si>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</si>
  <si>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</si>
  <si>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</si>
  <si>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</si>
  <si>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</si>
  <si>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</si>
  <si>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</si>
  <si>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</si>
  <si>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</si>
  <si>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</si>
  <si>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</si>
  <si>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</si>
  <si>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</si>
  <si>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</si>
  <si>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</si>
  <si>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</si>
  <si>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</si>
  <si>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</si>
  <si>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</si>
  <si>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</si>
  <si>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</si>
  <si>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</si>
  <si>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</si>
  <si>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</si>
  <si>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</si>
  <si>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</si>
  <si>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</si>
  <si>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</si>
  <si>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</si>
  <si>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</si>
  <si>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</si>
  <si>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</si>
  <si>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</si>
  <si>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</si>
  <si>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</si>
  <si>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</si>
  <si>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</si>
  <si>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</si>
  <si>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</si>
  <si>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</si>
  <si>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</si>
  <si>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</si>
  <si>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</si>
  <si>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</si>
  <si>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</si>
  <si>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</si>
  <si>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</si>
  <si>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</si>
  <si>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</si>
  <si>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</si>
  <si>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</si>
  <si>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</si>
  <si>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</si>
  <si>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</si>
  <si>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</si>
  <si>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</si>
  <si>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</si>
  <si>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</si>
  <si>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</si>
  <si>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</si>
  <si>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</si>
  <si>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</si>
  <si>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</si>
  <si>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</si>
  <si>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</si>
  <si>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</si>
  <si>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</si>
  <si>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</si>
  <si>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</si>
  <si>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</si>
  <si>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</si>
  <si>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</si>
  <si>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</si>
  <si>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</si>
  <si>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</si>
  <si>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</si>
  <si>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</si>
  <si>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</si>
  <si>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</si>
  <si>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</si>
  <si>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</si>
  <si>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</si>
  <si>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</si>
  <si>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</si>
  <si>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</si>
  <si>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</si>
  <si>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</si>
  <si>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</si>
  <si>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</si>
  <si>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</si>
  <si>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</si>
  <si>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</si>
  <si>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</si>
  <si>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</si>
  <si>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</si>
  <si>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</si>
  <si>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</si>
  <si>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</si>
  <si>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</si>
  <si>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</si>
  <si>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</si>
  <si>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</si>
  <si>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</si>
  <si>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</si>
  <si>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</si>
  <si>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</si>
  <si>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</si>
  <si>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</si>
  <si>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</si>
  <si>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</si>
  <si>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</si>
  <si>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</si>
  <si>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</si>
  <si>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</si>
  <si>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</si>
  <si>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</si>
  <si>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</si>
  <si>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</si>
  <si>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</si>
  <si>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</si>
  <si>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</si>
  <si>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</si>
  <si>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</si>
  <si>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</si>
  <si>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</si>
  <si>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</si>
  <si>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</si>
  <si>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</si>
  <si>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</si>
  <si>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</si>
  <si>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</si>
  <si>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</si>
  <si>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</si>
  <si>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</si>
  <si>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</si>
  <si>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</si>
  <si>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</si>
  <si>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</si>
  <si>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</si>
  <si>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</si>
  <si>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</si>
  <si>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</si>
  <si>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</si>
  <si>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</si>
  <si>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</si>
  <si>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</si>
  <si>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</si>
  <si>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</si>
  <si>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</si>
  <si>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</si>
  <si>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</si>
  <si>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</si>
  <si>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</si>
  <si>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</si>
  <si>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</si>
  <si>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</si>
  <si>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</si>
  <si>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</si>
  <si>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</si>
  <si>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</si>
  <si>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</si>
  <si>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</si>
  <si>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</si>
  <si>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</si>
  <si>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</si>
  <si>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</si>
  <si>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</si>
  <si>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</si>
  <si>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</si>
  <si>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</si>
  <si>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</si>
  <si>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</si>
  <si>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</si>
  <si>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</si>
  <si>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</si>
  <si>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</si>
  <si>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</si>
  <si>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</si>
  <si>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</si>
  <si>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</si>
  <si>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</si>
  <si>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</si>
  <si>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</si>
  <si>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</si>
  <si>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</si>
  <si>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</si>
  <si>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</si>
  <si>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</si>
  <si>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</si>
  <si>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</si>
  <si>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</si>
  <si>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</si>
  <si>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</si>
  <si>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</si>
  <si>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</si>
  <si>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</si>
  <si>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</si>
  <si>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</si>
  <si>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</si>
  <si>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</si>
  <si>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</si>
  <si>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</si>
  <si>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</si>
  <si>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</si>
  <si>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</si>
  <si>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</si>
  <si>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</si>
  <si>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</si>
  <si>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</si>
  <si>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</si>
  <si>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</si>
  <si>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</si>
  <si>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</si>
  <si>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</si>
  <si>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</si>
  <si>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</si>
  <si>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</si>
  <si>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</si>
  <si>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</si>
  <si>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</si>
  <si>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</si>
  <si>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</si>
  <si>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</si>
  <si>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</si>
  <si>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</si>
  <si>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</si>
  <si>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</si>
  <si>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</si>
  <si>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</si>
  <si>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</si>
  <si>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</si>
  <si>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</si>
  <si>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</si>
  <si>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</si>
  <si>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</si>
  <si>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</si>
  <si>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</si>
  <si>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</si>
  <si>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</si>
  <si>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</si>
  <si>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</si>
  <si>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</si>
  <si>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</si>
  <si>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</si>
  <si>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</si>
  <si>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</si>
  <si>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</si>
  <si>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</si>
  <si>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</si>
  <si>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</si>
  <si>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</si>
  <si>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</si>
  <si>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</si>
  <si>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</si>
  <si>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</si>
  <si>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</si>
  <si>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</si>
  <si>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</si>
  <si>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</si>
  <si>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</si>
  <si>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</si>
  <si>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</si>
  <si>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</si>
  <si>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</si>
  <si>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</si>
  <si>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</si>
  <si>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</si>
  <si>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</si>
  <si>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</si>
  <si>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</si>
  <si>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</si>
  <si>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</si>
  <si>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</si>
  <si>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</si>
  <si>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</si>
  <si>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</si>
  <si>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</si>
  <si>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</si>
  <si>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</si>
  <si>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</si>
  <si>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</si>
  <si>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</si>
  <si>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</si>
  <si>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</si>
  <si>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</si>
  <si>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</si>
  <si>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</si>
  <si>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</si>
  <si>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</si>
  <si>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</si>
  <si>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</si>
  <si>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</si>
  <si>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</si>
  <si>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</si>
  <si>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</si>
  <si>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</si>
  <si>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</si>
  <si>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</si>
  <si>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</si>
  <si>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</si>
  <si>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</si>
  <si>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</si>
  <si>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</si>
  <si>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</si>
  <si>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</si>
  <si>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</si>
  <si>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</si>
  <si>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</si>
  <si>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</si>
  <si>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</si>
  <si>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</si>
  <si>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</si>
  <si>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</si>
  <si>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</si>
  <si>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</si>
  <si>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</si>
  <si>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</si>
  <si>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</si>
  <si>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</si>
  <si>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</si>
  <si>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</si>
  <si>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</si>
  <si>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</si>
  <si>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</si>
  <si>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</si>
  <si>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</si>
  <si>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</si>
  <si>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</si>
  <si>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</si>
  <si>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</si>
  <si>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</si>
  <si>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</si>
  <si>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</si>
  <si>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</si>
  <si>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</si>
  <si>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</si>
  <si>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</si>
  <si>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</si>
  <si>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</si>
  <si>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</si>
  <si>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</si>
  <si>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</si>
  <si>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</si>
  <si>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</si>
  <si>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</si>
  <si>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</si>
  <si>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</si>
  <si>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</si>
  <si>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</si>
  <si>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</si>
  <si>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</si>
  <si>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</si>
  <si>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</si>
  <si>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</si>
  <si>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</si>
  <si>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</si>
  <si>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</si>
  <si>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</si>
  <si>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</si>
  <si>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</si>
  <si>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</si>
  <si>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</si>
  <si>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</si>
  <si>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</si>
  <si>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</si>
  <si>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</si>
  <si>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</si>
  <si>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</si>
  <si>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</si>
  <si>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</si>
  <si>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</si>
  <si>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</si>
  <si>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</si>
  <si>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</si>
  <si>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</si>
  <si>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</si>
  <si>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</si>
  <si>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</si>
  <si>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</si>
  <si>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</si>
  <si>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</si>
  <si>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</si>
  <si>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</si>
  <si>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</si>
  <si>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</si>
  <si>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</si>
  <si>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</si>
  <si>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</si>
  <si>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</si>
  <si>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</si>
  <si>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</si>
  <si>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</si>
  <si>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</si>
  <si>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</si>
  <si>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</si>
  <si>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</si>
  <si>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</si>
  <si>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</si>
  <si>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</si>
  <si>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</si>
  <si>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</si>
  <si>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</si>
  <si>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</si>
  <si>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</si>
  <si>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</si>
  <si>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</si>
  <si>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</si>
  <si>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</si>
  <si>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</si>
  <si>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</si>
  <si>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</si>
  <si>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</si>
  <si>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</si>
  <si>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</si>
  <si>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</si>
  <si>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</si>
  <si>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</si>
  <si>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</si>
  <si>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</si>
  <si>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</si>
  <si>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</si>
  <si>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</si>
  <si>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</si>
  <si>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</si>
  <si>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</si>
  <si>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</si>
  <si>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</si>
  <si>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</si>
  <si>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</si>
  <si>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</si>
  <si>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</si>
  <si>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</si>
  <si>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</si>
  <si>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</si>
  <si>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</si>
  <si>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</si>
  <si>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</si>
  <si>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</si>
  <si>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</si>
  <si>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</si>
  <si>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</si>
  <si>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</si>
  <si>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</si>
  <si>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</si>
  <si>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</si>
  <si>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</si>
  <si>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</si>
  <si>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</si>
  <si>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</si>
  <si>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</si>
  <si>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</si>
  <si>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</si>
  <si>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</si>
  <si>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</si>
  <si>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</si>
  <si>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</si>
  <si>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</si>
  <si>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</si>
  <si>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</si>
  <si>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</si>
  <si>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</si>
  <si>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</si>
  <si>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</si>
  <si>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</si>
  <si>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</si>
  <si>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</si>
  <si>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</si>
  <si>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</si>
  <si>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</si>
  <si>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</si>
  <si>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</si>
  <si>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</si>
  <si>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</si>
  <si>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</si>
  <si>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</si>
  <si>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</si>
  <si>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</si>
  <si>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</si>
  <si>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</si>
  <si>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</si>
  <si>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</si>
  <si>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</si>
  <si>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</si>
  <si>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</si>
  <si>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</si>
  <si>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</si>
  <si>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</si>
  <si>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</si>
  <si>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</si>
  <si>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</si>
  <si>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</si>
  <si>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</si>
  <si>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</si>
  <si>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</si>
  <si>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</si>
  <si>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</si>
  <si>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</si>
  <si>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</si>
  <si>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</si>
  <si>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</si>
  <si>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</si>
  <si>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</si>
  <si>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</si>
  <si>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</si>
  <si>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</si>
  <si>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</si>
  <si>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</si>
  <si>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</si>
  <si>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</si>
  <si>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</si>
  <si>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</si>
  <si>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</si>
  <si>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</si>
  <si>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</si>
  <si>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</si>
  <si>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</si>
  <si>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</si>
  <si>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</si>
  <si>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</si>
  <si>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</si>
  <si>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</si>
  <si>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</si>
  <si>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</si>
  <si>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</si>
  <si>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</si>
  <si>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</si>
  <si>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</si>
  <si>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</si>
  <si>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</si>
  <si>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</si>
  <si>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</si>
  <si>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</si>
  <si>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</si>
  <si>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</si>
  <si>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</si>
  <si>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</si>
  <si>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</si>
  <si>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</si>
  <si>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</si>
  <si>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</si>
  <si>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</si>
  <si>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</si>
  <si>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</si>
  <si>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</si>
  <si>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</si>
  <si>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</si>
  <si>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</si>
  <si>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</si>
  <si>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</si>
  <si>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</si>
  <si>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</si>
  <si>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</si>
  <si>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</si>
  <si>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</si>
  <si>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</si>
  <si>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</si>
  <si>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</si>
  <si>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</si>
  <si>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</si>
  <si>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</si>
  <si>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</si>
  <si>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</si>
  <si>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</si>
  <si>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</si>
  <si>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</si>
  <si>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</si>
  <si>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</si>
  <si>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</si>
  <si>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</si>
  <si>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</si>
  <si>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</si>
  <si>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</si>
  <si>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</si>
  <si>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</si>
  <si>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</si>
  <si>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</si>
  <si>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</si>
  <si>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</si>
  <si>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</si>
  <si>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</si>
  <si>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</si>
  <si>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</si>
  <si>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</si>
  <si>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</si>
  <si>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</si>
  <si>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</si>
  <si>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</si>
  <si>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</si>
  <si>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</si>
  <si>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</si>
  <si>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</si>
  <si>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</si>
  <si>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</si>
  <si>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</si>
  <si>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</si>
  <si>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</si>
  <si>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</si>
  <si>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</si>
  <si>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</si>
  <si>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</si>
  <si>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</si>
  <si>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</si>
  <si>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</si>
  <si>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</si>
  <si>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</si>
  <si>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</si>
  <si>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</si>
  <si>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</si>
  <si>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</si>
  <si>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</si>
  <si>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</si>
  <si>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</si>
  <si>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</si>
  <si>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</si>
  <si>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</si>
  <si>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</si>
  <si>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</si>
  <si>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</si>
  <si>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</si>
  <si>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</si>
  <si>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</si>
  <si>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</si>
  <si>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</si>
  <si>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</si>
  <si>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</si>
  <si>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</si>
  <si>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</si>
  <si>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</si>
  <si>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</si>
  <si>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</si>
  <si>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</si>
  <si>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</si>
  <si>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</si>
  <si>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</si>
  <si>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</si>
  <si>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</si>
  <si>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</si>
  <si>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</si>
  <si>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</si>
  <si>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</si>
  <si>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</si>
  <si>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</si>
  <si>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</si>
  <si>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</si>
  <si>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</si>
  <si>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</si>
  <si>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</si>
  <si>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</si>
  <si>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</si>
  <si>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</si>
  <si>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</si>
  <si>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</si>
  <si>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</si>
  <si>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</si>
  <si>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</si>
  <si>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</si>
  <si>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</si>
  <si>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</si>
  <si>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</si>
  <si>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</si>
  <si>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</si>
  <si>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</si>
  <si>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</si>
  <si>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</si>
  <si>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</si>
  <si>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</si>
  <si>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</si>
  <si>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</si>
  <si>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</si>
  <si>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</si>
  <si>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</si>
  <si>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</si>
  <si>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</si>
  <si>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</si>
  <si>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</si>
  <si>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</si>
  <si>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</si>
  <si>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</si>
  <si>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</si>
  <si>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</si>
  <si>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</si>
  <si>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</si>
  <si>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</si>
  <si>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</si>
  <si>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</si>
  <si>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</si>
  <si>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</si>
  <si>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</si>
  <si>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</si>
  <si>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</si>
  <si>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</si>
  <si>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</si>
  <si>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</si>
  <si>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</si>
  <si>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</si>
  <si>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</si>
  <si>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</si>
  <si>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</si>
  <si>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</si>
  <si>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</si>
  <si>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</si>
  <si>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</si>
  <si>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</si>
  <si>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</si>
  <si>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</si>
  <si>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</si>
  <si>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</si>
  <si>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</si>
  <si>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</si>
  <si>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</si>
  <si>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</si>
  <si>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</si>
  <si>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</si>
  <si>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</si>
  <si>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</si>
  <si>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</si>
  <si>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</si>
  <si>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</si>
  <si>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</si>
  <si>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</si>
  <si>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</si>
  <si>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</si>
  <si>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</si>
  <si>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</si>
  <si>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</si>
  <si>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</si>
  <si>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</si>
  <si>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</si>
  <si>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</si>
  <si>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</si>
  <si>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</si>
  <si>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</si>
  <si>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</si>
  <si>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</si>
  <si>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</si>
  <si>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</si>
  <si>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</si>
  <si>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</si>
  <si>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</si>
  <si>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</si>
  <si>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</si>
  <si>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</si>
  <si>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</si>
  <si>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</si>
  <si>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</si>
  <si>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</si>
  <si>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</si>
  <si>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</si>
  <si>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</si>
  <si>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</si>
  <si>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</si>
  <si>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</si>
  <si>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</si>
  <si>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</si>
  <si>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</si>
  <si>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</si>
  <si>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</si>
  <si>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</si>
  <si>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</si>
  <si>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</si>
  <si>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</si>
  <si>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</si>
  <si>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</si>
  <si>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</si>
  <si>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</si>
  <si>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</si>
  <si>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</si>
  <si>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</si>
  <si>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</si>
  <si>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</si>
  <si>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</si>
  <si>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</si>
  <si>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</si>
  <si>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</si>
  <si>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</si>
  <si>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</si>
  <si>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</si>
  <si>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</si>
  <si>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</si>
  <si>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</si>
  <si>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</si>
  <si>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</si>
  <si>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</si>
  <si>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</si>
  <si>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</si>
  <si>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</si>
  <si>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</si>
  <si>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</si>
  <si>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</si>
  <si>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</si>
  <si>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</si>
  <si>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</si>
  <si>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</si>
  <si>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</si>
  <si>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</si>
  <si>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</si>
  <si>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</si>
  <si>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</si>
  <si>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</si>
  <si>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</si>
  <si>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</si>
  <si>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</si>
  <si>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</si>
  <si>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</si>
  <si>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</si>
  <si>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</si>
  <si>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</si>
  <si>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</si>
  <si>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</si>
  <si>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</si>
  <si>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</si>
  <si>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</si>
  <si>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</si>
  <si>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</si>
  <si>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</si>
  <si>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</si>
  <si>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</si>
  <si>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</si>
  <si>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</si>
  <si>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</si>
  <si>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</si>
  <si>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</si>
  <si>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</si>
  <si>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</si>
  <si>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</si>
  <si>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</si>
  <si>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</si>
  <si>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</si>
  <si>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</si>
  <si>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</si>
  <si>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</si>
  <si>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</si>
  <si>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</si>
  <si>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</si>
  <si>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</si>
  <si>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</si>
  <si>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</si>
  <si>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</si>
  <si>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</si>
  <si>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</si>
  <si>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</si>
  <si>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</si>
  <si>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</si>
  <si>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</si>
  <si>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</si>
  <si>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</si>
  <si>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</si>
  <si>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</si>
  <si>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</si>
  <si>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</si>
  <si>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</si>
  <si>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</si>
  <si>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</si>
  <si>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</si>
  <si>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</si>
  <si>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</si>
  <si>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</si>
  <si>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</si>
  <si>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</si>
  <si>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</si>
  <si>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</si>
  <si>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</si>
  <si>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</si>
  <si>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</si>
  <si>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</si>
  <si>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</si>
  <si>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</si>
  <si>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</si>
  <si>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</si>
  <si>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</si>
  <si>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</si>
  <si>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</si>
  <si>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</si>
  <si>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</si>
  <si>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</si>
  <si>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</si>
  <si>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</si>
  <si>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</si>
  <si>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</si>
  <si>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</si>
  <si>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</si>
  <si>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</si>
  <si>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</si>
  <si>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</si>
  <si>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</si>
  <si>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</si>
  <si>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</si>
  <si>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</si>
  <si>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</si>
  <si>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</si>
  <si>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</si>
  <si>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</si>
  <si>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</si>
  <si>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</si>
  <si>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</si>
  <si>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</si>
  <si>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</si>
  <si>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</si>
  <si>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</si>
  <si>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</si>
  <si>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</si>
  <si>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</si>
  <si>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</si>
  <si>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</si>
  <si>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</si>
  <si>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</si>
  <si>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</si>
  <si>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</si>
  <si>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</si>
  <si>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</si>
  <si>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</si>
  <si>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</si>
  <si>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</si>
  <si>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</si>
  <si>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</si>
  <si>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</si>
  <si>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</si>
  <si>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</si>
  <si>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</si>
  <si>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</si>
  <si>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</si>
  <si>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</si>
  <si>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</si>
  <si>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</si>
  <si>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</si>
  <si>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</si>
  <si>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</si>
  <si>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</si>
  <si>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</si>
  <si>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</si>
  <si>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</si>
  <si>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</si>
  <si>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</si>
  <si>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</si>
  <si>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</si>
  <si>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</si>
  <si>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</si>
  <si>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</si>
  <si>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</si>
  <si>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</si>
  <si>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</si>
  <si>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</si>
  <si>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</si>
  <si>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</si>
  <si>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</si>
  <si>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</si>
  <si>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</si>
  <si>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</si>
  <si>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</si>
  <si>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</si>
  <si>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</si>
  <si>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</si>
  <si>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</si>
  <si>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</si>
  <si>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</si>
  <si>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</si>
  <si>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</si>
  <si>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</si>
  <si>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</si>
  <si>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</si>
  <si>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</si>
  <si>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</si>
  <si>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</si>
  <si>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</si>
  <si>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</si>
  <si>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</si>
  <si>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</si>
  <si>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</si>
  <si>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</si>
  <si>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</si>
  <si>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</si>
  <si>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</si>
  <si>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</si>
  <si>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</si>
  <si>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</si>
  <si>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</si>
  <si>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</si>
  <si>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</si>
  <si>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</si>
  <si>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</si>
  <si>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</si>
  <si>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</si>
  <si>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</si>
  <si>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</si>
  <si>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</si>
  <si>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</si>
  <si>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</si>
  <si>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</si>
  <si>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</si>
  <si>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</si>
  <si>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</si>
  <si>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</si>
  <si>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</si>
  <si>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</si>
  <si>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</si>
  <si>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</si>
  <si>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</si>
  <si>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</si>
  <si>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</si>
  <si>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</si>
  <si>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</si>
  <si>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</si>
  <si>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</si>
  <si>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</si>
  <si>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</si>
  <si>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</si>
  <si>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</si>
  <si>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</si>
  <si>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</si>
  <si>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</si>
  <si>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</si>
  <si>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</si>
  <si>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</si>
  <si>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</si>
  <si>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</si>
  <si>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</si>
  <si>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</si>
  <si>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</si>
  <si>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</si>
  <si>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</si>
  <si>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</si>
  <si>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</si>
  <si>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</si>
  <si>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</si>
  <si>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</si>
  <si>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</si>
  <si>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</si>
  <si>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</si>
  <si>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</si>
  <si>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</si>
  <si>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</si>
  <si>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</si>
  <si>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</si>
  <si>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</si>
  <si>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</si>
  <si>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</si>
  <si>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</si>
  <si>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</si>
  <si>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</si>
  <si>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</si>
  <si>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</si>
  <si>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</si>
  <si>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</si>
  <si>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</si>
  <si>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</si>
  <si>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</si>
  <si>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</si>
  <si>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</si>
  <si>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</si>
  <si>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</si>
  <si>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</si>
  <si>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</si>
  <si>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</si>
  <si>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</si>
  <si>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</si>
  <si>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</si>
  <si>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</si>
  <si>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</si>
  <si>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</si>
  <si>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</si>
  <si>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</si>
  <si>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</si>
  <si>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</si>
  <si>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</si>
  <si>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</si>
  <si>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</si>
  <si>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</si>
  <si>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</si>
  <si>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</si>
  <si>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</si>
  <si>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</si>
  <si>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</si>
  <si>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</si>
  <si>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</si>
  <si>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</si>
  <si>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</si>
  <si>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</si>
  <si>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</si>
  <si>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</si>
  <si>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</si>
  <si>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</si>
  <si>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</si>
  <si>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</si>
  <si>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</si>
  <si>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</si>
  <si>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</si>
  <si>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</si>
  <si>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</si>
  <si>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</si>
  <si>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</si>
  <si>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</si>
  <si>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</si>
  <si>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</si>
  <si>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</si>
  <si>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</si>
  <si>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</si>
  <si>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</si>
  <si>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</si>
  <si>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</si>
  <si>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</si>
  <si>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</si>
  <si>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</si>
  <si>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</si>
  <si>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</si>
  <si>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</si>
  <si>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</si>
  <si>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</si>
  <si>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</si>
  <si>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</si>
  <si>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</si>
  <si>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</si>
  <si>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</si>
  <si>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</si>
  <si>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</si>
  <si>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</si>
  <si>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</si>
  <si>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</si>
  <si>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</si>
  <si>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</si>
  <si>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</si>
  <si>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</si>
  <si>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</si>
  <si>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</si>
  <si>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</si>
  <si>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</si>
  <si>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</si>
  <si>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</si>
  <si>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</si>
  <si>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</si>
  <si>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</si>
  <si>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</si>
  <si>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</si>
  <si>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</si>
  <si>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</si>
  <si>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</si>
  <si>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</si>
  <si>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</si>
  <si>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</si>
  <si>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</si>
  <si>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</si>
  <si>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</si>
  <si>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</si>
  <si>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</si>
  <si>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</si>
  <si>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</si>
  <si>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</si>
  <si>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</si>
  <si>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</si>
  <si>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</si>
  <si>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</si>
  <si>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</si>
  <si>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</si>
  <si>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</si>
  <si>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</si>
  <si>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</si>
  <si>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</si>
  <si>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</si>
  <si>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</si>
  <si>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</si>
  <si>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</si>
  <si>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</si>
  <si>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</si>
  <si>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</si>
  <si>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</si>
  <si>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</si>
  <si>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</si>
  <si>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</si>
  <si>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</si>
  <si>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</si>
  <si>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</si>
  <si>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</si>
  <si>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</si>
  <si>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</si>
  <si>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</si>
  <si>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</si>
  <si>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</si>
  <si>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</si>
  <si>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</si>
  <si>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</si>
  <si>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</si>
  <si>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</si>
  <si>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</si>
  <si>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</si>
  <si>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</si>
  <si>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</si>
  <si>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</si>
  <si>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</si>
  <si>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</si>
  <si>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</si>
  <si>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</si>
  <si>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</si>
  <si>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</si>
  <si>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</si>
  <si>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</si>
  <si>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</si>
  <si>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</si>
  <si>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</si>
  <si>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</si>
  <si>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</si>
  <si>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</si>
  <si>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</si>
  <si>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</si>
  <si>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</si>
  <si>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</si>
  <si>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</si>
  <si>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</si>
  <si>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</si>
  <si>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</si>
  <si>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</si>
  <si>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</si>
  <si>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</si>
  <si>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</si>
  <si>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</si>
  <si>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</si>
  <si>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</si>
  <si>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</si>
  <si>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</si>
  <si>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</si>
  <si>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</si>
  <si>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</si>
  <si>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</si>
  <si>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</si>
  <si>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</si>
  <si>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</si>
  <si>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</si>
  <si>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</si>
  <si>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</si>
  <si>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</si>
  <si>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</si>
  <si>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</si>
  <si>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</si>
  <si>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</si>
  <si>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</si>
  <si>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</si>
  <si>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</si>
  <si>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</si>
  <si>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</si>
  <si>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</si>
  <si>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</si>
  <si>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</si>
  <si>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</si>
  <si>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</si>
  <si>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</si>
  <si>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</si>
  <si>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</si>
  <si>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</si>
  <si>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</si>
  <si>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</si>
  <si>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</si>
  <si>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</si>
  <si>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</si>
  <si>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</si>
  <si>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</si>
  <si>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</si>
  <si>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</si>
  <si>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</si>
  <si>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</si>
  <si>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</si>
  <si>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</si>
  <si>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</si>
  <si>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</si>
  <si>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</si>
  <si>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</si>
  <si>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</si>
  <si>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</si>
  <si>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</si>
  <si>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</si>
  <si>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</si>
  <si>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</si>
  <si>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</si>
  <si>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</si>
  <si>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</si>
  <si>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</si>
  <si>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</si>
  <si>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</si>
  <si>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</si>
  <si>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</si>
  <si>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</si>
  <si>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</si>
  <si>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</si>
  <si>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</si>
  <si>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</si>
  <si>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</si>
  <si>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</si>
  <si>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</si>
  <si>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</si>
  <si>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</si>
  <si>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</si>
  <si>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</si>
  <si>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</si>
  <si>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</si>
  <si>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</si>
  <si>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</si>
  <si>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</si>
  <si>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</si>
  <si>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</si>
  <si>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</si>
  <si>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</si>
  <si>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</si>
  <si>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</si>
  <si>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</si>
  <si>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</si>
  <si>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</si>
  <si>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</si>
  <si>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</si>
  <si>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</si>
  <si>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</si>
  <si>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</si>
  <si>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</si>
  <si>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</si>
  <si>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</si>
  <si>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</si>
  <si>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</si>
  <si>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</si>
  <si>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</si>
  <si>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</si>
  <si>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</si>
  <si>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</si>
  <si>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</si>
  <si>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</si>
  <si>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</si>
  <si>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</si>
  <si>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</si>
  <si>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</si>
  <si>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</si>
  <si>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</si>
  <si>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</si>
  <si>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</si>
  <si>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</si>
  <si>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</si>
  <si>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</si>
  <si>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</si>
  <si>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</si>
  <si>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</si>
  <si>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</si>
  <si>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</si>
  <si>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</si>
  <si>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</si>
  <si>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</si>
  <si>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</si>
  <si>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</si>
  <si>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</si>
  <si>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</si>
  <si>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</si>
  <si>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</si>
  <si>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</si>
  <si>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</si>
  <si>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</si>
  <si>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</si>
  <si>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</si>
  <si>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</si>
  <si>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</si>
  <si>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</si>
  <si>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</si>
  <si>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</si>
  <si>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</si>
  <si>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</si>
  <si>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</si>
  <si>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</si>
  <si>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</si>
  <si>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</si>
  <si>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</si>
  <si>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</si>
  <si>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</si>
  <si>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</si>
  <si>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</si>
  <si>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</si>
  <si>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</si>
  <si>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</si>
  <si>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</si>
  <si>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</si>
  <si>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</si>
  <si>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</si>
  <si>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</si>
  <si>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</si>
  <si>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</si>
  <si>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</si>
  <si>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</si>
  <si>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</si>
  <si>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</si>
  <si>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</si>
  <si>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</si>
  <si>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</si>
  <si>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</si>
  <si>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</si>
  <si>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</si>
  <si>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</si>
  <si>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</si>
  <si>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</si>
  <si>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</si>
  <si>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</si>
  <si>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</si>
  <si>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</si>
  <si>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</si>
  <si>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</si>
  <si>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</si>
  <si>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</si>
  <si>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</si>
  <si>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</si>
  <si>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</si>
  <si>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</si>
  <si>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</si>
  <si>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</si>
  <si>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</si>
  <si>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</si>
  <si>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</si>
  <si>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</si>
  <si>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</si>
  <si>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</si>
  <si>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</si>
  <si>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</si>
  <si>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</si>
  <si>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</si>
  <si>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</si>
  <si>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</si>
  <si>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</si>
  <si>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</si>
  <si>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</si>
  <si>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</si>
  <si>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</si>
  <si>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</si>
  <si>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</si>
  <si>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</si>
  <si>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</si>
  <si>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</si>
  <si>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</si>
  <si>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</si>
  <si>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</si>
  <si>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</si>
  <si>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</si>
  <si>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</si>
  <si>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</si>
  <si>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</si>
  <si>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</si>
  <si>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</si>
  <si>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</si>
  <si>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</si>
  <si>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</si>
  <si>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</si>
  <si>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</si>
  <si>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</si>
  <si>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</si>
  <si>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</si>
  <si>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</si>
  <si>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</si>
  <si>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</si>
  <si>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</si>
  <si>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</si>
  <si>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</si>
  <si>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</si>
  <si>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</si>
  <si>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</si>
  <si>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</si>
  <si>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</si>
  <si>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</si>
  <si>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</si>
  <si>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</si>
  <si>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</si>
  <si>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</si>
  <si>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</si>
  <si>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</si>
  <si>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</si>
  <si>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</si>
  <si>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</si>
  <si>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</si>
  <si>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</si>
  <si>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</si>
  <si>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</si>
  <si>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</si>
  <si>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</si>
  <si>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</si>
  <si>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</si>
  <si>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</si>
  <si>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</si>
  <si>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</si>
  <si>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</si>
  <si>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</si>
  <si>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</si>
  <si>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</si>
  <si>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</si>
  <si>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</si>
  <si>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</si>
  <si>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</si>
  <si>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</si>
  <si>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</si>
  <si>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</si>
  <si>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</si>
  <si>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</si>
  <si>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</si>
  <si>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</si>
  <si>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To adjust for a correction from the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</si>
</sst>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10" zoomScaleNormal="110" workbookViewId="0">
      <selection activeCell="G667" sqref="G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1000</v>
      </c>
      <c r="B2">
        <f>INDEX('School Tables'!$AH$3:$AH$208,MATCH('DOE25'!A2,'School Tables'!$AJ$3:$AJ$208,0))</f>
        <v>131</v>
      </c>
      <c r="C2">
        <f>INDEX('School Tables'!$AI$3:$AI$208,MATCH('DOE25'!A2,'School Tables'!$AJ$3:$AJ$208,0))</f>
        <v>131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5337523.75</v>
      </c>
      <c r="G9" s="18">
        <v>925</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2603513.0900000003</v>
      </c>
      <c r="G12" s="18">
        <v>505260.53</v>
      </c>
      <c r="H12" s="18">
        <v>-3108773.62</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79388.63</v>
      </c>
      <c r="G13" s="18">
        <f>468713.59+6812.97</f>
        <v>475526.56</v>
      </c>
      <c r="H13" s="18">
        <v>3132913.5700000003</v>
      </c>
      <c r="I13" s="18"/>
      <c r="J13" s="13">
        <f>SUM(I443)</f>
        <v>197897.05</v>
      </c>
      <c r="K13" s="23" t="s">
        <v>288</v>
      </c>
      <c r="L13" s="23" t="s">
        <v>288</v>
      </c>
      <c r="M13" s="8"/>
      <c r="N13" s="165"/>
    </row>
    <row r="14" spans="1:14" s="3" customFormat="1" ht="12.2" customHeight="1" x14ac:dyDescent="0.15">
      <c r="A14" s="1" t="s">
        <v>565</v>
      </c>
      <c r="B14" s="2" t="s">
        <v>289</v>
      </c>
      <c r="C14" s="6">
        <v>6</v>
      </c>
      <c r="D14" s="2" t="s">
        <v>428</v>
      </c>
      <c r="E14" s="6">
        <v>150</v>
      </c>
      <c r="F14" s="18">
        <v>18115.099999999999</v>
      </c>
      <c r="G14" s="18"/>
      <c r="H14" s="18">
        <v>16549.28</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f>116029.43-43473.35</f>
        <v>72556.079999999987</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8038540.5699999994</v>
      </c>
      <c r="G19" s="38">
        <f>SUM(G9:G18)</f>
        <v>1054268.1700000002</v>
      </c>
      <c r="H19" s="38">
        <f>SUM(H9:H18)</f>
        <v>40689.230000000185</v>
      </c>
      <c r="I19" s="38">
        <f>SUM(I9:I18)</f>
        <v>0</v>
      </c>
      <c r="J19" s="38">
        <f>SUM(J9:J18)</f>
        <v>197897.05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v>1671.14</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543672.49</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283.58</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13168.42</v>
      </c>
      <c r="G30" s="18">
        <v>28583.16</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557124.49</v>
      </c>
      <c r="G32" s="38">
        <f>SUM(G22:G31)</f>
        <v>30254.3</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72556.08</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f>40086.88+911370.91</f>
        <v>951457.79</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v>2500000</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v>40689.229999999996</v>
      </c>
      <c r="I48" s="18"/>
      <c r="J48" s="13">
        <f>SUM(I460)</f>
        <v>197897.05</v>
      </c>
      <c r="K48" s="23" t="s">
        <v>288</v>
      </c>
      <c r="L48" s="23" t="s">
        <v>288</v>
      </c>
      <c r="M48" s="8"/>
      <c r="N48" s="165"/>
    </row>
    <row r="49" spans="1:14" s="3" customFormat="1" ht="12.2" customHeight="1" x14ac:dyDescent="0.15">
      <c r="A49" s="1" t="s">
        <v>859</v>
      </c>
      <c r="B49" s="2" t="s">
        <v>289</v>
      </c>
      <c r="C49" s="6">
        <v>34</v>
      </c>
      <c r="D49" s="2"/>
      <c r="E49" s="6">
        <v>753</v>
      </c>
      <c r="F49" s="18">
        <v>190633.22</v>
      </c>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f>4361557-1.04+429226.9</f>
        <v>4790782.8600000003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7481416.0800000001</v>
      </c>
      <c r="G51" s="38">
        <f>SUM(G35:G50)</f>
        <v>1024013.87</v>
      </c>
      <c r="H51" s="38">
        <f>SUM(H35:H50)</f>
        <v>40689.229999999996</v>
      </c>
      <c r="I51" s="38">
        <f>SUM(I35:I50)</f>
        <v>0</v>
      </c>
      <c r="J51" s="38">
        <f>SUM(J35:J50)</f>
        <v>197897.05</v>
      </c>
      <c r="K51" s="42" t="s">
        <v>288</v>
      </c>
      <c r="L51" s="42" t="s">
        <v>288</v>
      </c>
      <c r="N51" s="131"/>
    </row>
    <row r="52" spans="1:14" s="3" customFormat="1" ht="12.2" customHeight="1" thickTop="1" x14ac:dyDescent="0.15">
      <c r="A52" s="35" t="s">
        <v>455</v>
      </c>
      <c r="B52" s="36" t="s">
        <v>289</v>
      </c>
      <c r="C52" s="6">
        <v>37</v>
      </c>
      <c r="D52" s="36" t="s">
        <v>653</v>
      </c>
      <c r="E52" s="36"/>
      <c r="F52" s="38">
        <f>F51+F32</f>
        <v>8038540.5700000003</v>
      </c>
      <c r="G52" s="38">
        <f>G51+G32</f>
        <v>1054268.17</v>
      </c>
      <c r="H52" s="38">
        <f>H51+H32</f>
        <v>40689.229999999996</v>
      </c>
      <c r="I52" s="38">
        <f>I51+I32</f>
        <v>0</v>
      </c>
      <c r="J52" s="38">
        <f>J51+J32</f>
        <v>197897.05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53651633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53651633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49556.5</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49556.5</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112828</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112828</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6403.1</v>
      </c>
      <c r="G96" s="18"/>
      <c r="H96" s="18"/>
      <c r="I96" s="18"/>
      <c r="J96" s="18">
        <v>1268.29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99801.64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68233.19</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v>6167.33</v>
      </c>
      <c r="H102" s="18">
        <v>17067.099999999999</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1104530.3600000001</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1179166.6500000001</v>
      </c>
      <c r="G111" s="38">
        <f>SUM(G96:G110)</f>
        <v>105968.97</v>
      </c>
      <c r="H111" s="38">
        <f>SUM(H96:H110)</f>
        <v>17067.099999999999</v>
      </c>
      <c r="I111" s="38">
        <f>SUM(I96:I110)</f>
        <v>0</v>
      </c>
      <c r="J111" s="38">
        <f>SUM(J96:J110)</f>
        <v>1268.29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54993184.149999999</v>
      </c>
      <c r="G112" s="38">
        <f>G60+G111</f>
        <v>105968.97</v>
      </c>
      <c r="H112" s="38">
        <f>H60+H79+H94+H111</f>
        <v>17067.099999999999</v>
      </c>
      <c r="I112" s="38">
        <f>I60+I111</f>
        <v>0</v>
      </c>
      <c r="J112" s="38">
        <f>J60+J111</f>
        <v>1268.29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24360105.109999999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6617882</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108893.77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31086880.879999999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462659.09</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v>509957.25</v>
      </c>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282642.84999999998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123290.83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10591.98</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1255259.19</v>
      </c>
      <c r="G136" s="38">
        <f>SUM(G123:G135)</f>
        <v>123290.83</v>
      </c>
      <c r="H136" s="38">
        <f>SUM(H123:H135)</f>
        <v>10591.98</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32342140.07</v>
      </c>
      <c r="G140" s="38">
        <f>G121+SUM(G136:G137)</f>
        <v>123290.83</v>
      </c>
      <c r="H140" s="38">
        <f>H121+SUM(H136:H139)</f>
        <v>10591.98</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797830.7+75980.78</f>
        <v>873811.48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262519.55-3036.54</f>
        <v>259483.00999999998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90887.79</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2493004.84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1518958.01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441686.9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52666.23</v>
      </c>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2278109.35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441686.9</v>
      </c>
      <c r="G163" s="38">
        <f>SUM(G150:G162)</f>
        <v>2493004.84</v>
      </c>
      <c r="H163" s="38">
        <f>SUM(H150:H162)</f>
        <v>5073915.87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441686.9</v>
      </c>
      <c r="G170" s="38">
        <f>G147+G163+SUM(G164:G169)</f>
        <v>2493004.84</v>
      </c>
      <c r="H170" s="38">
        <f>H147+H163+SUM(H164:H169)</f>
        <v>5073915.87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87777011.120000005</v>
      </c>
      <c r="G194" s="38">
        <f>G112+G140+G170+G193</f>
        <v>2722264.6399999997</v>
      </c>
      <c r="H194" s="38">
        <f>H112+H140+H170+H193</f>
        <v>5101574.95</v>
      </c>
      <c r="I194" s="38">
        <f>I112+I140+I170+I193</f>
        <v>0</v>
      </c>
      <c r="J194" s="38">
        <f>J112+J140+J193</f>
        <v>1268.29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8003042.3099999996</v>
      </c>
      <c r="G198" s="18">
        <v>5318108.03</v>
      </c>
      <c r="H198" s="18">
        <v>0</v>
      </c>
      <c r="I198" s="18">
        <v>96440.89</v>
      </c>
      <c r="J198" s="18">
        <v>33434.769999999997</v>
      </c>
      <c r="K198" s="18">
        <v>0</v>
      </c>
      <c r="L198" s="13">
        <f>SUM(F198:K198)</f>
        <v>13451026</v>
      </c>
      <c r="M198" s="8"/>
      <c r="N198" s="165"/>
    </row>
    <row r="199" spans="1:14" s="3" customFormat="1" ht="12.2" customHeight="1" x14ac:dyDescent="0.15">
      <c r="A199" s="1" t="s">
        <v>439</v>
      </c>
      <c r="B199" s="2" t="s">
        <v>341</v>
      </c>
      <c r="C199" s="2" t="s">
        <v>291</v>
      </c>
      <c r="D199" s="2" t="s">
        <v>431</v>
      </c>
      <c r="E199" s="6">
        <v>1200</v>
      </c>
      <c r="F199" s="18">
        <v>4571424.1100000003</v>
      </c>
      <c r="G199" s="18">
        <v>2285889.9300000002</v>
      </c>
      <c r="H199" s="18">
        <f>2375451.53+33399.99</f>
        <v>2408851.52</v>
      </c>
      <c r="I199" s="18">
        <f>5661.63+542.25</f>
        <v>6203.88</v>
      </c>
      <c r="J199" s="18">
        <v>14512.32</v>
      </c>
      <c r="K199" s="18">
        <v>2267.8200000000002</v>
      </c>
      <c r="L199" s="13">
        <f>SUM(F199:K199)</f>
        <v>9289149.5800000019</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78418.179999999993</v>
      </c>
      <c r="G201" s="18">
        <v>17852.259999999998</v>
      </c>
      <c r="H201" s="18">
        <v>0</v>
      </c>
      <c r="I201" s="18">
        <v>0</v>
      </c>
      <c r="J201" s="18">
        <v>0</v>
      </c>
      <c r="K201" s="18">
        <v>0</v>
      </c>
      <c r="L201" s="13">
        <f>SUM(F201:K201)</f>
        <v>96270.439999999988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1746039.21</v>
      </c>
      <c r="G203" s="18">
        <v>1172227.56</v>
      </c>
      <c r="H203" s="18">
        <f>909409.56-37565.72</f>
        <v>871843.84000000008</v>
      </c>
      <c r="I203" s="18">
        <v>17341.25</v>
      </c>
      <c r="J203" s="18">
        <v>10423.32</v>
      </c>
      <c r="K203" s="18">
        <v>0</v>
      </c>
      <c r="L203" s="13">
        <f t="shared" ref="L203:L209" si="0">SUM(F203:K203)</f>
        <v>3817875.18</v>
      </c>
      <c r="M203" s="8"/>
      <c r="N203" s="165"/>
    </row>
    <row r="204" spans="1:14" s="3" customFormat="1" ht="12.2" customHeight="1" x14ac:dyDescent="0.15">
      <c r="A204" s="1" t="s">
        <v>443</v>
      </c>
      <c r="B204" s="2" t="s">
        <v>341</v>
      </c>
      <c r="C204" s="2" t="s">
        <v>295</v>
      </c>
      <c r="D204" s="2" t="s">
        <v>431</v>
      </c>
      <c r="E204" s="6">
        <v>2200</v>
      </c>
      <c r="F204" s="18">
        <v>489086.67</v>
      </c>
      <c r="G204" s="18">
        <f>255433.78+-7212.94</f>
        <v>248220.84</v>
      </c>
      <c r="H204" s="18">
        <f>129414.64+-7877.12</f>
        <v>121537.52</v>
      </c>
      <c r="I204" s="18">
        <f>335013.86+667.75</f>
        <v>335681.61</v>
      </c>
      <c r="J204" s="18">
        <v>0</v>
      </c>
      <c r="K204" s="18">
        <v>7658.7</v>
      </c>
      <c r="L204" s="13">
        <f t="shared" si="0"/>
        <v>1202185.3400000001</v>
      </c>
      <c r="M204" s="8"/>
      <c r="N204" s="165"/>
    </row>
    <row r="205" spans="1:14" s="3" customFormat="1" ht="12.2" customHeight="1" x14ac:dyDescent="0.15">
      <c r="A205" s="1" t="s">
        <v>444</v>
      </c>
      <c r="B205" s="2" t="s">
        <v>341</v>
      </c>
      <c r="C205" s="2" t="s">
        <v>296</v>
      </c>
      <c r="D205" s="2" t="s">
        <v>431</v>
      </c>
      <c r="E205" s="6">
        <v>2300</v>
      </c>
      <c r="F205" s="18">
        <v>380985.88</v>
      </c>
      <c r="G205" s="18">
        <v>195810.93</v>
      </c>
      <c r="H205" s="18">
        <f>195497.83+2396.66</f>
        <v>197894.49</v>
      </c>
      <c r="I205" s="18">
        <f>20761.87+145.16</f>
        <v>20907.03</v>
      </c>
      <c r="J205" s="18">
        <v>6515.1</v>
      </c>
      <c r="K205" s="18">
        <v>17271.61</v>
      </c>
      <c r="L205" s="13">
        <f t="shared" si="0"/>
        <v>819385.04</v>
      </c>
      <c r="M205" s="8"/>
      <c r="N205" s="165"/>
    </row>
    <row r="206" spans="1:14" s="3" customFormat="1" ht="12.2" customHeight="1" x14ac:dyDescent="0.15">
      <c r="A206" s="1" t="s">
        <v>445</v>
      </c>
      <c r="B206" s="2" t="s">
        <v>341</v>
      </c>
      <c r="C206" s="2" t="s">
        <v>297</v>
      </c>
      <c r="D206" s="2" t="s">
        <v>431</v>
      </c>
      <c r="E206" s="6">
        <v>2400</v>
      </c>
      <c r="F206" s="18">
        <v>1330490.1299999999</v>
      </c>
      <c r="G206" s="18">
        <f>885974.43+1938</f>
        <v>887912.43</v>
      </c>
      <c r="H206" s="18">
        <f>120413.73+-2182.98</f>
        <v>118230.75</v>
      </c>
      <c r="I206" s="18">
        <f>12614.59+-5879.74</f>
        <v>6734.85</v>
      </c>
      <c r="J206" s="18">
        <v>0</v>
      </c>
      <c r="K206" s="18">
        <v>7561</v>
      </c>
      <c r="L206" s="13">
        <f t="shared" si="0"/>
        <v>2350929.16</v>
      </c>
      <c r="M206" s="8"/>
      <c r="N206" s="165"/>
    </row>
    <row r="207" spans="1:14" s="3" customFormat="1" ht="12.2" customHeight="1" x14ac:dyDescent="0.15">
      <c r="A207" s="1" t="s">
        <v>446</v>
      </c>
      <c r="B207" s="2" t="s">
        <v>341</v>
      </c>
      <c r="C207" s="2" t="s">
        <v>298</v>
      </c>
      <c r="D207" s="2" t="s">
        <v>431</v>
      </c>
      <c r="E207" s="6">
        <v>2500</v>
      </c>
      <c r="F207" s="18">
        <v>301173.43</v>
      </c>
      <c r="G207" s="18">
        <v>139975.32</v>
      </c>
      <c r="H207" s="18">
        <v>991.36</v>
      </c>
      <c r="I207" s="18">
        <f>9120.19+-26.16</f>
        <v>9094.0300000000007</v>
      </c>
      <c r="J207" s="18">
        <v>0</v>
      </c>
      <c r="K207" s="18">
        <v>108995.94</v>
      </c>
      <c r="L207" s="13">
        <f t="shared" si="0"/>
        <v>560230.08000000007</v>
      </c>
      <c r="M207" s="8"/>
      <c r="N207" s="165"/>
    </row>
    <row r="208" spans="1:14" s="3" customFormat="1" ht="12.2" customHeight="1" x14ac:dyDescent="0.15">
      <c r="A208" s="1" t="s">
        <v>447</v>
      </c>
      <c r="B208" s="2" t="s">
        <v>341</v>
      </c>
      <c r="C208" s="2" t="s">
        <v>299</v>
      </c>
      <c r="D208" s="2" t="s">
        <v>431</v>
      </c>
      <c r="E208" s="6">
        <v>2600</v>
      </c>
      <c r="F208" s="18">
        <v>952632.19</v>
      </c>
      <c r="G208" s="18">
        <v>482297.06</v>
      </c>
      <c r="H208" s="18">
        <f>571702.92+380545.61</f>
        <v>952248.53</v>
      </c>
      <c r="I208" s="18">
        <f>740256.2+8802.02</f>
        <v>749058.22</v>
      </c>
      <c r="J208" s="18"/>
      <c r="K208" s="18">
        <v>0</v>
      </c>
      <c r="L208" s="13">
        <f t="shared" si="0"/>
        <v>3136236</v>
      </c>
      <c r="M208" s="8"/>
      <c r="N208" s="165"/>
    </row>
    <row r="209" spans="1:14" s="3" customFormat="1" ht="12.2" customHeight="1" x14ac:dyDescent="0.15">
      <c r="A209" s="1" t="s">
        <v>448</v>
      </c>
      <c r="B209" s="2" t="s">
        <v>341</v>
      </c>
      <c r="C209" s="2" t="s">
        <v>300</v>
      </c>
      <c r="D209" s="2" t="s">
        <v>431</v>
      </c>
      <c r="E209" s="6">
        <v>2700</v>
      </c>
      <c r="F209" s="18"/>
      <c r="G209" s="18"/>
      <c r="H209" s="18">
        <f>1605706.8+20014.82</f>
        <v>1625721.62</v>
      </c>
      <c r="I209" s="18"/>
      <c r="J209" s="18"/>
      <c r="K209" s="18"/>
      <c r="L209" s="13">
        <f t="shared" si="0"/>
        <v>1625721.62</v>
      </c>
      <c r="M209" s="8"/>
      <c r="N209" s="165"/>
    </row>
    <row r="210" spans="1:14" s="3" customFormat="1" ht="12.2" customHeight="1" x14ac:dyDescent="0.15">
      <c r="A210" s="1" t="s">
        <v>449</v>
      </c>
      <c r="B210" s="2" t="s">
        <v>341</v>
      </c>
      <c r="C210" s="2" t="s">
        <v>343</v>
      </c>
      <c r="D210" s="2" t="s">
        <v>431</v>
      </c>
      <c r="E210" s="6">
        <v>2800</v>
      </c>
      <c r="F210" s="18"/>
      <c r="G210" s="18"/>
      <c r="H210" s="18"/>
      <c r="I210" s="18">
        <v>52359.49</v>
      </c>
      <c r="J210" s="18"/>
      <c r="K210" s="18"/>
      <c r="L210" s="13">
        <f>SUM(F210:K210)</f>
        <v>52359.49</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17853292.109999999</v>
      </c>
      <c r="G212" s="38">
        <f t="shared" si="1"/>
        <v>10748294.360000001</v>
      </c>
      <c r="H212" s="38">
        <f t="shared" si="1"/>
        <v>6297319.6299999999</v>
      </c>
      <c r="I212" s="38">
        <f t="shared" si="1"/>
        <v>1293821.25</v>
      </c>
      <c r="J212" s="38">
        <f t="shared" si="1"/>
        <v>64885.509999999995</v>
      </c>
      <c r="K212" s="38">
        <f t="shared" si="1"/>
        <v>143755.07</v>
      </c>
      <c r="L212" s="38">
        <f t="shared" si="1"/>
        <v>36401367.93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4790113.5599999996</v>
      </c>
      <c r="G216" s="18">
        <v>3191168.03</v>
      </c>
      <c r="H216" s="18">
        <v>2530.4699999999998</v>
      </c>
      <c r="I216" s="18">
        <f>93608.08+249.64</f>
        <v>93857.72</v>
      </c>
      <c r="J216" s="18">
        <f>2820.93+663.21</f>
        <v>3484.14</v>
      </c>
      <c r="K216" s="18">
        <v>0</v>
      </c>
      <c r="L216" s="13">
        <f>SUM(F216:K216)</f>
        <v>8081153.919999999</v>
      </c>
      <c r="M216" s="8"/>
      <c r="N216" s="165"/>
    </row>
    <row r="217" spans="1:14" s="3" customFormat="1" ht="12.2" customHeight="1" x14ac:dyDescent="0.15">
      <c r="A217" s="1" t="s">
        <v>439</v>
      </c>
      <c r="B217" s="2" t="s">
        <v>346</v>
      </c>
      <c r="C217" s="2" t="s">
        <v>291</v>
      </c>
      <c r="D217" s="2" t="s">
        <v>431</v>
      </c>
      <c r="E217" s="6">
        <v>1200</v>
      </c>
      <c r="F217" s="18">
        <v>2181321.2000000002</v>
      </c>
      <c r="G217" s="18">
        <v>1018586.33</v>
      </c>
      <c r="H217" s="18">
        <f>692967.18+44683.52</f>
        <v>737650.70000000007</v>
      </c>
      <c r="I217" s="18">
        <f>1453.02+297.14</f>
        <v>1750.1599999999999</v>
      </c>
      <c r="J217" s="18">
        <v>1378.13</v>
      </c>
      <c r="K217" s="18">
        <v>1248.18</v>
      </c>
      <c r="L217" s="13">
        <f>SUM(F217:K217)</f>
        <v>3941934.7000000007</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158331.82</v>
      </c>
      <c r="G219" s="18">
        <v>33464.120000000003</v>
      </c>
      <c r="H219" s="18">
        <v>15170</v>
      </c>
      <c r="I219" s="18">
        <v>8227.33</v>
      </c>
      <c r="J219" s="18">
        <v>5832.42</v>
      </c>
      <c r="K219" s="18">
        <v>3215</v>
      </c>
      <c r="L219" s="13">
        <f>SUM(F219:K219)</f>
        <v>224240.69</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1125412.8</v>
      </c>
      <c r="G221" s="18">
        <v>659309.93000000005</v>
      </c>
      <c r="H221" s="18">
        <f>190673.06+-30970.98</f>
        <v>159702.07999999999</v>
      </c>
      <c r="I221" s="18">
        <v>10618.07</v>
      </c>
      <c r="J221" s="18">
        <v>0</v>
      </c>
      <c r="K221" s="18">
        <v>0</v>
      </c>
      <c r="L221" s="13">
        <f t="shared" ref="L221:L227" si="2">SUM(F221:K221)</f>
        <v>1955042.8800000001</v>
      </c>
      <c r="M221" s="8"/>
      <c r="N221" s="165"/>
    </row>
    <row r="222" spans="1:14" s="3" customFormat="1" ht="12.2" customHeight="1" x14ac:dyDescent="0.15">
      <c r="A222" s="1" t="s">
        <v>443</v>
      </c>
      <c r="B222" s="2" t="s">
        <v>346</v>
      </c>
      <c r="C222" s="2" t="s">
        <v>295</v>
      </c>
      <c r="D222" s="2" t="s">
        <v>431</v>
      </c>
      <c r="E222" s="6">
        <v>2200</v>
      </c>
      <c r="F222" s="18">
        <v>272255.35999999999</v>
      </c>
      <c r="G222" s="18">
        <f>153448.92+-3952.6</f>
        <v>149496.32000000001</v>
      </c>
      <c r="H222" s="18">
        <f>74992.76+-3341.56</f>
        <v>71651.199999999997</v>
      </c>
      <c r="I222" s="18">
        <v>131734.29999999999</v>
      </c>
      <c r="J222" s="18">
        <v>7053.68</v>
      </c>
      <c r="K222" s="18">
        <v>4215.25</v>
      </c>
      <c r="L222" s="13">
        <f t="shared" si="2"/>
        <v>636406.11</v>
      </c>
      <c r="M222" s="8"/>
      <c r="N222" s="165"/>
    </row>
    <row r="223" spans="1:14" s="3" customFormat="1" ht="12.2" customHeight="1" x14ac:dyDescent="0.15">
      <c r="A223" s="1" t="s">
        <v>444</v>
      </c>
      <c r="B223" s="2" t="s">
        <v>346</v>
      </c>
      <c r="C223" s="2" t="s">
        <v>296</v>
      </c>
      <c r="D223" s="2" t="s">
        <v>431</v>
      </c>
      <c r="E223" s="6">
        <v>2300</v>
      </c>
      <c r="F223" s="18">
        <v>209689.9</v>
      </c>
      <c r="G223" s="18">
        <v>107771.9</v>
      </c>
      <c r="H223" s="18">
        <f>107599.57+1313.34</f>
        <v>108912.91</v>
      </c>
      <c r="I223" s="18">
        <f>11427.07+79.55</f>
        <v>11506.619999999999</v>
      </c>
      <c r="J223" s="18">
        <v>0</v>
      </c>
      <c r="K223" s="18">
        <v>9506.07</v>
      </c>
      <c r="L223" s="13">
        <f t="shared" si="2"/>
        <v>447387.39999999997</v>
      </c>
      <c r="M223" s="8"/>
      <c r="N223" s="165"/>
    </row>
    <row r="224" spans="1:14" s="3" customFormat="1" ht="12.2" customHeight="1" x14ac:dyDescent="0.15">
      <c r="A224" s="1" t="s">
        <v>445</v>
      </c>
      <c r="B224" s="2" t="s">
        <v>346</v>
      </c>
      <c r="C224" s="2" t="s">
        <v>297</v>
      </c>
      <c r="D224" s="2" t="s">
        <v>431</v>
      </c>
      <c r="E224" s="6">
        <v>2400</v>
      </c>
      <c r="F224" s="18">
        <v>720519.01</v>
      </c>
      <c r="G224" s="18">
        <f>490793.63+1062</f>
        <v>491855.63</v>
      </c>
      <c r="H224" s="18">
        <f>67383.34+628.48</f>
        <v>68011.819999999992</v>
      </c>
      <c r="I224" s="18">
        <v>13430.96</v>
      </c>
      <c r="J224" s="18">
        <v>1877.4</v>
      </c>
      <c r="K224" s="18">
        <v>1022</v>
      </c>
      <c r="L224" s="13">
        <f t="shared" si="2"/>
        <v>1296716.82</v>
      </c>
      <c r="M224" s="8"/>
      <c r="N224" s="165"/>
    </row>
    <row r="225" spans="1:14" s="3" customFormat="1" ht="12.2" customHeight="1" x14ac:dyDescent="0.15">
      <c r="A225" s="1" t="s">
        <v>446</v>
      </c>
      <c r="B225" s="2" t="s">
        <v>346</v>
      </c>
      <c r="C225" s="2" t="s">
        <v>298</v>
      </c>
      <c r="D225" s="2" t="s">
        <v>431</v>
      </c>
      <c r="E225" s="6">
        <v>2500</v>
      </c>
      <c r="F225" s="18">
        <v>165762.12</v>
      </c>
      <c r="G225" s="18">
        <v>77040.67</v>
      </c>
      <c r="H225" s="18">
        <v>545.63</v>
      </c>
      <c r="I225" s="18">
        <f>5019.63+-14.34</f>
        <v>5005.29</v>
      </c>
      <c r="J225" s="18">
        <v>0</v>
      </c>
      <c r="K225" s="18">
        <v>59990.01</v>
      </c>
      <c r="L225" s="13">
        <f t="shared" si="2"/>
        <v>308343.71999999997</v>
      </c>
      <c r="M225" s="8"/>
      <c r="N225" s="165"/>
    </row>
    <row r="226" spans="1:14" s="3" customFormat="1" ht="12.2" customHeight="1" x14ac:dyDescent="0.15">
      <c r="A226" s="1" t="s">
        <v>447</v>
      </c>
      <c r="B226" s="2" t="s">
        <v>346</v>
      </c>
      <c r="C226" s="2" t="s">
        <v>299</v>
      </c>
      <c r="D226" s="2" t="s">
        <v>431</v>
      </c>
      <c r="E226" s="6">
        <v>2600</v>
      </c>
      <c r="F226" s="18">
        <v>613569.47</v>
      </c>
      <c r="G226" s="18">
        <v>330167.48</v>
      </c>
      <c r="H226" s="18">
        <f>314079.82+208661.82</f>
        <v>522741.64</v>
      </c>
      <c r="I226" s="18">
        <f>404875.51+4823.4</f>
        <v>409698.91000000003</v>
      </c>
      <c r="J226" s="18">
        <v>0</v>
      </c>
      <c r="K226" s="18">
        <v>0</v>
      </c>
      <c r="L226" s="13">
        <f t="shared" si="2"/>
        <v>1876177.5</v>
      </c>
      <c r="M226" s="8"/>
      <c r="N226" s="165"/>
    </row>
    <row r="227" spans="1:14" s="3" customFormat="1" ht="12.2" customHeight="1" x14ac:dyDescent="0.15">
      <c r="A227" s="1" t="s">
        <v>448</v>
      </c>
      <c r="B227" s="2" t="s">
        <v>346</v>
      </c>
      <c r="C227" s="2" t="s">
        <v>300</v>
      </c>
      <c r="D227" s="2" t="s">
        <v>431</v>
      </c>
      <c r="E227" s="6">
        <v>2700</v>
      </c>
      <c r="F227" s="18">
        <v>0</v>
      </c>
      <c r="G227" s="18">
        <v>0</v>
      </c>
      <c r="H227" s="18">
        <f>1629364.79+10967.88</f>
        <v>1640332.67</v>
      </c>
      <c r="I227" s="18">
        <v>0</v>
      </c>
      <c r="J227" s="18">
        <v>0</v>
      </c>
      <c r="K227" s="18">
        <v>0</v>
      </c>
      <c r="L227" s="13">
        <f t="shared" si="2"/>
        <v>1640332.67</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28818.01</v>
      </c>
      <c r="J228" s="18">
        <v>0</v>
      </c>
      <c r="K228" s="18">
        <v>0</v>
      </c>
      <c r="L228" s="13">
        <f>SUM(F228:K228)</f>
        <v>28818.01</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10236975.24</v>
      </c>
      <c r="G230" s="38">
        <f>SUM(G216:G229)</f>
        <v>6058860.4100000001</v>
      </c>
      <c r="H230" s="38">
        <f>SUM(H216:H229)</f>
        <v>3327249.1199999996</v>
      </c>
      <c r="I230" s="38">
        <f>SUM(I216:I229)</f>
        <v>714647.37</v>
      </c>
      <c r="J230" s="38">
        <f>SUM(J216:J229)</f>
        <v>19625.770000000004</v>
      </c>
      <c r="K230" s="38">
        <f t="shared" si="3"/>
        <v>79196.510000000009</v>
      </c>
      <c r="L230" s="38">
        <f t="shared" si="3"/>
        <v>20436554.419999998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21549944.379999999</v>
      </c>
      <c r="I234" s="18"/>
      <c r="J234" s="18"/>
      <c r="K234" s="18"/>
      <c r="L234" s="13">
        <f>SUM(F234:K234)</f>
        <v>21549944.379999999</v>
      </c>
      <c r="M234" s="8"/>
      <c r="N234" s="165"/>
    </row>
    <row r="235" spans="1:14" s="3" customFormat="1" ht="12.2" customHeight="1" x14ac:dyDescent="0.15">
      <c r="A235" s="1" t="s">
        <v>439</v>
      </c>
      <c r="B235" s="2" t="s">
        <v>350</v>
      </c>
      <c r="C235" s="2" t="s">
        <v>291</v>
      </c>
      <c r="D235" s="2" t="s">
        <v>431</v>
      </c>
      <c r="E235" s="6">
        <v>1200</v>
      </c>
      <c r="F235" s="18">
        <v>84836</v>
      </c>
      <c r="G235" s="18">
        <v>55230.46</v>
      </c>
      <c r="H235" s="18">
        <f>6303975.53+30635.78</f>
        <v>6334611.3100000005</v>
      </c>
      <c r="I235" s="18"/>
      <c r="J235" s="18"/>
      <c r="K235" s="18"/>
      <c r="L235" s="13">
        <f>SUM(F235:K235)</f>
        <v>6474677.7700000005</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f>423691.1+61738.54</f>
        <v>485429.63999999996</v>
      </c>
      <c r="I239" s="18"/>
      <c r="J239" s="18"/>
      <c r="K239" s="18"/>
      <c r="L239" s="13">
        <f t="shared" ref="L239:L245" si="4">SUM(F239:K239)</f>
        <v>485429.63999999996</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766466.88</v>
      </c>
      <c r="I245" s="18"/>
      <c r="J245" s="18"/>
      <c r="K245" s="18"/>
      <c r="L245" s="13">
        <f t="shared" si="4"/>
        <v>766466.88</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84836</v>
      </c>
      <c r="G248" s="38">
        <f t="shared" si="5"/>
        <v>55230.46</v>
      </c>
      <c r="H248" s="38">
        <f t="shared" si="5"/>
        <v>29136452.209999997</v>
      </c>
      <c r="I248" s="38">
        <f t="shared" si="5"/>
        <v>0</v>
      </c>
      <c r="J248" s="38">
        <f t="shared" si="5"/>
        <v>0</v>
      </c>
      <c r="K248" s="38">
        <f t="shared" si="5"/>
        <v>0</v>
      </c>
      <c r="L248" s="38">
        <f t="shared" si="5"/>
        <v>29276518.669999998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52729.67</v>
      </c>
      <c r="G252" s="18">
        <v>4236.26</v>
      </c>
      <c r="H252" s="18">
        <v>13918.69</v>
      </c>
      <c r="I252" s="18">
        <v>1989.95</v>
      </c>
      <c r="J252" s="18">
        <v>0</v>
      </c>
      <c r="K252" s="18">
        <v>0</v>
      </c>
      <c r="L252" s="13">
        <f t="shared" si="6"/>
        <v>72874.569999999992</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52729.67</v>
      </c>
      <c r="G257" s="38">
        <f t="shared" si="7"/>
        <v>4236.26</v>
      </c>
      <c r="H257" s="38">
        <f t="shared" si="7"/>
        <v>13918.69</v>
      </c>
      <c r="I257" s="38">
        <f t="shared" si="7"/>
        <v>1989.95</v>
      </c>
      <c r="J257" s="38">
        <f t="shared" si="7"/>
        <v>0</v>
      </c>
      <c r="K257" s="38">
        <f t="shared" si="7"/>
        <v>0</v>
      </c>
      <c r="L257" s="38">
        <f>SUM(F257:K257)</f>
        <v>72874.569999999992</v>
      </c>
      <c r="M257" s="8"/>
      <c r="N257" s="165"/>
    </row>
    <row r="258" spans="1:14" s="3" customFormat="1" ht="12.2" customHeight="1" thickTop="1" x14ac:dyDescent="0.15">
      <c r="A258" s="35" t="s">
        <v>462</v>
      </c>
      <c r="B258" s="37">
        <v>10</v>
      </c>
      <c r="C258" s="37">
        <v>8</v>
      </c>
      <c r="D258" s="36" t="s">
        <v>431</v>
      </c>
      <c r="E258" s="37"/>
      <c r="F258" s="38">
        <f t="shared" ref="F258:L258" si="8">F212+F230+F248+F257</f>
        <v>28227833.020000003</v>
      </c>
      <c r="G258" s="38">
        <f t="shared" si="8"/>
        <v>16866621.490000006</v>
      </c>
      <c r="H258" s="38">
        <f t="shared" si="8"/>
        <v>38774939.649999991</v>
      </c>
      <c r="I258" s="38">
        <f t="shared" si="8"/>
        <v>2010458.57</v>
      </c>
      <c r="J258" s="38">
        <f t="shared" si="8"/>
        <v>84511.28</v>
      </c>
      <c r="K258" s="38">
        <f t="shared" si="8"/>
        <v>222951.58000000002</v>
      </c>
      <c r="L258" s="38">
        <f t="shared" si="8"/>
        <v>86187315.589999989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1758809.78</v>
      </c>
      <c r="L261" s="13">
        <f>SUM(F261:K261)</f>
        <v>1758809.78</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340753.14</v>
      </c>
      <c r="L262" s="13">
        <f>SUM(F262:K262)</f>
        <v>340753.14</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2099562.92</v>
      </c>
      <c r="L271" s="38">
        <f t="shared" si="9"/>
        <v>2099562.92</v>
      </c>
      <c r="M271" s="8"/>
      <c r="N271" s="165"/>
    </row>
    <row r="272" spans="1:14" s="33" customFormat="1" ht="12.2" customHeight="1" thickTop="1" x14ac:dyDescent="0.2">
      <c r="A272" s="40" t="s">
        <v>464</v>
      </c>
      <c r="B272" s="37">
        <v>10</v>
      </c>
      <c r="C272" s="37">
        <v>18</v>
      </c>
      <c r="D272" s="36" t="s">
        <v>431</v>
      </c>
      <c r="E272" s="37"/>
      <c r="F272" s="39">
        <f t="shared" ref="F272:L272" si="11">F258+F271</f>
        <v>28227833.020000003</v>
      </c>
      <c r="G272" s="39">
        <f t="shared" si="11"/>
        <v>16866621.490000006</v>
      </c>
      <c r="H272" s="39">
        <f t="shared" si="11"/>
        <v>38774939.649999991</v>
      </c>
      <c r="I272" s="39">
        <f t="shared" si="11"/>
        <v>2010458.57</v>
      </c>
      <c r="J272" s="39">
        <f t="shared" si="11"/>
        <v>84511.28</v>
      </c>
      <c r="K272" s="39">
        <f t="shared" si="11"/>
        <v>2322514.5</v>
      </c>
      <c r="L272" s="39">
        <f t="shared" si="11"/>
        <v>88286878.50999999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600782.94999999995</v>
      </c>
      <c r="G277" s="18">
        <v>214598.34</v>
      </c>
      <c r="H277" s="18">
        <v>4247.45</v>
      </c>
      <c r="I277" s="18">
        <v>253728.37</v>
      </c>
      <c r="J277" s="18">
        <v>529970</v>
      </c>
      <c r="K277" s="18">
        <v>0</v>
      </c>
      <c r="L277" s="13">
        <f>SUM(F277:K277)</f>
        <v>1603327.1099999999</v>
      </c>
      <c r="M277" s="8"/>
      <c r="N277" s="165"/>
    </row>
    <row r="278" spans="1:14" s="3" customFormat="1" ht="12.2" customHeight="1" x14ac:dyDescent="0.15">
      <c r="A278" s="1" t="s">
        <v>439</v>
      </c>
      <c r="B278" s="2" t="s">
        <v>357</v>
      </c>
      <c r="C278" s="2" t="s">
        <v>291</v>
      </c>
      <c r="D278" s="2" t="s">
        <v>431</v>
      </c>
      <c r="E278" s="6">
        <v>1200</v>
      </c>
      <c r="F278" s="18">
        <v>292168.13</v>
      </c>
      <c r="G278" s="18">
        <v>55109.380000000005</v>
      </c>
      <c r="H278" s="18">
        <v>78219.61</v>
      </c>
      <c r="I278" s="18">
        <v>0</v>
      </c>
      <c r="J278" s="18">
        <v>0</v>
      </c>
      <c r="K278" s="18">
        <v>0</v>
      </c>
      <c r="L278" s="13">
        <f>SUM(F278:K278)</f>
        <v>425497.12</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18239.54</v>
      </c>
      <c r="G280" s="18">
        <v>4707.54</v>
      </c>
      <c r="H280" s="18">
        <v>0</v>
      </c>
      <c r="I280" s="18">
        <v>324.73</v>
      </c>
      <c r="J280" s="18">
        <v>0</v>
      </c>
      <c r="K280" s="18">
        <v>0</v>
      </c>
      <c r="L280" s="13">
        <f>SUM(F280:K280)</f>
        <v>23271.81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92033.08</v>
      </c>
      <c r="G282" s="18">
        <v>30390.45</v>
      </c>
      <c r="H282" s="18">
        <v>582055.77</v>
      </c>
      <c r="I282" s="18">
        <v>54976.200000000004</v>
      </c>
      <c r="J282" s="18">
        <v>0</v>
      </c>
      <c r="K282" s="18">
        <v>0</v>
      </c>
      <c r="L282" s="13">
        <f t="shared" ref="L282:L288" si="12">SUM(F282:K282)</f>
        <v>759455.5</v>
      </c>
      <c r="M282" s="8"/>
      <c r="N282" s="165"/>
    </row>
    <row r="283" spans="1:14" s="3" customFormat="1" ht="12.2" customHeight="1" x14ac:dyDescent="0.15">
      <c r="A283" s="1" t="s">
        <v>443</v>
      </c>
      <c r="B283" s="2" t="s">
        <v>357</v>
      </c>
      <c r="C283" s="2" t="s">
        <v>295</v>
      </c>
      <c r="D283" s="2" t="s">
        <v>431</v>
      </c>
      <c r="E283" s="6">
        <v>2200</v>
      </c>
      <c r="F283" s="18">
        <v>0</v>
      </c>
      <c r="G283" s="18">
        <v>0</v>
      </c>
      <c r="H283" s="18">
        <v>0</v>
      </c>
      <c r="I283" s="18">
        <f>214288.28+2054.18</f>
        <v>216342.46</v>
      </c>
      <c r="J283" s="18">
        <v>6846.37</v>
      </c>
      <c r="K283" s="18">
        <v>0</v>
      </c>
      <c r="L283" s="13">
        <f t="shared" si="12"/>
        <v>223188.83</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880.96</v>
      </c>
      <c r="G286" s="18">
        <v>248.93</v>
      </c>
      <c r="H286" s="18">
        <v>0</v>
      </c>
      <c r="I286" s="18">
        <v>0</v>
      </c>
      <c r="J286" s="18">
        <v>0</v>
      </c>
      <c r="K286" s="18">
        <v>0</v>
      </c>
      <c r="L286" s="13">
        <f t="shared" si="12"/>
        <v>1129.8900000000001</v>
      </c>
      <c r="M286" s="8"/>
      <c r="N286" s="165"/>
    </row>
    <row r="287" spans="1:14" s="3" customFormat="1" ht="12.2" customHeight="1" x14ac:dyDescent="0.15">
      <c r="A287" s="1" t="s">
        <v>447</v>
      </c>
      <c r="B287" s="2" t="s">
        <v>357</v>
      </c>
      <c r="C287" s="2" t="s">
        <v>299</v>
      </c>
      <c r="D287" s="2" t="s">
        <v>431</v>
      </c>
      <c r="E287" s="6">
        <v>2600</v>
      </c>
      <c r="F287" s="18">
        <v>0</v>
      </c>
      <c r="G287" s="18">
        <v>0</v>
      </c>
      <c r="H287" s="18">
        <v>6285.58</v>
      </c>
      <c r="I287" s="18">
        <v>45877.56</v>
      </c>
      <c r="J287" s="18">
        <v>0</v>
      </c>
      <c r="K287" s="18">
        <v>0</v>
      </c>
      <c r="L287" s="13">
        <f t="shared" si="12"/>
        <v>52163.14</v>
      </c>
      <c r="M287" s="8"/>
      <c r="N287" s="165"/>
    </row>
    <row r="288" spans="1:14" s="3" customFormat="1" ht="12.2" customHeight="1" x14ac:dyDescent="0.15">
      <c r="A288" s="1" t="s">
        <v>448</v>
      </c>
      <c r="B288" s="2" t="s">
        <v>357</v>
      </c>
      <c r="C288" s="2" t="s">
        <v>300</v>
      </c>
      <c r="D288" s="2" t="s">
        <v>431</v>
      </c>
      <c r="E288" s="6">
        <v>2700</v>
      </c>
      <c r="F288" s="18">
        <v>0</v>
      </c>
      <c r="G288" s="18">
        <v>0</v>
      </c>
      <c r="H288" s="18">
        <v>43650.879999999997</v>
      </c>
      <c r="I288" s="18">
        <v>0</v>
      </c>
      <c r="J288" s="18">
        <v>0</v>
      </c>
      <c r="K288" s="18">
        <v>0</v>
      </c>
      <c r="L288" s="13">
        <f t="shared" si="12"/>
        <v>43650.879999999997</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1004104.6599999999</v>
      </c>
      <c r="G291" s="39">
        <f t="shared" si="13"/>
        <v>305054.63999999996</v>
      </c>
      <c r="H291" s="39">
        <f t="shared" si="13"/>
        <v>714459.29</v>
      </c>
      <c r="I291" s="39">
        <f t="shared" si="13"/>
        <v>571249.32000000007</v>
      </c>
      <c r="J291" s="39">
        <f t="shared" si="13"/>
        <v>536816.37</v>
      </c>
      <c r="K291" s="39">
        <f t="shared" si="13"/>
        <v>0</v>
      </c>
      <c r="L291" s="38">
        <f t="shared" si="13"/>
        <v>3131684.2800000003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68141.119999999995</v>
      </c>
      <c r="G296" s="18">
        <v>16552.27</v>
      </c>
      <c r="H296" s="18">
        <v>2327.5500000000002</v>
      </c>
      <c r="I296" s="18">
        <v>139040.02000000002</v>
      </c>
      <c r="J296" s="18">
        <v>290417.18</v>
      </c>
      <c r="K296" s="18">
        <v>0</v>
      </c>
      <c r="L296" s="13">
        <f>SUM(F296:K296)</f>
        <v>516478.14</v>
      </c>
      <c r="M296" s="8"/>
      <c r="N296" s="165"/>
    </row>
    <row r="297" spans="1:14" s="3" customFormat="1" ht="12.2" customHeight="1" x14ac:dyDescent="0.15">
      <c r="A297" s="1" t="s">
        <v>439</v>
      </c>
      <c r="B297" s="2" t="s">
        <v>358</v>
      </c>
      <c r="C297" s="2" t="s">
        <v>291</v>
      </c>
      <c r="D297" s="2" t="s">
        <v>431</v>
      </c>
      <c r="E297" s="6">
        <v>1200</v>
      </c>
      <c r="F297" s="18">
        <v>150641.71</v>
      </c>
      <c r="G297" s="18">
        <v>24071.42</v>
      </c>
      <c r="H297" s="18">
        <v>42863.38</v>
      </c>
      <c r="I297" s="18">
        <v>0</v>
      </c>
      <c r="J297" s="18">
        <v>0</v>
      </c>
      <c r="K297" s="18">
        <v>0</v>
      </c>
      <c r="L297" s="13">
        <f>SUM(F297:K297)</f>
        <v>217576.51</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1777.97</v>
      </c>
      <c r="G299" s="18">
        <v>509.76</v>
      </c>
      <c r="H299" s="18">
        <v>0</v>
      </c>
      <c r="I299" s="18">
        <v>0</v>
      </c>
      <c r="J299" s="18">
        <v>0</v>
      </c>
      <c r="K299" s="18">
        <v>0</v>
      </c>
      <c r="L299" s="13">
        <f>SUM(F299:K299)</f>
        <v>2287.73</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49191.79</v>
      </c>
      <c r="G301" s="18">
        <v>16400.89</v>
      </c>
      <c r="H301" s="18">
        <v>282483.44999999995</v>
      </c>
      <c r="I301" s="18">
        <v>27177.8</v>
      </c>
      <c r="J301" s="18">
        <v>0</v>
      </c>
      <c r="K301" s="18">
        <v>0</v>
      </c>
      <c r="L301" s="13">
        <f t="shared" ref="L301:L307" si="14">SUM(F301:K301)</f>
        <v>375253.92999999993</v>
      </c>
      <c r="M301" s="8"/>
      <c r="N301" s="165"/>
    </row>
    <row r="302" spans="1:14" s="3" customFormat="1" ht="12.2" customHeight="1" x14ac:dyDescent="0.15">
      <c r="A302" s="1" t="s">
        <v>443</v>
      </c>
      <c r="B302" s="2" t="s">
        <v>358</v>
      </c>
      <c r="C302" s="2" t="s">
        <v>295</v>
      </c>
      <c r="D302" s="2" t="s">
        <v>431</v>
      </c>
      <c r="E302" s="6">
        <v>2200</v>
      </c>
      <c r="F302" s="18">
        <v>0</v>
      </c>
      <c r="G302" s="18">
        <v>0</v>
      </c>
      <c r="H302" s="18">
        <v>0</v>
      </c>
      <c r="I302" s="18">
        <f>117427.32+388.39</f>
        <v>117815.71</v>
      </c>
      <c r="J302" s="18">
        <v>3751.73</v>
      </c>
      <c r="K302" s="18">
        <v>0</v>
      </c>
      <c r="L302" s="13">
        <f t="shared" si="14"/>
        <v>121567.44</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482.76</v>
      </c>
      <c r="G305" s="18">
        <v>136.41</v>
      </c>
      <c r="H305" s="18">
        <v>0</v>
      </c>
      <c r="I305" s="18">
        <v>0</v>
      </c>
      <c r="J305" s="18">
        <v>0</v>
      </c>
      <c r="K305" s="18">
        <v>0</v>
      </c>
      <c r="L305" s="13">
        <f t="shared" si="14"/>
        <v>619.16999999999996</v>
      </c>
      <c r="M305" s="8"/>
      <c r="N305" s="165"/>
    </row>
    <row r="306" spans="1:14" s="3" customFormat="1" ht="12.2" customHeight="1" x14ac:dyDescent="0.15">
      <c r="A306" s="1" t="s">
        <v>447</v>
      </c>
      <c r="B306" s="2" t="s">
        <v>358</v>
      </c>
      <c r="C306" s="2" t="s">
        <v>299</v>
      </c>
      <c r="D306" s="2" t="s">
        <v>431</v>
      </c>
      <c r="E306" s="6">
        <v>2600</v>
      </c>
      <c r="F306" s="18">
        <v>0</v>
      </c>
      <c r="G306" s="18">
        <v>0</v>
      </c>
      <c r="H306" s="18">
        <v>3444.42</v>
      </c>
      <c r="I306" s="18">
        <v>25140.34</v>
      </c>
      <c r="J306" s="18">
        <v>0</v>
      </c>
      <c r="K306" s="18">
        <v>0</v>
      </c>
      <c r="L306" s="13">
        <f t="shared" si="14"/>
        <v>28584.760000000002</v>
      </c>
      <c r="M306" s="8"/>
      <c r="N306" s="165"/>
    </row>
    <row r="307" spans="1:14" s="3" customFormat="1" ht="12.2" customHeight="1" x14ac:dyDescent="0.15">
      <c r="A307" s="1" t="s">
        <v>448</v>
      </c>
      <c r="B307" s="2" t="s">
        <v>358</v>
      </c>
      <c r="C307" s="2" t="s">
        <v>300</v>
      </c>
      <c r="D307" s="2" t="s">
        <v>431</v>
      </c>
      <c r="E307" s="6">
        <v>2700</v>
      </c>
      <c r="F307" s="18">
        <v>0</v>
      </c>
      <c r="G307" s="18">
        <v>0</v>
      </c>
      <c r="H307" s="18">
        <v>23920.15</v>
      </c>
      <c r="I307" s="18">
        <v>0</v>
      </c>
      <c r="J307" s="18">
        <v>0</v>
      </c>
      <c r="K307" s="18">
        <v>0</v>
      </c>
      <c r="L307" s="13">
        <f t="shared" si="14"/>
        <v>23920.15</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270235.34999999998</v>
      </c>
      <c r="G310" s="39">
        <f t="shared" si="15"/>
        <v>57670.750000000007</v>
      </c>
      <c r="H310" s="39">
        <f t="shared" si="15"/>
        <v>355038.94999999995</v>
      </c>
      <c r="I310" s="39">
        <f t="shared" si="15"/>
        <v>309173.87000000005</v>
      </c>
      <c r="J310" s="39">
        <f t="shared" si="15"/>
        <v>294168.90999999997</v>
      </c>
      <c r="K310" s="39">
        <f t="shared" si="15"/>
        <v>0</v>
      </c>
      <c r="L310" s="38">
        <f t="shared" si="15"/>
        <v>1286287.8299999998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201316.86</v>
      </c>
      <c r="I316" s="18">
        <v>0</v>
      </c>
      <c r="J316" s="18">
        <v>0</v>
      </c>
      <c r="K316" s="18">
        <v>0</v>
      </c>
      <c r="L316" s="13">
        <f>SUM(F316:K316)</f>
        <v>201316.86</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67900</v>
      </c>
      <c r="I320" s="18">
        <v>1345.8</v>
      </c>
      <c r="J320" s="18">
        <v>0</v>
      </c>
      <c r="K320" s="18">
        <v>0</v>
      </c>
      <c r="L320" s="13">
        <f t="shared" ref="L320:L326" si="16">SUM(F320:K320)</f>
        <v>69245.8</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-11646.17</v>
      </c>
      <c r="J321" s="18">
        <v>318284</v>
      </c>
      <c r="K321" s="18">
        <v>0</v>
      </c>
      <c r="L321" s="13">
        <f t="shared" si="16"/>
        <v>306637.83</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269216.86</v>
      </c>
      <c r="I329" s="39">
        <f t="shared" si="17"/>
        <v>-10300.370000000001</v>
      </c>
      <c r="J329" s="39">
        <f t="shared" si="17"/>
        <v>318284</v>
      </c>
      <c r="K329" s="39">
        <f t="shared" si="17"/>
        <v>0</v>
      </c>
      <c r="L329" s="38">
        <f t="shared" si="17"/>
        <v>577200.49</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v>76108.5</v>
      </c>
      <c r="G334" s="18">
        <v>5817.45</v>
      </c>
      <c r="H334" s="18">
        <v>5544.64</v>
      </c>
      <c r="I334" s="18">
        <v>3218.2</v>
      </c>
      <c r="J334" s="18">
        <v>0</v>
      </c>
      <c r="K334" s="18">
        <v>199</v>
      </c>
      <c r="L334" s="13">
        <f t="shared" si="18"/>
        <v>90887.79</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v>896.15</v>
      </c>
      <c r="J336" s="18"/>
      <c r="K336" s="18"/>
      <c r="L336" s="13">
        <f t="shared" si="18"/>
        <v>896.15</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76108.5</v>
      </c>
      <c r="G338" s="38">
        <f t="shared" si="19"/>
        <v>5817.45</v>
      </c>
      <c r="H338" s="38">
        <f t="shared" si="19"/>
        <v>5544.64</v>
      </c>
      <c r="I338" s="38">
        <f t="shared" si="19"/>
        <v>4114.3499999999995</v>
      </c>
      <c r="J338" s="38">
        <f t="shared" si="19"/>
        <v>0</v>
      </c>
      <c r="K338" s="38">
        <f t="shared" si="19"/>
        <v>199</v>
      </c>
      <c r="L338" s="38">
        <f t="shared" si="18"/>
        <v>91783.94</v>
      </c>
      <c r="M338" s="8"/>
      <c r="N338" s="165"/>
    </row>
    <row r="339" spans="1:43" s="3" customFormat="1" ht="12.2" customHeight="1" thickTop="1" x14ac:dyDescent="0.15">
      <c r="A339" s="35" t="s">
        <v>468</v>
      </c>
      <c r="B339" s="37">
        <v>14</v>
      </c>
      <c r="C339" s="37">
        <v>7</v>
      </c>
      <c r="D339" s="36" t="s">
        <v>431</v>
      </c>
      <c r="E339" s="37"/>
      <c r="F339" s="38">
        <f t="shared" ref="F339:L339" si="20">F291+F310+F329+F338</f>
        <v>1350448.5099999998</v>
      </c>
      <c r="G339" s="38">
        <f t="shared" si="20"/>
        <v>368542.83999999997</v>
      </c>
      <c r="H339" s="38">
        <f t="shared" si="20"/>
        <v>1344259.74</v>
      </c>
      <c r="I339" s="38">
        <f t="shared" si="20"/>
        <v>874237.17000000016</v>
      </c>
      <c r="J339" s="38">
        <f t="shared" si="20"/>
        <v>1149269.28</v>
      </c>
      <c r="K339" s="38">
        <f t="shared" si="20"/>
        <v>199</v>
      </c>
      <c r="L339" s="38">
        <f t="shared" si="20"/>
        <v>5086956.540000001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1350448.5099999998</v>
      </c>
      <c r="G353" s="38">
        <f>G339</f>
        <v>368542.83999999997</v>
      </c>
      <c r="H353" s="38">
        <f>H339</f>
        <v>1344259.74</v>
      </c>
      <c r="I353" s="38">
        <f>I339</f>
        <v>874237.17000000016</v>
      </c>
      <c r="J353" s="38">
        <f>J339</f>
        <v>1149269.28</v>
      </c>
      <c r="K353" s="38">
        <f>K339+K352</f>
        <v>199</v>
      </c>
      <c r="L353" s="38">
        <f>L339+L352</f>
        <v>5086956.540000001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361246.09</v>
      </c>
      <c r="G359" s="18">
        <v>150080.01</v>
      </c>
      <c r="H359" s="18">
        <v>124669.07</v>
      </c>
      <c r="I359" s="18">
        <v>452870.7</v>
      </c>
      <c r="J359" s="18">
        <v>32373.07</v>
      </c>
      <c r="K359" s="18">
        <v>0</v>
      </c>
      <c r="L359" s="13">
        <f>SUM(F359:K359)</f>
        <v>1121238.9400000002</v>
      </c>
      <c r="M359" s="8"/>
      <c r="N359" s="165"/>
    </row>
    <row r="360" spans="1:22" s="3" customFormat="1" ht="12.2" customHeight="1" x14ac:dyDescent="0.15">
      <c r="A360" s="1" t="s">
        <v>542</v>
      </c>
      <c r="B360" s="2" t="s">
        <v>366</v>
      </c>
      <c r="C360" s="6">
        <v>2</v>
      </c>
      <c r="D360" s="2" t="s">
        <v>431</v>
      </c>
      <c r="E360" s="6"/>
      <c r="F360" s="18">
        <v>197958.38</v>
      </c>
      <c r="G360" s="18">
        <v>82241.98</v>
      </c>
      <c r="H360" s="18">
        <v>70463.649999999994</v>
      </c>
      <c r="I360" s="18">
        <v>295417.53000000003</v>
      </c>
      <c r="J360" s="18">
        <v>99.9</v>
      </c>
      <c r="K360" s="18">
        <v>0</v>
      </c>
      <c r="L360" s="13">
        <f>SUM(F360:K360)</f>
        <v>646181.44000000006</v>
      </c>
      <c r="M360" s="8"/>
      <c r="N360" s="165"/>
    </row>
    <row r="361" spans="1:22" s="3" customFormat="1" ht="12.2" customHeight="1" x14ac:dyDescent="0.15">
      <c r="A361" s="3" t="s">
        <v>543</v>
      </c>
      <c r="B361" s="2" t="s">
        <v>366</v>
      </c>
      <c r="C361" s="6">
        <v>3</v>
      </c>
      <c r="D361" s="2" t="s">
        <v>431</v>
      </c>
      <c r="E361" s="6"/>
      <c r="F361" s="18"/>
      <c r="G361" s="18"/>
      <c r="H361" s="18">
        <f>43473.35</f>
        <v>43473.35</v>
      </c>
      <c r="I361" s="18"/>
      <c r="J361" s="18"/>
      <c r="K361" s="18"/>
      <c r="L361" s="13">
        <f>SUM(F361:K361)</f>
        <v>43473.35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559204.47</v>
      </c>
      <c r="G363" s="38">
        <f t="shared" si="22"/>
        <v>232321.99</v>
      </c>
      <c r="H363" s="38">
        <f t="shared" si="22"/>
        <v>238606.07</v>
      </c>
      <c r="I363" s="38">
        <f t="shared" si="22"/>
        <v>748288.23</v>
      </c>
      <c r="J363" s="38">
        <f t="shared" si="22"/>
        <v>32472.97</v>
      </c>
      <c r="K363" s="38">
        <f t="shared" si="22"/>
        <v>0</v>
      </c>
      <c r="L363" s="38">
        <f t="shared" si="22"/>
        <v>1810893.7300000004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408564.29000000004</v>
      </c>
      <c r="G368" s="18">
        <v>267524.39</v>
      </c>
      <c r="H368" s="18"/>
      <c r="I368" s="13">
        <f>SUM(F368:H368)</f>
        <v>676088.68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44306.409999999996</v>
      </c>
      <c r="G369" s="53">
        <v>27893.14</v>
      </c>
      <c r="H369" s="53"/>
      <c r="I369" s="13">
        <f>SUM(F369:H369)</f>
        <v>72199.549999999988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452870.7</v>
      </c>
      <c r="G370" s="38">
        <f>SUM(G368:G369)</f>
        <v>295417.53000000003</v>
      </c>
      <c r="H370" s="38">
        <f>SUM(H368:H369)</f>
        <v>0</v>
      </c>
      <c r="I370" s="38">
        <f>SUM(I368:I369)</f>
        <v>748288.23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1268.29</v>
      </c>
      <c r="I393" s="18"/>
      <c r="J393" s="23" t="s">
        <v>288</v>
      </c>
      <c r="K393" s="23" t="s">
        <v>288</v>
      </c>
      <c r="L393" s="13">
        <f t="shared" si="25"/>
        <v>1268.29</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1268.29</v>
      </c>
      <c r="I394" s="54">
        <f>SUM(I388:I393)</f>
        <v>0</v>
      </c>
      <c r="J394" s="42" t="s">
        <v>288</v>
      </c>
      <c r="K394" s="42" t="s">
        <v>288</v>
      </c>
      <c r="L394" s="38">
        <f>SUM(L388:L393)</f>
        <v>1268.29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1268.29</v>
      </c>
      <c r="I409" s="38">
        <f>I394+I402+I408</f>
        <v>0</v>
      </c>
      <c r="J409" s="23" t="s">
        <v>288</v>
      </c>
      <c r="K409" s="23" t="s">
        <v>288</v>
      </c>
      <c r="L409" s="38">
        <f>L394+L402+L408</f>
        <v>1268.29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197897.05</v>
      </c>
      <c r="G443" s="18"/>
      <c r="H443" s="18"/>
      <c r="I443" s="13">
        <f t="shared" si="33"/>
        <v>197897.05</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197897.05</v>
      </c>
      <c r="G447" s="13">
        <f>SUM(G440:G446)</f>
        <v>0</v>
      </c>
      <c r="H447" s="13">
        <f>SUM(H440:H446)</f>
        <v>0</v>
      </c>
      <c r="I447" s="13">
        <f>SUM(I440:I446)</f>
        <v>197897.05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197897.05</v>
      </c>
      <c r="G460" s="18"/>
      <c r="H460" s="18"/>
      <c r="I460" s="13">
        <f t="shared" si="34"/>
        <v>197897.05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197897.05</v>
      </c>
      <c r="G461" s="65">
        <f>SUM(G455:G460)</f>
        <v>0</v>
      </c>
      <c r="H461" s="65">
        <f>SUM(H455:H460)</f>
        <v>0</v>
      </c>
      <c r="I461" s="65">
        <f>SUM(I455:I460)</f>
        <v>197897.05</v>
      </c>
      <c r="J461" s="23" t="s">
        <v>288</v>
      </c>
      <c r="K461" s="23" t="s">
        <v>288</v>
      </c>
      <c r="L461" s="23" t="s">
        <v>288</v>
      </c>
      <c r="N461" s="131"/>
    </row>
    <row r="462" spans="1:86" ht="12.2" customHeight="1" thickTop="1" x14ac:dyDescent="0.2">
      <c r="A462" s="40" t="s">
        <v>424</v>
      </c>
      <c r="B462" s="41">
        <v>18</v>
      </c>
      <c r="C462" s="64">
        <v>21</v>
      </c>
      <c r="D462" s="114" t="s">
        <v>432</v>
      </c>
      <c r="E462" s="64"/>
      <c r="F462" s="39">
        <f>F453+F461</f>
        <v>197897.05</v>
      </c>
      <c r="G462" s="39">
        <f>G453+G461</f>
        <v>0</v>
      </c>
      <c r="H462" s="39">
        <f>H453+H461</f>
        <v>0</v>
      </c>
      <c r="I462" s="39">
        <f>I453+I461</f>
        <v>197897.05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f>7988156.98+2946.49+180</f>
        <v>7991283.4700000007</v>
      </c>
      <c r="G466" s="18">
        <v>24742.55</v>
      </c>
      <c r="H466" s="18">
        <v>48038.5</v>
      </c>
      <c r="I466" s="18"/>
      <c r="J466" s="18">
        <v>196628.76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87777011.120000005</v>
      </c>
      <c r="G469" s="18">
        <v>2722264.6399999997</v>
      </c>
      <c r="H469" s="18">
        <v>5101574.95</v>
      </c>
      <c r="I469" s="18"/>
      <c r="J469" s="18">
        <v>1268.29</v>
      </c>
      <c r="K469" s="23" t="s">
        <v>288</v>
      </c>
      <c r="L469" s="23" t="s">
        <v>288</v>
      </c>
      <c r="N469" s="131"/>
    </row>
    <row r="470" spans="1:14" ht="12.2" customHeight="1" x14ac:dyDescent="0.2">
      <c r="A470" s="71" t="s">
        <v>611</v>
      </c>
      <c r="B470" s="22">
        <v>19</v>
      </c>
      <c r="C470" s="31">
        <v>3</v>
      </c>
      <c r="D470" s="2" t="s">
        <v>432</v>
      </c>
      <c r="E470" s="31"/>
      <c r="F470" s="18"/>
      <c r="G470" s="18">
        <v>87900.41</v>
      </c>
      <c r="H470" s="18">
        <v>1910.71</v>
      </c>
      <c r="I470" s="18"/>
      <c r="J470" s="18"/>
      <c r="K470" s="23" t="s">
        <v>288</v>
      </c>
      <c r="L470" s="23" t="s">
        <v>288</v>
      </c>
      <c r="N470" s="131"/>
    </row>
    <row r="471" spans="1:14" ht="12.2" customHeight="1" x14ac:dyDescent="0.2">
      <c r="A471" s="32" t="s">
        <v>425</v>
      </c>
      <c r="B471" s="22">
        <v>19</v>
      </c>
      <c r="C471" s="31">
        <v>4</v>
      </c>
      <c r="D471" s="2" t="s">
        <v>432</v>
      </c>
      <c r="E471" s="31"/>
      <c r="F471" s="19">
        <f>SUM(F469:F470)</f>
        <v>87777011.120000005</v>
      </c>
      <c r="G471" s="19">
        <f>SUM(G469:G470)</f>
        <v>2810165.05</v>
      </c>
      <c r="H471" s="19">
        <f>SUM(H469:H470)</f>
        <v>5103485.66</v>
      </c>
      <c r="I471" s="19">
        <f>SUM(I469:I470)</f>
        <v>0</v>
      </c>
      <c r="J471" s="19">
        <f>SUM(J469:J470)</f>
        <v>1268.29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88286878.50999999</v>
      </c>
      <c r="G473" s="18">
        <v>1810893.7300000004</v>
      </c>
      <c r="H473" s="18">
        <v>5086956.540000001</v>
      </c>
      <c r="I473" s="18"/>
      <c r="J473" s="18"/>
      <c r="K473" s="23" t="s">
        <v>288</v>
      </c>
      <c r="L473" s="23" t="s">
        <v>288</v>
      </c>
      <c r="N473" s="131"/>
    </row>
    <row r="474" spans="1:14" ht="12.2" customHeight="1" x14ac:dyDescent="0.2">
      <c r="A474" s="71" t="s">
        <v>613</v>
      </c>
      <c r="B474" s="22">
        <v>19</v>
      </c>
      <c r="C474" s="31">
        <v>6</v>
      </c>
      <c r="D474" s="2" t="s">
        <v>432</v>
      </c>
      <c r="E474" s="31"/>
      <c r="F474" s="18"/>
      <c r="G474" s="18"/>
      <c r="H474" s="18">
        <v>23878.39</v>
      </c>
      <c r="I474" s="18"/>
      <c r="J474" s="18"/>
      <c r="K474" s="23" t="s">
        <v>288</v>
      </c>
      <c r="L474" s="23" t="s">
        <v>288</v>
      </c>
      <c r="N474" s="131"/>
    </row>
    <row r="475" spans="1:14" ht="12.2" customHeight="1" x14ac:dyDescent="0.2">
      <c r="A475" s="32" t="s">
        <v>426</v>
      </c>
      <c r="B475" s="22">
        <v>19</v>
      </c>
      <c r="C475" s="31">
        <v>7</v>
      </c>
      <c r="D475" s="2" t="s">
        <v>432</v>
      </c>
      <c r="E475" s="31"/>
      <c r="F475" s="19">
        <f>SUM(F473:F474)</f>
        <v>88286878.50999999</v>
      </c>
      <c r="G475" s="19">
        <f>SUM(G473:G474)</f>
        <v>1810893.7300000004</v>
      </c>
      <c r="H475" s="19">
        <f>SUM(H473:H474)</f>
        <v>5110834.9300000006</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7481416.0800000131</v>
      </c>
      <c r="G477" s="19">
        <f>(G466+G471)- G475</f>
        <v>1024013.8699999992</v>
      </c>
      <c r="H477" s="19">
        <f>(H466+H471)- H475</f>
        <v>40689.229999999516</v>
      </c>
      <c r="I477" s="19">
        <f>(I466+I471)- I475</f>
        <v>0</v>
      </c>
      <c r="J477" s="19">
        <f>(J466+J471)- J475</f>
        <v>197897.05000000002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55" t="s">
        <v>1802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1802</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4863592.24</v>
      </c>
      <c r="G522" s="18">
        <f t="shared" ref="G522:K522" si="36">G199+G278</f>
        <v>2340999.31</v>
      </c>
      <c r="H522" s="18">
        <f t="shared" si="36"/>
        <v>2487071.13</v>
      </c>
      <c r="I522" s="18">
        <f t="shared" si="36"/>
        <v>6203.88</v>
      </c>
      <c r="J522" s="18">
        <f t="shared" si="36"/>
        <v>14512.32</v>
      </c>
      <c r="K522" s="18">
        <f t="shared" si="36"/>
        <v>2267.8200000000002</v>
      </c>
      <c r="L522" s="69">
        <f>SUM(F522:K522)</f>
        <v>9714646.7000000011</v>
      </c>
      <c r="N522" s="131"/>
    </row>
    <row r="523" spans="1:14" ht="12.2" customHeight="1" x14ac:dyDescent="0.2">
      <c r="A523" s="21" t="s">
        <v>634</v>
      </c>
      <c r="B523" s="22">
        <v>21</v>
      </c>
      <c r="C523" s="22">
        <v>2</v>
      </c>
      <c r="D523" s="2" t="s">
        <v>432</v>
      </c>
      <c r="E523" s="22"/>
      <c r="F523" s="18">
        <f>F217+297</f>
        <v>2181618.2000000002</v>
      </c>
      <c r="G523" s="18">
        <f t="shared" ref="G523:K523" si="37">G217+297</f>
        <v>1018883.33</v>
      </c>
      <c r="H523" s="18">
        <f t="shared" si="37"/>
        <v>737947.70000000007</v>
      </c>
      <c r="I523" s="18">
        <f t="shared" si="37"/>
        <v>2047.1599999999999</v>
      </c>
      <c r="J523" s="18">
        <f t="shared" si="37"/>
        <v>1675.13</v>
      </c>
      <c r="K523" s="18">
        <f t="shared" si="37"/>
        <v>1545.18</v>
      </c>
      <c r="L523" s="69">
        <f>SUM(F523:K523)</f>
        <v>3943716.7000000007</v>
      </c>
      <c r="N523" s="131"/>
    </row>
    <row r="524" spans="1:14" ht="12.2" customHeight="1" thickBot="1" x14ac:dyDescent="0.25">
      <c r="A524" s="21" t="s">
        <v>635</v>
      </c>
      <c r="B524" s="22">
        <v>21</v>
      </c>
      <c r="C524" s="22">
        <v>3</v>
      </c>
      <c r="D524" s="2" t="s">
        <v>432</v>
      </c>
      <c r="E524" s="22"/>
      <c r="F524" s="18">
        <f>F235+F316</f>
        <v>84836</v>
      </c>
      <c r="G524" s="18">
        <f t="shared" ref="G524:H524" si="38">G235+G316</f>
        <v>55230.46</v>
      </c>
      <c r="H524" s="18">
        <f t="shared" si="38"/>
        <v>6535928.1700000009</v>
      </c>
      <c r="I524" s="18"/>
      <c r="J524" s="18"/>
      <c r="K524" s="18"/>
      <c r="L524" s="69">
        <f>SUM(F524:K524)</f>
        <v>6675994.6300000008</v>
      </c>
      <c r="N524" s="131"/>
    </row>
    <row r="525" spans="1:14" ht="12.2" customHeight="1" thickTop="1" x14ac:dyDescent="0.2">
      <c r="A525" s="97" t="s">
        <v>63</v>
      </c>
      <c r="B525" s="41">
        <v>21</v>
      </c>
      <c r="C525" s="41">
        <v>4</v>
      </c>
      <c r="D525" s="115" t="s">
        <v>432</v>
      </c>
      <c r="E525" s="41"/>
      <c r="F525" s="81">
        <f>SUM(F522:F524)</f>
        <v>7130046.4400000004</v>
      </c>
      <c r="G525" s="81">
        <f t="shared" ref="G525:L525" si="39">SUM(G522:G524)</f>
        <v>3415113.1</v>
      </c>
      <c r="H525" s="81">
        <f t="shared" si="39"/>
        <v>9760947</v>
      </c>
      <c r="I525" s="81">
        <f t="shared" si="39"/>
        <v>8251.0400000000009</v>
      </c>
      <c r="J525" s="81">
        <f t="shared" si="39"/>
        <v>16187.45</v>
      </c>
      <c r="K525" s="81">
        <f t="shared" si="39"/>
        <v>3813</v>
      </c>
      <c r="L525" s="70">
        <f t="shared" si="39"/>
        <v>20334358.030000001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ROUND(68404.09632,2)</f>
        <v>68404.100000000006</v>
      </c>
      <c r="G527" s="18">
        <f>ROUND(69805.225872,2)</f>
        <v>69805.23</v>
      </c>
      <c r="H527" s="18">
        <v>471676.99</v>
      </c>
      <c r="I527" s="18">
        <v>20682.759999999998</v>
      </c>
      <c r="J527" s="18"/>
      <c r="K527" s="18"/>
      <c r="L527" s="69">
        <f>SUM(F527:K527)</f>
        <v>630569.08000000007</v>
      </c>
      <c r="M527" s="8"/>
      <c r="N527" s="165"/>
    </row>
    <row r="528" spans="1:14" s="3" customFormat="1" ht="12.2" customHeight="1" x14ac:dyDescent="0.15">
      <c r="A528" s="21" t="s">
        <v>634</v>
      </c>
      <c r="B528" s="22">
        <v>21</v>
      </c>
      <c r="C528" s="22">
        <v>6</v>
      </c>
      <c r="D528" s="2" t="s">
        <v>432</v>
      </c>
      <c r="E528" s="22"/>
      <c r="F528" s="18">
        <f>ROUND(35459.663328,2)</f>
        <v>35459.660000000003</v>
      </c>
      <c r="G528" s="18">
        <v>40996.720000000001</v>
      </c>
      <c r="H528" s="18">
        <v>266546.34000000003</v>
      </c>
      <c r="I528" s="18">
        <v>10423.799999999999</v>
      </c>
      <c r="J528" s="18"/>
      <c r="K528" s="18"/>
      <c r="L528" s="69">
        <f>SUM(F528:K528)</f>
        <v>353426.52</v>
      </c>
      <c r="M528" s="8"/>
      <c r="N528" s="165"/>
    </row>
    <row r="529" spans="1:14" s="3" customFormat="1" ht="12.2" customHeight="1" thickBot="1" x14ac:dyDescent="0.2">
      <c r="A529" s="21" t="s">
        <v>635</v>
      </c>
      <c r="B529" s="22">
        <v>21</v>
      </c>
      <c r="C529" s="22">
        <v>7</v>
      </c>
      <c r="D529" s="2" t="s">
        <v>432</v>
      </c>
      <c r="E529" s="22"/>
      <c r="F529" s="18"/>
      <c r="G529" s="18"/>
      <c r="H529" s="18">
        <v>384549.8</v>
      </c>
      <c r="I529" s="18"/>
      <c r="J529" s="18"/>
      <c r="K529" s="18"/>
      <c r="L529" s="69">
        <f>SUM(F529:K529)</f>
        <v>384549.8</v>
      </c>
      <c r="M529" s="8"/>
      <c r="N529" s="165"/>
    </row>
    <row r="530" spans="1:14" s="3" customFormat="1" ht="12.2" customHeight="1" thickTop="1" x14ac:dyDescent="0.15">
      <c r="A530" s="97" t="s">
        <v>65</v>
      </c>
      <c r="B530" s="41">
        <v>21</v>
      </c>
      <c r="C530" s="41">
        <v>8</v>
      </c>
      <c r="D530" s="115" t="s">
        <v>432</v>
      </c>
      <c r="E530" s="41"/>
      <c r="F530" s="70">
        <f>SUM(F527:F529)</f>
        <v>103863.76000000001</v>
      </c>
      <c r="G530" s="70">
        <f t="shared" ref="G530:L530" si="40">SUM(G527:G529)</f>
        <v>110801.95</v>
      </c>
      <c r="H530" s="70">
        <f t="shared" si="40"/>
        <v>1122773.1300000001</v>
      </c>
      <c r="I530" s="70">
        <f t="shared" si="40"/>
        <v>31106.559999999998</v>
      </c>
      <c r="J530" s="70">
        <f t="shared" si="40"/>
        <v>0</v>
      </c>
      <c r="K530" s="70">
        <f t="shared" si="40"/>
        <v>0</v>
      </c>
      <c r="L530" s="70">
        <f t="shared" si="40"/>
        <v>1368545.4000000001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163825.54999999999</v>
      </c>
      <c r="G532" s="18">
        <v>110918.1</v>
      </c>
      <c r="H532" s="18"/>
      <c r="I532" s="18"/>
      <c r="J532" s="18"/>
      <c r="K532" s="18"/>
      <c r="L532" s="69">
        <f>SUM(F532:K532)</f>
        <v>274743.65000000002</v>
      </c>
      <c r="M532" s="8"/>
      <c r="N532" s="165"/>
    </row>
    <row r="533" spans="1:14" s="3" customFormat="1" ht="12.2" customHeight="1" x14ac:dyDescent="0.15">
      <c r="A533" s="21" t="s">
        <v>634</v>
      </c>
      <c r="B533" s="22">
        <v>21</v>
      </c>
      <c r="C533" s="22">
        <v>10</v>
      </c>
      <c r="D533" s="2" t="s">
        <v>432</v>
      </c>
      <c r="E533" s="22"/>
      <c r="F533" s="18">
        <v>221733.53</v>
      </c>
      <c r="G533" s="18">
        <v>282854.43</v>
      </c>
      <c r="H533" s="18"/>
      <c r="I533" s="18"/>
      <c r="J533" s="18"/>
      <c r="K533" s="18"/>
      <c r="L533" s="69">
        <f>SUM(F533:K533)</f>
        <v>504587.95999999996</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385559.07999999996</v>
      </c>
      <c r="G535" s="70">
        <f t="shared" ref="G535:L535" si="41">SUM(G532:G534)</f>
        <v>393772.53</v>
      </c>
      <c r="H535" s="70">
        <f t="shared" si="41"/>
        <v>0</v>
      </c>
      <c r="I535" s="70">
        <f t="shared" si="41"/>
        <v>0</v>
      </c>
      <c r="J535" s="70">
        <f t="shared" si="41"/>
        <v>0</v>
      </c>
      <c r="K535" s="70">
        <f t="shared" si="41"/>
        <v>0</v>
      </c>
      <c r="L535" s="70">
        <f t="shared" si="41"/>
        <v>779331.61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92861.74</v>
      </c>
      <c r="I537" s="18"/>
      <c r="J537" s="18"/>
      <c r="K537" s="18"/>
      <c r="L537" s="69">
        <f>SUM(F537:K537)</f>
        <v>92861.74</v>
      </c>
      <c r="M537" s="8"/>
      <c r="N537" s="165"/>
    </row>
    <row r="538" spans="1:14" s="3" customFormat="1" ht="12.2" customHeight="1" x14ac:dyDescent="0.15">
      <c r="A538" s="21" t="s">
        <v>634</v>
      </c>
      <c r="B538" s="22">
        <v>21</v>
      </c>
      <c r="C538" s="22">
        <v>14</v>
      </c>
      <c r="D538" s="2" t="s">
        <v>432</v>
      </c>
      <c r="E538" s="22"/>
      <c r="F538" s="18"/>
      <c r="G538" s="18"/>
      <c r="H538" s="18">
        <v>51234.06</v>
      </c>
      <c r="I538" s="18"/>
      <c r="J538" s="18"/>
      <c r="K538" s="18"/>
      <c r="L538" s="69">
        <f>SUM(F538:K538)</f>
        <v>51234.06</v>
      </c>
      <c r="M538" s="8"/>
      <c r="N538" s="165"/>
    </row>
    <row r="539" spans="1:14" s="3" customFormat="1" ht="12.2" customHeight="1" thickBot="1" x14ac:dyDescent="0.2">
      <c r="A539" s="21" t="s">
        <v>635</v>
      </c>
      <c r="B539" s="22">
        <v>21</v>
      </c>
      <c r="C539" s="22">
        <v>15</v>
      </c>
      <c r="D539" s="2" t="s">
        <v>432</v>
      </c>
      <c r="E539" s="22"/>
      <c r="F539" s="18"/>
      <c r="G539" s="18"/>
      <c r="H539" s="18">
        <v>73457.8</v>
      </c>
      <c r="I539" s="18"/>
      <c r="J539" s="18"/>
      <c r="K539" s="18"/>
      <c r="L539" s="69">
        <f>SUM(F539:K539)</f>
        <v>73457.8</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217553.59999999998</v>
      </c>
      <c r="I540" s="70">
        <f t="shared" si="42"/>
        <v>0</v>
      </c>
      <c r="J540" s="70">
        <f t="shared" si="42"/>
        <v>0</v>
      </c>
      <c r="K540" s="70">
        <f t="shared" si="42"/>
        <v>0</v>
      </c>
      <c r="L540" s="70">
        <f t="shared" si="42"/>
        <v>217553.59999999998</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650003.59</v>
      </c>
      <c r="I542" s="18"/>
      <c r="J542" s="18"/>
      <c r="K542" s="18"/>
      <c r="L542" s="69">
        <f>SUM(F542:K542)</f>
        <v>650003.59</v>
      </c>
      <c r="M542" s="8"/>
      <c r="N542" s="165"/>
    </row>
    <row r="543" spans="1:14" s="3" customFormat="1" ht="12.2" customHeight="1" x14ac:dyDescent="0.15">
      <c r="A543" s="21" t="s">
        <v>634</v>
      </c>
      <c r="B543" s="22">
        <v>21</v>
      </c>
      <c r="C543" s="22">
        <v>18</v>
      </c>
      <c r="D543" s="2" t="s">
        <v>432</v>
      </c>
      <c r="E543" s="22"/>
      <c r="F543" s="18"/>
      <c r="G543" s="18"/>
      <c r="H543" s="18">
        <v>773311.06</v>
      </c>
      <c r="I543" s="18"/>
      <c r="J543" s="18"/>
      <c r="K543" s="18"/>
      <c r="L543" s="69">
        <f>SUM(F543:K543)</f>
        <v>773311.06</v>
      </c>
      <c r="M543" s="8"/>
      <c r="N543" s="165"/>
    </row>
    <row r="544" spans="1:14" s="3" customFormat="1" ht="12.2" customHeight="1" thickBot="1" x14ac:dyDescent="0.2">
      <c r="A544" s="21" t="s">
        <v>635</v>
      </c>
      <c r="B544" s="22">
        <v>21</v>
      </c>
      <c r="C544" s="22">
        <v>19</v>
      </c>
      <c r="D544" s="2" t="s">
        <v>432</v>
      </c>
      <c r="E544" s="22"/>
      <c r="F544" s="18"/>
      <c r="G544" s="18"/>
      <c r="H544" s="18">
        <v>178110</v>
      </c>
      <c r="I544" s="18"/>
      <c r="J544" s="18"/>
      <c r="K544" s="18"/>
      <c r="L544" s="69">
        <f>SUM(F544:K544)</f>
        <v>178110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3">SUM(G542:G544)</f>
        <v>0</v>
      </c>
      <c r="H545" s="141">
        <f t="shared" si="43"/>
        <v>1601424.65</v>
      </c>
      <c r="I545" s="141">
        <f t="shared" si="43"/>
        <v>0</v>
      </c>
      <c r="J545" s="141">
        <f t="shared" si="43"/>
        <v>0</v>
      </c>
      <c r="K545" s="141">
        <f t="shared" si="43"/>
        <v>0</v>
      </c>
      <c r="L545" s="141">
        <f t="shared" si="43"/>
        <v>1601424.65</v>
      </c>
      <c r="M545" s="8"/>
      <c r="N545" s="165"/>
    </row>
    <row r="546" spans="1:14" s="3" customFormat="1" ht="12.2" customHeight="1" thickTop="1" x14ac:dyDescent="0.15">
      <c r="A546" s="75" t="s">
        <v>72</v>
      </c>
      <c r="B546" s="41">
        <v>21</v>
      </c>
      <c r="C546" s="41">
        <v>21</v>
      </c>
      <c r="D546" s="115" t="s">
        <v>432</v>
      </c>
      <c r="E546" s="41"/>
      <c r="F546" s="70">
        <f>F525+F530+F535+F540+F545</f>
        <v>7619469.2800000003</v>
      </c>
      <c r="G546" s="70">
        <f t="shared" ref="G546:L546" si="44">G525+G530+G535+G540+G545</f>
        <v>3919687.58</v>
      </c>
      <c r="H546" s="70">
        <f t="shared" si="44"/>
        <v>12702698.380000001</v>
      </c>
      <c r="I546" s="70">
        <f t="shared" si="44"/>
        <v>39357.599999999999</v>
      </c>
      <c r="J546" s="70">
        <f t="shared" si="44"/>
        <v>16187.45</v>
      </c>
      <c r="K546" s="70">
        <f t="shared" si="44"/>
        <v>3813</v>
      </c>
      <c r="L546" s="70">
        <f t="shared" si="44"/>
        <v>24301213.289999999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9714646.7000000011</v>
      </c>
      <c r="G550" s="69">
        <f>L527</f>
        <v>630569.08000000007</v>
      </c>
      <c r="H550" s="69">
        <f>L532</f>
        <v>274743.65000000002</v>
      </c>
      <c r="I550" s="69">
        <f>L537</f>
        <v>92861.74</v>
      </c>
      <c r="J550" s="69">
        <f>L542</f>
        <v>650003.59</v>
      </c>
      <c r="K550" s="69">
        <f>SUM(F550:J550)</f>
        <v>11362824.760000002</v>
      </c>
      <c r="L550" s="23" t="s">
        <v>288</v>
      </c>
      <c r="M550" s="8"/>
      <c r="N550" s="165"/>
    </row>
    <row r="551" spans="1:14" s="3" customFormat="1" ht="12.2" customHeight="1" x14ac:dyDescent="0.15">
      <c r="A551" s="21" t="s">
        <v>634</v>
      </c>
      <c r="B551" s="22">
        <v>21</v>
      </c>
      <c r="C551" s="22">
        <v>23</v>
      </c>
      <c r="D551" s="2" t="s">
        <v>432</v>
      </c>
      <c r="E551" s="22"/>
      <c r="F551" s="69">
        <f>L523</f>
        <v>3943716.7000000007</v>
      </c>
      <c r="G551" s="69">
        <f>L528</f>
        <v>353426.52</v>
      </c>
      <c r="H551" s="69">
        <f>L533</f>
        <v>504587.95999999996</v>
      </c>
      <c r="I551" s="69">
        <f>L538</f>
        <v>51234.06</v>
      </c>
      <c r="J551" s="69">
        <f>L543</f>
        <v>773311.06</v>
      </c>
      <c r="K551" s="69">
        <f>SUM(F551:J551)</f>
        <v>5626276.3000000007</v>
      </c>
      <c r="L551" s="23" t="s">
        <v>288</v>
      </c>
      <c r="M551" s="8"/>
      <c r="N551" s="165"/>
    </row>
    <row r="552" spans="1:14" s="3" customFormat="1" ht="12.2" customHeight="1" thickBot="1" x14ac:dyDescent="0.2">
      <c r="A552" s="21" t="s">
        <v>635</v>
      </c>
      <c r="B552" s="22">
        <v>21</v>
      </c>
      <c r="C552" s="22">
        <v>24</v>
      </c>
      <c r="D552" s="2" t="s">
        <v>432</v>
      </c>
      <c r="E552" s="22"/>
      <c r="F552" s="69">
        <f>L524</f>
        <v>6675994.6300000008</v>
      </c>
      <c r="G552" s="69">
        <f>L529</f>
        <v>384549.8</v>
      </c>
      <c r="H552" s="69">
        <f>L534</f>
        <v>0</v>
      </c>
      <c r="I552" s="69">
        <f>L539</f>
        <v>73457.8</v>
      </c>
      <c r="J552" s="69">
        <f>L544</f>
        <v>178110</v>
      </c>
      <c r="K552" s="69">
        <f>SUM(F552:J552)</f>
        <v>7312112.2300000004</v>
      </c>
      <c r="L552" s="23" t="s">
        <v>288</v>
      </c>
      <c r="M552" s="8"/>
      <c r="N552" s="165"/>
    </row>
    <row r="553" spans="1:14" s="3" customFormat="1" ht="12.2" customHeight="1" thickTop="1" x14ac:dyDescent="0.15">
      <c r="A553" s="126" t="s">
        <v>340</v>
      </c>
      <c r="B553" s="41">
        <v>21</v>
      </c>
      <c r="C553" s="41">
        <v>25</v>
      </c>
      <c r="D553" s="36" t="s">
        <v>432</v>
      </c>
      <c r="E553" s="41"/>
      <c r="F553" s="70">
        <f t="shared" ref="F553:K553" si="45">SUM(F550:F552)</f>
        <v>20334358.030000001</v>
      </c>
      <c r="G553" s="70">
        <f t="shared" si="45"/>
        <v>1368545.4000000001</v>
      </c>
      <c r="H553" s="70">
        <f t="shared" si="45"/>
        <v>779331.61</v>
      </c>
      <c r="I553" s="70">
        <f t="shared" si="45"/>
        <v>217553.59999999998</v>
      </c>
      <c r="J553" s="70">
        <f t="shared" si="45"/>
        <v>1601424.65</v>
      </c>
      <c r="K553" s="70">
        <f t="shared" si="45"/>
        <v>24301213.290000003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142066</v>
      </c>
      <c r="G563" s="18">
        <v>47064</v>
      </c>
      <c r="H563" s="18"/>
      <c r="I563" s="18">
        <v>138</v>
      </c>
      <c r="J563" s="18"/>
      <c r="K563" s="18"/>
      <c r="L563" s="69">
        <f>SUM(F563:K563)</f>
        <v>189268</v>
      </c>
      <c r="M563" s="8"/>
      <c r="N563" s="165"/>
    </row>
    <row r="564" spans="1:14" s="3" customFormat="1" ht="12.2" customHeight="1" x14ac:dyDescent="0.15">
      <c r="A564" s="21" t="s">
        <v>634</v>
      </c>
      <c r="B564" s="22">
        <v>22</v>
      </c>
      <c r="C564" s="22">
        <v>6</v>
      </c>
      <c r="D564" s="2" t="s">
        <v>432</v>
      </c>
      <c r="E564" s="22"/>
      <c r="F564" s="18">
        <v>77849.600000000006</v>
      </c>
      <c r="G564" s="18">
        <v>25790.92</v>
      </c>
      <c r="H564" s="18"/>
      <c r="I564" s="18">
        <v>75.3</v>
      </c>
      <c r="J564" s="18"/>
      <c r="K564" s="18"/>
      <c r="L564" s="69">
        <f>SUM(F564:K564)</f>
        <v>103715.82</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7">SUM(F563:F565)</f>
        <v>219915.6</v>
      </c>
      <c r="G566" s="70">
        <f t="shared" si="47"/>
        <v>72854.92</v>
      </c>
      <c r="H566" s="70">
        <f t="shared" si="47"/>
        <v>0</v>
      </c>
      <c r="I566" s="70">
        <f t="shared" si="47"/>
        <v>213.3</v>
      </c>
      <c r="J566" s="70">
        <f t="shared" si="47"/>
        <v>0</v>
      </c>
      <c r="K566" s="70">
        <f t="shared" si="47"/>
        <v>0</v>
      </c>
      <c r="L566" s="70">
        <f t="shared" si="47"/>
        <v>292983.82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365941</v>
      </c>
      <c r="G568" s="18">
        <v>191454.27</v>
      </c>
      <c r="H568" s="18"/>
      <c r="I568" s="18">
        <v>431.52</v>
      </c>
      <c r="J568" s="18"/>
      <c r="K568" s="18"/>
      <c r="L568" s="69">
        <f>SUM(F568:K568)</f>
        <v>557826.79</v>
      </c>
      <c r="M568" s="8"/>
      <c r="N568" s="165"/>
    </row>
    <row r="569" spans="1:14" s="3" customFormat="1" ht="12.2" customHeight="1" x14ac:dyDescent="0.15">
      <c r="A569" s="21" t="s">
        <v>634</v>
      </c>
      <c r="B569" s="22">
        <v>22</v>
      </c>
      <c r="C569" s="22">
        <v>10</v>
      </c>
      <c r="D569" s="2" t="s">
        <v>432</v>
      </c>
      <c r="E569" s="22"/>
      <c r="F569" s="18">
        <v>290992.42</v>
      </c>
      <c r="G569" s="18">
        <v>164134.01</v>
      </c>
      <c r="H569" s="18"/>
      <c r="I569" s="18"/>
      <c r="J569" s="18"/>
      <c r="K569" s="18"/>
      <c r="L569" s="69">
        <f>SUM(F569:K569)</f>
        <v>455126.43</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656933.41999999993</v>
      </c>
      <c r="G571" s="141">
        <f t="shared" ref="G571:L571" si="48">SUM(G568:G570)</f>
        <v>355588.28</v>
      </c>
      <c r="H571" s="141">
        <f t="shared" si="48"/>
        <v>0</v>
      </c>
      <c r="I571" s="141">
        <f t="shared" si="48"/>
        <v>431.52</v>
      </c>
      <c r="J571" s="141">
        <f t="shared" si="48"/>
        <v>0</v>
      </c>
      <c r="K571" s="141">
        <f t="shared" si="48"/>
        <v>0</v>
      </c>
      <c r="L571" s="141">
        <f t="shared" si="48"/>
        <v>1012953.22</v>
      </c>
      <c r="M571" s="8"/>
      <c r="N571" s="165"/>
    </row>
    <row r="572" spans="1:14" s="3" customFormat="1" ht="12.2" customHeight="1" thickTop="1" x14ac:dyDescent="0.15">
      <c r="A572" s="75" t="s">
        <v>88</v>
      </c>
      <c r="B572" s="41">
        <v>22</v>
      </c>
      <c r="C572" s="41">
        <v>13</v>
      </c>
      <c r="D572" s="115" t="s">
        <v>432</v>
      </c>
      <c r="E572" s="41"/>
      <c r="F572" s="70">
        <f>F561+F566+F571</f>
        <v>876849.0199999999</v>
      </c>
      <c r="G572" s="70">
        <f t="shared" ref="G572:L572" si="49">G561+G566+G571</f>
        <v>428443.2</v>
      </c>
      <c r="H572" s="70">
        <f t="shared" si="49"/>
        <v>0</v>
      </c>
      <c r="I572" s="70">
        <f t="shared" si="49"/>
        <v>644.81999999999994</v>
      </c>
      <c r="J572" s="70">
        <f t="shared" si="49"/>
        <v>0</v>
      </c>
      <c r="K572" s="70">
        <f t="shared" si="49"/>
        <v>0</v>
      </c>
      <c r="L572" s="70">
        <f t="shared" si="49"/>
        <v>1305937.04</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20834702.489999998</v>
      </c>
      <c r="I578" s="69">
        <f t="shared" si="50"/>
        <v>20834702.489999998</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50"/>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50"/>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5004001.5599999996</v>
      </c>
      <c r="I582" s="69">
        <f t="shared" si="50"/>
        <v>5004001.5599999996</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1289832.1200000001</v>
      </c>
      <c r="G583" s="18">
        <v>398987.34</v>
      </c>
      <c r="H583" s="18">
        <v>1523828.85</v>
      </c>
      <c r="I583" s="69">
        <f t="shared" si="50"/>
        <v>3212648.3100000005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50"/>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50"/>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50"/>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914403.1</v>
      </c>
      <c r="I592" s="18">
        <v>737709.02</v>
      </c>
      <c r="J592" s="18">
        <v>588356.88</v>
      </c>
      <c r="K592" s="80">
        <f t="shared" ref="K592:K598" si="51">SUM(H592:J592)</f>
        <v>2240469</v>
      </c>
      <c r="L592" s="23" t="s">
        <v>288</v>
      </c>
      <c r="M592" s="8"/>
      <c r="N592" s="165"/>
    </row>
    <row r="593" spans="1:14" s="3" customFormat="1" ht="12.2" customHeight="1" x14ac:dyDescent="0.15">
      <c r="A593" s="3" t="s">
        <v>638</v>
      </c>
      <c r="B593" s="22">
        <v>23</v>
      </c>
      <c r="C593" s="22">
        <v>2</v>
      </c>
      <c r="D593" s="2" t="s">
        <v>432</v>
      </c>
      <c r="E593" s="22"/>
      <c r="F593" s="78">
        <v>2722</v>
      </c>
      <c r="G593" s="79" t="s">
        <v>97</v>
      </c>
      <c r="H593" s="18">
        <f>629988.77+20014.82</f>
        <v>650003.59</v>
      </c>
      <c r="I593" s="18">
        <f>762343.18+10967.88</f>
        <v>773311.06</v>
      </c>
      <c r="J593" s="18">
        <v>178110</v>
      </c>
      <c r="K593" s="80">
        <f t="shared" si="51"/>
        <v>1601424.65</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51"/>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13416.73</v>
      </c>
      <c r="J595" s="18">
        <v>0</v>
      </c>
      <c r="K595" s="80">
        <f t="shared" si="51"/>
        <v>13416.73</v>
      </c>
      <c r="L595" s="23" t="s">
        <v>288</v>
      </c>
      <c r="M595" s="8"/>
      <c r="N595" s="165"/>
    </row>
    <row r="596" spans="1:14" s="3" customFormat="1" ht="12.2" customHeight="1" x14ac:dyDescent="0.15">
      <c r="A596" s="103" t="s">
        <v>652</v>
      </c>
      <c r="B596" s="22">
        <v>23</v>
      </c>
      <c r="C596" s="22">
        <v>5</v>
      </c>
      <c r="D596" s="2" t="s">
        <v>432</v>
      </c>
      <c r="E596" s="22"/>
      <c r="F596" s="78">
        <v>2725</v>
      </c>
      <c r="G596" s="79" t="s">
        <v>97</v>
      </c>
      <c r="H596" s="18">
        <v>0</v>
      </c>
      <c r="I596" s="18">
        <v>0</v>
      </c>
      <c r="J596" s="18">
        <v>0</v>
      </c>
      <c r="K596" s="80">
        <f t="shared" si="51"/>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51"/>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61314.93</v>
      </c>
      <c r="I598" s="18">
        <v>115895.86</v>
      </c>
      <c r="J598" s="18">
        <v>0</v>
      </c>
      <c r="K598" s="80">
        <f t="shared" si="51"/>
        <v>177210.79</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1625721.6199999999</v>
      </c>
      <c r="I599" s="81">
        <f>SUM(I592:I598)</f>
        <v>1640332.6700000002</v>
      </c>
      <c r="J599" s="81">
        <f>SUM(J592:J598)</f>
        <v>766466.88</v>
      </c>
      <c r="K599" s="81">
        <f>SUM(K592:K598)</f>
        <v>4032521.17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93182.86+540892.09-32373.07+0.18</f>
        <v>601702.06000000006</v>
      </c>
      <c r="I605" s="18">
        <f>17492.23+296402.17-99.9</f>
        <v>313794.49999999994</v>
      </c>
      <c r="J605" s="18">
        <v>318284</v>
      </c>
      <c r="K605" s="80">
        <f>SUM(H605:J605)</f>
        <v>1233780.56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601702.06000000006</v>
      </c>
      <c r="I606" s="81">
        <f>SUM(I603:I605)</f>
        <v>313794.49999999994</v>
      </c>
      <c r="J606" s="81">
        <f>SUM(J603:J605)</f>
        <v>318284</v>
      </c>
      <c r="K606" s="81">
        <f>SUM(K603:K605)</f>
        <v>1233780.56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8038540.5699999994</v>
      </c>
      <c r="H618" s="80">
        <f>SUM(F52)</f>
        <v>8038540.5700000003</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1054268.1700000002</v>
      </c>
      <c r="H619" s="80">
        <f>SUM(G52)</f>
        <v>1054268.17</v>
      </c>
      <c r="I619" s="87" t="s">
        <v>876</v>
      </c>
      <c r="J619" s="80">
        <f>G619-H619</f>
        <v>0</v>
      </c>
      <c r="K619" s="80"/>
      <c r="L619" s="80"/>
      <c r="M619" s="8"/>
    </row>
    <row r="620" spans="1:14" s="3" customFormat="1" ht="12.2" customHeight="1" x14ac:dyDescent="0.15">
      <c r="A620" s="74"/>
      <c r="B620" s="22"/>
      <c r="C620" s="22"/>
      <c r="D620" s="22"/>
      <c r="E620" s="22"/>
      <c r="F620" s="87" t="s">
        <v>685</v>
      </c>
      <c r="G620" s="80">
        <f>SUM(H19)</f>
        <v>40689.230000000185</v>
      </c>
      <c r="H620" s="80">
        <f>SUM(H52)</f>
        <v>40689.229999999996</v>
      </c>
      <c r="I620" s="87" t="s">
        <v>877</v>
      </c>
      <c r="J620" s="80">
        <f>G620-H620</f>
        <v>1.8917489796876907E-10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197897.05</v>
      </c>
      <c r="H622" s="80">
        <f>SUM(J52)</f>
        <v>197897.05</v>
      </c>
      <c r="I622" s="87" t="s">
        <v>879</v>
      </c>
      <c r="J622" s="80">
        <f>G622-H622</f>
        <v>0</v>
      </c>
      <c r="K622" s="80"/>
      <c r="L622" s="80"/>
      <c r="M622" s="8"/>
    </row>
    <row r="623" spans="1:14" s="3" customFormat="1" ht="12.2" customHeight="1" x14ac:dyDescent="0.15">
      <c r="A623" s="74"/>
      <c r="B623" s="22"/>
      <c r="C623" s="22"/>
      <c r="D623" s="22"/>
      <c r="E623" s="22"/>
      <c r="F623" s="87" t="s">
        <v>865</v>
      </c>
      <c r="G623" s="80">
        <f>F51</f>
        <v>7481416.0800000001</v>
      </c>
      <c r="H623" s="80">
        <f>F477</f>
        <v>7481416.0800000131</v>
      </c>
      <c r="I623" s="87" t="s">
        <v>101</v>
      </c>
      <c r="J623" s="80">
        <f t="shared" ref="J623:J656" si="53">G623-H623</f>
        <v>-1.3038516044616699E-8</v>
      </c>
      <c r="K623" s="80"/>
      <c r="L623" s="80"/>
      <c r="M623" s="8"/>
    </row>
    <row r="624" spans="1:14" s="3" customFormat="1" ht="12.2" customHeight="1" x14ac:dyDescent="0.15">
      <c r="A624" s="74"/>
      <c r="B624" s="22"/>
      <c r="C624" s="85"/>
      <c r="D624" s="85"/>
      <c r="E624" s="85"/>
      <c r="F624" s="85" t="s">
        <v>866</v>
      </c>
      <c r="G624" s="80">
        <f>G51</f>
        <v>1024013.87</v>
      </c>
      <c r="H624" s="80">
        <f>G477</f>
        <v>1024013.8699999992</v>
      </c>
      <c r="I624" s="87" t="s">
        <v>102</v>
      </c>
      <c r="J624" s="80">
        <f t="shared" si="53"/>
        <v>0</v>
      </c>
      <c r="K624" s="80"/>
      <c r="L624" s="80"/>
      <c r="M624" s="8"/>
    </row>
    <row r="625" spans="1:13" s="3" customFormat="1" ht="12.2" customHeight="1" x14ac:dyDescent="0.15">
      <c r="A625" s="74"/>
      <c r="B625" s="22"/>
      <c r="C625" s="22"/>
      <c r="D625" s="22"/>
      <c r="E625" s="22"/>
      <c r="F625" s="86" t="s">
        <v>867</v>
      </c>
      <c r="G625" s="80">
        <f>H51</f>
        <v>40689.229999999996</v>
      </c>
      <c r="H625" s="80">
        <f>H477</f>
        <v>40689.229999999516</v>
      </c>
      <c r="I625" s="87" t="s">
        <v>103</v>
      </c>
      <c r="J625" s="80">
        <f t="shared" si="53"/>
        <v>4.8021320253610611E-10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869</v>
      </c>
      <c r="G627" s="80">
        <f>J51</f>
        <v>197897.05</v>
      </c>
      <c r="H627" s="80">
        <f>J477</f>
        <v>197897.05000000002</v>
      </c>
      <c r="I627" s="87" t="s">
        <v>105</v>
      </c>
      <c r="J627" s="80">
        <f t="shared" si="53"/>
        <v>0</v>
      </c>
      <c r="K627" s="67"/>
      <c r="L627" s="69"/>
      <c r="M627" s="8"/>
    </row>
    <row r="628" spans="1:13" s="3" customFormat="1" ht="12.2" customHeight="1" x14ac:dyDescent="0.15">
      <c r="A628" s="21"/>
      <c r="B628" s="22"/>
      <c r="C628" s="22"/>
      <c r="D628" s="22"/>
      <c r="E628" s="22"/>
      <c r="F628" s="86" t="s">
        <v>658</v>
      </c>
      <c r="G628" s="80">
        <f>F194</f>
        <v>87777011.120000005</v>
      </c>
      <c r="H628" s="80">
        <f>SUM(F469)</f>
        <v>87777011.120000005</v>
      </c>
      <c r="I628" s="87" t="s">
        <v>106</v>
      </c>
      <c r="J628" s="80">
        <f>G628-H628</f>
        <v>0</v>
      </c>
      <c r="K628" s="67"/>
      <c r="L628" s="69"/>
      <c r="M628" s="8"/>
    </row>
    <row r="629" spans="1:13" s="3" customFormat="1" ht="12.2" customHeight="1" x14ac:dyDescent="0.15">
      <c r="A629" s="21"/>
      <c r="B629" s="22"/>
      <c r="C629" s="22"/>
      <c r="D629" s="22"/>
      <c r="E629" s="22"/>
      <c r="F629" s="86" t="s">
        <v>659</v>
      </c>
      <c r="G629" s="80">
        <f>G194</f>
        <v>2722264.6399999997</v>
      </c>
      <c r="H629" s="80">
        <f>SUM(G469)</f>
        <v>2722264.6399999997</v>
      </c>
      <c r="I629" s="87" t="s">
        <v>107</v>
      </c>
      <c r="J629" s="80">
        <f>G629-H629</f>
        <v>0</v>
      </c>
      <c r="K629" s="67"/>
      <c r="L629" s="69"/>
      <c r="M629" s="8"/>
    </row>
    <row r="630" spans="1:13" s="3" customFormat="1" ht="12.2" customHeight="1" x14ac:dyDescent="0.15">
      <c r="A630" s="21"/>
      <c r="B630" s="22"/>
      <c r="C630" s="22"/>
      <c r="D630" s="22"/>
      <c r="E630" s="22"/>
      <c r="F630" s="86" t="s">
        <v>660</v>
      </c>
      <c r="G630" s="80">
        <f>H194</f>
        <v>5101574.95</v>
      </c>
      <c r="H630" s="80">
        <f>SUM(H469)</f>
        <v>5101574.95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1268.29</v>
      </c>
      <c r="H632" s="80">
        <f>SUM(J469)</f>
        <v>1268.29</v>
      </c>
      <c r="I632" s="87" t="s">
        <v>110</v>
      </c>
      <c r="J632" s="80">
        <f>G632-H632</f>
        <v>0</v>
      </c>
      <c r="K632" s="67"/>
      <c r="L632" s="69"/>
      <c r="M632" s="8"/>
    </row>
    <row r="633" spans="1:13" s="3" customFormat="1" ht="12.2" customHeight="1" x14ac:dyDescent="0.15">
      <c r="A633" s="21"/>
      <c r="B633" s="22"/>
      <c r="C633" s="22"/>
      <c r="D633" s="22"/>
      <c r="E633" s="22"/>
      <c r="F633" s="86" t="s">
        <v>394</v>
      </c>
      <c r="G633" s="80">
        <f>SUM(L272)</f>
        <v>88286878.50999999</v>
      </c>
      <c r="H633" s="80">
        <f>SUM(F473)</f>
        <v>88286878.50999999</v>
      </c>
      <c r="I633" s="87" t="s">
        <v>111</v>
      </c>
      <c r="J633" s="80">
        <f t="shared" si="53"/>
        <v>0</v>
      </c>
      <c r="K633" s="67"/>
      <c r="L633" s="69"/>
      <c r="M633" s="8"/>
    </row>
    <row r="634" spans="1:13" s="3" customFormat="1" ht="12.2" customHeight="1" x14ac:dyDescent="0.15">
      <c r="A634" s="21"/>
      <c r="B634" s="22"/>
      <c r="C634" s="22"/>
      <c r="D634" s="22"/>
      <c r="E634" s="22"/>
      <c r="F634" s="86" t="s">
        <v>395</v>
      </c>
      <c r="G634" s="80">
        <f>SUM(L353)</f>
        <v>5086956.540000001</v>
      </c>
      <c r="H634" s="80">
        <f>SUM(H473)</f>
        <v>5086956.540000001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748288.23</v>
      </c>
      <c r="H635" s="80">
        <f>I370</f>
        <v>748288.23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1810893.7300000004</v>
      </c>
      <c r="H636" s="80">
        <f>SUM(G473)</f>
        <v>1810893.7300000004</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1268.29</v>
      </c>
      <c r="H638" s="108">
        <f>SUM(J469)</f>
        <v>1268.29</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197897.05</v>
      </c>
      <c r="H640" s="80">
        <f>SUM(F462)</f>
        <v>197897.05</v>
      </c>
      <c r="I640" s="87" t="s">
        <v>841</v>
      </c>
      <c r="J640" s="80">
        <f t="shared" si="53"/>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3"/>
        <v>0</v>
      </c>
      <c r="K642" s="67"/>
      <c r="L642" s="69"/>
      <c r="M642" s="8"/>
    </row>
    <row r="643" spans="1:13" s="3" customFormat="1" ht="12.2" customHeight="1" x14ac:dyDescent="0.15">
      <c r="A643" s="21"/>
      <c r="B643" s="22"/>
      <c r="C643" s="22"/>
      <c r="D643" s="22"/>
      <c r="E643" s="22"/>
      <c r="F643" s="86" t="s">
        <v>121</v>
      </c>
      <c r="G643" s="80">
        <f>SUM(I447)</f>
        <v>197897.05</v>
      </c>
      <c r="H643" s="80">
        <f>SUM(I462)</f>
        <v>197897.05</v>
      </c>
      <c r="I643" s="87" t="s">
        <v>844</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1268.29</v>
      </c>
      <c r="H645" s="80">
        <f>H409</f>
        <v>1268.29</v>
      </c>
      <c r="I645" s="87" t="s">
        <v>480</v>
      </c>
      <c r="J645" s="80">
        <f t="shared" si="53"/>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3"/>
        <v>0</v>
      </c>
      <c r="K646" s="67"/>
      <c r="L646" s="69"/>
      <c r="M646" s="8"/>
    </row>
    <row r="647" spans="1:13" s="3" customFormat="1" ht="12.2" customHeight="1" x14ac:dyDescent="0.15">
      <c r="A647" s="21"/>
      <c r="B647" s="22"/>
      <c r="C647" s="22"/>
      <c r="D647" s="22"/>
      <c r="E647" s="22"/>
      <c r="F647" s="86" t="s">
        <v>662</v>
      </c>
      <c r="G647" s="80">
        <f>J194</f>
        <v>1268.29</v>
      </c>
      <c r="H647" s="80">
        <f>L409</f>
        <v>1268.29</v>
      </c>
      <c r="I647" s="87" t="s">
        <v>477</v>
      </c>
      <c r="J647" s="80">
        <f t="shared" si="53"/>
        <v>0</v>
      </c>
      <c r="K647" s="67"/>
      <c r="L647" s="69"/>
      <c r="M647" s="8"/>
    </row>
    <row r="648" spans="1:13" s="3" customFormat="1" ht="12.2" customHeight="1" x14ac:dyDescent="0.15">
      <c r="A648" s="21"/>
      <c r="B648" s="22"/>
      <c r="C648" s="22"/>
      <c r="D648" s="22"/>
      <c r="E648" s="22"/>
      <c r="F648" s="86" t="s">
        <v>51</v>
      </c>
      <c r="G648" s="80">
        <f>K599</f>
        <v>4032521.17</v>
      </c>
      <c r="H648" s="80">
        <f>L209+L227+L245</f>
        <v>4032521.17</v>
      </c>
      <c r="I648" s="87" t="s">
        <v>396</v>
      </c>
      <c r="J648" s="80">
        <f t="shared" si="53"/>
        <v>0</v>
      </c>
      <c r="K648" s="67"/>
      <c r="L648" s="69"/>
      <c r="M648" s="8"/>
    </row>
    <row r="649" spans="1:13" s="3" customFormat="1" ht="12.2" customHeight="1" x14ac:dyDescent="0.15">
      <c r="A649" s="21"/>
      <c r="B649" s="22"/>
      <c r="C649" s="22"/>
      <c r="D649" s="22"/>
      <c r="E649" s="22"/>
      <c r="F649" s="86" t="s">
        <v>52</v>
      </c>
      <c r="G649" s="80">
        <f>K606</f>
        <v>1233780.56</v>
      </c>
      <c r="H649" s="80">
        <f>(J258+J339)-(J256+J337)</f>
        <v>1233780.56</v>
      </c>
      <c r="I649" s="87" t="s">
        <v>699</v>
      </c>
      <c r="J649" s="80">
        <f t="shared" si="53"/>
        <v>0</v>
      </c>
      <c r="K649" s="67"/>
      <c r="L649" s="69"/>
      <c r="M649" s="8"/>
    </row>
    <row r="650" spans="1:13" s="3" customFormat="1" ht="12.2" customHeight="1" x14ac:dyDescent="0.15">
      <c r="A650" s="21"/>
      <c r="B650" s="22"/>
      <c r="C650" s="22"/>
      <c r="D650" s="22"/>
      <c r="E650" s="22"/>
      <c r="F650" s="86" t="s">
        <v>387</v>
      </c>
      <c r="G650" s="80">
        <f>L209</f>
        <v>1625721.62</v>
      </c>
      <c r="H650" s="80">
        <f>H599</f>
        <v>1625721.6199999999</v>
      </c>
      <c r="I650" s="87" t="s">
        <v>388</v>
      </c>
      <c r="J650" s="80">
        <f t="shared" si="53"/>
        <v>0</v>
      </c>
      <c r="K650" s="67"/>
      <c r="L650" s="69"/>
      <c r="M650" s="8"/>
    </row>
    <row r="651" spans="1:13" s="3" customFormat="1" ht="12.2" customHeight="1" x14ac:dyDescent="0.15">
      <c r="A651" s="21"/>
      <c r="B651" s="22"/>
      <c r="C651" s="22"/>
      <c r="D651" s="22"/>
      <c r="E651" s="22"/>
      <c r="F651" s="86" t="s">
        <v>392</v>
      </c>
      <c r="G651" s="80">
        <f>L227</f>
        <v>1640332.67</v>
      </c>
      <c r="H651" s="80">
        <f>I599</f>
        <v>1640332.6700000002</v>
      </c>
      <c r="I651" s="87" t="s">
        <v>389</v>
      </c>
      <c r="J651" s="80">
        <f t="shared" si="53"/>
        <v>0</v>
      </c>
      <c r="K651" s="67"/>
      <c r="L651" s="69"/>
      <c r="M651" s="8"/>
    </row>
    <row r="652" spans="1:13" s="3" customFormat="1" ht="12.2" customHeight="1" x14ac:dyDescent="0.15">
      <c r="A652" s="21"/>
      <c r="B652" s="22"/>
      <c r="C652" s="22"/>
      <c r="D652" s="22"/>
      <c r="E652" s="22"/>
      <c r="F652" s="86" t="s">
        <v>393</v>
      </c>
      <c r="G652" s="80">
        <f>L245</f>
        <v>766466.88</v>
      </c>
      <c r="H652" s="80">
        <f>J599</f>
        <v>766466.88</v>
      </c>
      <c r="I652" s="87" t="s">
        <v>390</v>
      </c>
      <c r="J652" s="80">
        <f t="shared" si="53"/>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40654291.149999999</v>
      </c>
      <c r="G661" s="13">
        <f>(L230+L310+L360)</f>
        <v>22369023.689999998</v>
      </c>
      <c r="H661" s="13">
        <f>(L248+L329+L361)</f>
        <v>29897192.509999998</v>
      </c>
      <c r="I661" s="13">
        <f>SUM(F661:H661)</f>
        <v>92920507.349999994</v>
      </c>
      <c r="J661" s="13"/>
      <c r="K661" s="13"/>
      <c r="L661" s="13"/>
      <c r="M661" s="9"/>
    </row>
    <row r="662" spans="1:13" s="3" customFormat="1" ht="12.2" customHeight="1" x14ac:dyDescent="0.2">
      <c r="A662" s="1" t="s">
        <v>127</v>
      </c>
      <c r="F662" s="13">
        <f>(L359/IF(SUM(L359:L361)=0,1,SUM(L359:L361))*(SUM(G97:G110)))</f>
        <v>65612.097290596837</v>
      </c>
      <c r="G662" s="13">
        <f>(L360/IF(SUM(L359:L361)=0,1,SUM(L359:L361))*(SUM(G97:G110)))</f>
        <v>37812.921043090028</v>
      </c>
      <c r="H662" s="13">
        <f>(L361/IF(SUM(L359:L361)=0,1,SUM(L359:L361))*(SUM(G97:G110)))</f>
        <v>2543.9516663131299</v>
      </c>
      <c r="I662" s="13">
        <f>SUM(F662:H662)</f>
        <v>105968.97</v>
      </c>
      <c r="J662"/>
      <c r="K662" s="13"/>
      <c r="L662" s="13"/>
      <c r="M662" s="8"/>
    </row>
    <row r="663" spans="1:13" s="3" customFormat="1" ht="12.2" customHeight="1" x14ac:dyDescent="0.2">
      <c r="A663" s="1" t="s">
        <v>128</v>
      </c>
      <c r="F663" s="13">
        <f>(L209+L288)-(J209+J288)</f>
        <v>1669372.5</v>
      </c>
      <c r="G663" s="13">
        <f>(L227+L307)-(J227+J307)</f>
        <v>1664252.8199999998</v>
      </c>
      <c r="H663" s="13">
        <f>(L245+L326)-(J245+J326)</f>
        <v>766466.88</v>
      </c>
      <c r="I663" s="13">
        <f>SUM(F663:H663)</f>
        <v>4100092.1999999997</v>
      </c>
      <c r="J663"/>
      <c r="K663" s="13"/>
      <c r="L663" s="13"/>
      <c r="M663" s="9"/>
    </row>
    <row r="664" spans="1:13" s="3" customFormat="1" ht="12.2" customHeight="1" x14ac:dyDescent="0.15">
      <c r="A664" s="142" t="s">
        <v>129</v>
      </c>
      <c r="B664" s="124"/>
      <c r="C664" s="124"/>
      <c r="D664" s="124"/>
      <c r="E664" s="124"/>
      <c r="F664" s="143">
        <f>SUM(F576:F588)+SUM(H603:H605)+SUM(L612)</f>
        <v>1891534.1800000002</v>
      </c>
      <c r="G664" s="143">
        <f>SUM(G576:G588)+SUM(I603:I605)+L613</f>
        <v>712781.84</v>
      </c>
      <c r="H664" s="143">
        <f>SUM(H576:H588)+SUM(J603:J605)+L614</f>
        <v>27680816.899999999</v>
      </c>
      <c r="I664" s="13">
        <f>SUM(F664:H664)</f>
        <v>30285132.919999998</v>
      </c>
      <c r="J664" s="13"/>
      <c r="K664" s="13"/>
      <c r="L664" s="13"/>
      <c r="M664" s="9"/>
    </row>
    <row r="665" spans="1:13" s="3" customFormat="1" ht="12.2" customHeight="1" x14ac:dyDescent="0.15">
      <c r="A665" s="1" t="s">
        <v>130</v>
      </c>
      <c r="F665" s="13">
        <f>F661-SUM(F662:F664)</f>
        <v>37027772.372709401</v>
      </c>
      <c r="G665" s="13">
        <f>G661-SUM(G662:G664)</f>
        <v>19954176.108956907</v>
      </c>
      <c r="H665" s="13">
        <f>H661-SUM(H662:H664)</f>
        <v>1447364.7783336863</v>
      </c>
      <c r="I665" s="13">
        <f>I661-SUM(I662:I664)</f>
        <v>58429313.259999998</v>
      </c>
      <c r="J665" s="13"/>
      <c r="K665" s="13"/>
      <c r="L665" s="13"/>
      <c r="M665" s="8"/>
    </row>
    <row r="666" spans="1:13" s="3" customFormat="1" ht="12.2" customHeight="1" x14ac:dyDescent="0.2">
      <c r="A666" s="1" t="s">
        <v>131</v>
      </c>
      <c r="F666" s="183">
        <v>1967.77</v>
      </c>
      <c r="G666" s="184">
        <v>1071.49</v>
      </c>
      <c r="H666" s="184"/>
      <c r="I666" s="13">
        <f>SUM(F666:H666)</f>
        <v>3039.26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18817.12</v>
      </c>
      <c r="G668" s="13">
        <f>ROUND(G665/G666,2)</f>
        <v>18622.830000000002</v>
      </c>
      <c r="H668" s="13" t="e">
        <f>ROUND(H665/H666,2)</f>
        <v>#DIV/0!</v>
      </c>
      <c r="I668" s="13">
        <f>ROUND(I665/I666,2)</f>
        <v>19224.849999999999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-1447364.78</v>
      </c>
      <c r="I670" s="13">
        <f>SUM(F670:H670)</f>
        <v>-1447364.78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18817.12</v>
      </c>
      <c r="G673" s="13">
        <f>ROUND((G665+G670)/(G666+G671),2)</f>
        <v>18622.830000000002</v>
      </c>
      <c r="H673" s="13" t="e">
        <f>ROUND((H665+H670)/(H666+H671),2)</f>
        <v>#DIV/0!</v>
      </c>
      <c r="I673" s="13">
        <f>ROUND((I665+I670)/(I666+I671),2)</f>
        <v>18748.63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C29" sqref="C29"/>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259483.00999999998</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225785.04</v>
      </c>
      <c r="F9" s="276" t="s">
        <v>1644</v>
      </c>
    </row>
    <row r="10" spans="2:8" x14ac:dyDescent="0.25">
      <c r="B10" s="275"/>
      <c r="C10" s="275"/>
      <c r="D10" s="275"/>
      <c r="E10" s="275"/>
      <c r="F10" s="275"/>
    </row>
    <row r="11" spans="2:8" x14ac:dyDescent="0.25">
      <c r="B11" s="275"/>
      <c r="C11" s="279" t="s">
        <v>1648</v>
      </c>
      <c r="D11" s="276" t="s">
        <v>1651</v>
      </c>
      <c r="E11" s="263">
        <v>2158.34</v>
      </c>
      <c r="F11" s="276" t="s">
        <v>1645</v>
      </c>
    </row>
    <row r="12" spans="2:8" x14ac:dyDescent="0.25">
      <c r="B12" s="275"/>
      <c r="C12" s="275"/>
      <c r="D12" s="276"/>
      <c r="E12" s="275"/>
      <c r="F12" s="275"/>
    </row>
    <row r="13" spans="2:8" x14ac:dyDescent="0.25">
      <c r="B13" s="275"/>
      <c r="C13" s="276" t="s">
        <v>1638</v>
      </c>
      <c r="D13" s="276" t="s">
        <v>1652</v>
      </c>
      <c r="E13" s="263">
        <v>31539.63</v>
      </c>
      <c r="F13" s="276" t="s">
        <v>1646</v>
      </c>
    </row>
    <row r="14" spans="2:8" x14ac:dyDescent="0.25">
      <c r="B14" s="275"/>
      <c r="C14" s="275"/>
      <c r="D14" s="276"/>
      <c r="E14" s="275"/>
      <c r="F14" s="275"/>
    </row>
    <row r="15" spans="2:8" x14ac:dyDescent="0.25">
      <c r="B15" s="275"/>
      <c r="C15" s="276" t="s">
        <v>1640</v>
      </c>
      <c r="D15" s="276" t="s">
        <v>1653</v>
      </c>
      <c r="E15" s="263">
        <v>0</v>
      </c>
      <c r="F15" s="276" t="s">
        <v>1647</v>
      </c>
    </row>
    <row r="16" spans="2:8" x14ac:dyDescent="0.25">
      <c r="B16" s="275"/>
      <c r="C16" s="275"/>
      <c r="D16" s="275"/>
      <c r="E16" s="275"/>
      <c r="F16" s="275"/>
    </row>
    <row r="17" spans="2:8" x14ac:dyDescent="0.25">
      <c r="B17" s="275"/>
      <c r="C17" s="276" t="s">
        <v>1639</v>
      </c>
      <c r="D17" s="276" t="s">
        <v>1654</v>
      </c>
      <c r="E17" s="263">
        <v>0</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0</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Derry Cooperative</v>
      </c>
      <c r="C5" s="302"/>
      <c r="D5" s="302"/>
      <c r="E5" s="302"/>
      <c r="F5" s="302"/>
    </row>
    <row r="8" spans="1:9" ht="18" x14ac:dyDescent="0.25">
      <c r="A8" s="240" t="s">
        <v>1568</v>
      </c>
      <c r="F8" s="247" t="s">
        <v>1586</v>
      </c>
    </row>
    <row r="9" spans="1:9" ht="15" x14ac:dyDescent="0.2">
      <c r="A9" s="238" t="s">
        <v>1569</v>
      </c>
      <c r="B9" s="241">
        <f>'DOE25'!G97</f>
        <v>99801.64</v>
      </c>
      <c r="F9" s="238" t="s">
        <v>1582</v>
      </c>
    </row>
    <row r="10" spans="1:9" ht="15" x14ac:dyDescent="0.2">
      <c r="A10" s="238" t="s">
        <v>1570</v>
      </c>
      <c r="B10" s="241">
        <f>'DOE25'!G112-'DOE25'!G97</f>
        <v>6167.3300000000017</v>
      </c>
      <c r="F10" s="238" t="s">
        <v>1583</v>
      </c>
    </row>
    <row r="11" spans="1:9" ht="15" x14ac:dyDescent="0.2">
      <c r="A11" s="238" t="s">
        <v>1571</v>
      </c>
      <c r="B11" s="241">
        <f>'DOE25'!G140</f>
        <v>123290.83</v>
      </c>
      <c r="F11" s="238" t="s">
        <v>1584</v>
      </c>
    </row>
    <row r="12" spans="1:9" ht="15" x14ac:dyDescent="0.2">
      <c r="A12" s="238" t="s">
        <v>1572</v>
      </c>
      <c r="B12" s="241">
        <f>'DOE25'!G170</f>
        <v>2493004.84</v>
      </c>
      <c r="F12" s="238" t="s">
        <v>1585</v>
      </c>
    </row>
    <row r="13" spans="1:9" ht="15" x14ac:dyDescent="0.2">
      <c r="A13" s="238" t="s">
        <v>1573</v>
      </c>
      <c r="B13" s="241">
        <f>'DOE25'!G193-'DOE25'!G180</f>
        <v>0</v>
      </c>
      <c r="F13" s="238" t="s">
        <v>1595</v>
      </c>
    </row>
    <row r="14" spans="1:9" ht="18" x14ac:dyDescent="0.25">
      <c r="A14" s="240" t="s">
        <v>732</v>
      </c>
      <c r="B14" s="242">
        <f>SUM(B9:B13)</f>
        <v>2722264.6399999997</v>
      </c>
    </row>
    <row r="16" spans="1:9" ht="18" x14ac:dyDescent="0.25">
      <c r="A16" s="240" t="s">
        <v>786</v>
      </c>
      <c r="F16" s="247" t="s">
        <v>1587</v>
      </c>
    </row>
    <row r="17" spans="1:6" ht="15" x14ac:dyDescent="0.2">
      <c r="A17" s="238" t="s">
        <v>1574</v>
      </c>
      <c r="B17" s="241">
        <f>'DOE25'!L363-'DOE25'!L362</f>
        <v>1810893.7300000004</v>
      </c>
      <c r="F17" s="238" t="s">
        <v>1588</v>
      </c>
    </row>
    <row r="18" spans="1:6" ht="15" x14ac:dyDescent="0.2">
      <c r="A18" s="238" t="s">
        <v>1575</v>
      </c>
      <c r="B18" s="251"/>
      <c r="F18" s="247" t="s">
        <v>1612</v>
      </c>
    </row>
    <row r="19" spans="1:6" ht="18" x14ac:dyDescent="0.25">
      <c r="A19" s="240" t="s">
        <v>725</v>
      </c>
      <c r="B19" s="242">
        <f>SUM(B17:B18)</f>
        <v>1810893.7300000004</v>
      </c>
    </row>
    <row r="21" spans="1:6" ht="18.75" thickBot="1" x14ac:dyDescent="0.3">
      <c r="A21" s="240" t="s">
        <v>1576</v>
      </c>
    </row>
    <row r="22" spans="1:6" ht="18.75" thickTop="1" x14ac:dyDescent="0.25">
      <c r="A22" s="240" t="s">
        <v>1577</v>
      </c>
      <c r="B22" s="246">
        <f>B14-B19</f>
        <v>911370.90999999922</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24742.55</v>
      </c>
      <c r="F31" s="238" t="s">
        <v>1592</v>
      </c>
    </row>
    <row r="33" spans="1:6" ht="15" x14ac:dyDescent="0.2">
      <c r="A33" s="238" t="s">
        <v>1635</v>
      </c>
      <c r="B33" s="241">
        <f>'DOE25'!G477</f>
        <v>1024013.8699999992</v>
      </c>
      <c r="F33" s="238" t="s">
        <v>1593</v>
      </c>
    </row>
    <row r="36" spans="1:6" ht="15" x14ac:dyDescent="0.2">
      <c r="A36" s="238" t="s">
        <v>1579</v>
      </c>
      <c r="B36" s="252">
        <v>13592.92</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Derry Cooperative</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13462079.939999998</v>
      </c>
      <c r="C9" s="167">
        <f>'DOE25'!G198+'DOE25'!G216+'DOE25'!G234+'DOE25'!G277+'DOE25'!G296+'DOE25'!G315</f>
        <v>8740426.6699999999</v>
      </c>
    </row>
    <row r="10" spans="1:3" x14ac:dyDescent="0.2">
      <c r="A10" t="s">
        <v>775</v>
      </c>
      <c r="B10" s="177">
        <v>12976741.67</v>
      </c>
      <c r="C10" s="177">
        <v>7990855.8499999996</v>
      </c>
    </row>
    <row r="11" spans="1:3" x14ac:dyDescent="0.2">
      <c r="A11" t="s">
        <v>776</v>
      </c>
      <c r="B11" s="177">
        <v>362495.14</v>
      </c>
      <c r="C11" s="177">
        <f>196838.09+68420.39+9944.95+447698.15</f>
        <v>722901.58000000007</v>
      </c>
    </row>
    <row r="12" spans="1:3" x14ac:dyDescent="0.2">
      <c r="A12" t="s">
        <v>777</v>
      </c>
      <c r="B12" s="177">
        <f>91623.13+31220</f>
        <v>122843.13</v>
      </c>
      <c r="C12" s="177">
        <v>26669.24</v>
      </c>
    </row>
    <row r="13" spans="1:3" x14ac:dyDescent="0.2">
      <c r="A13" t="str">
        <f>IF(B9=B13,IF(C9=C13,"Check Total OK","Check Total Error"),"Check Total Error")</f>
        <v>Check Total OK</v>
      </c>
      <c r="B13" s="169">
        <f>SUM(B10:B12)</f>
        <v>13462079.940000001</v>
      </c>
      <c r="C13" s="169">
        <f>SUM(C10:C12)</f>
        <v>8740426.6699999999</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7280391.1500000004</v>
      </c>
      <c r="C18" s="167">
        <f>'DOE25'!G199+'DOE25'!G217+'DOE25'!G235+'DOE25'!G278+'DOE25'!G297+'DOE25'!G316</f>
        <v>3438887.52</v>
      </c>
    </row>
    <row r="19" spans="1:3" x14ac:dyDescent="0.2">
      <c r="A19" t="s">
        <v>775</v>
      </c>
      <c r="B19" s="177">
        <v>5525051.5</v>
      </c>
      <c r="C19" s="177">
        <v>2904213.51</v>
      </c>
    </row>
    <row r="20" spans="1:3" x14ac:dyDescent="0.2">
      <c r="A20" t="s">
        <v>776</v>
      </c>
      <c r="B20" s="177">
        <v>1721459.65</v>
      </c>
      <c r="C20" s="177">
        <v>532082.19000000006</v>
      </c>
    </row>
    <row r="21" spans="1:3" x14ac:dyDescent="0.2">
      <c r="A21" t="s">
        <v>777</v>
      </c>
      <c r="B21" s="177">
        <v>33880</v>
      </c>
      <c r="C21" s="177">
        <v>2591.8200000000002</v>
      </c>
    </row>
    <row r="22" spans="1:3" x14ac:dyDescent="0.2">
      <c r="A22" t="str">
        <f>IF(B18=B22,IF(C18=C22,"Check Total OK","Check Total Error"),"Check Total Error")</f>
        <v>Check Total OK</v>
      </c>
      <c r="B22" s="169">
        <f>SUM(B19:B21)</f>
        <v>7280391.1500000004</v>
      </c>
      <c r="C22" s="169">
        <f>SUM(C19:C21)</f>
        <v>3438887.5199999996</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256767.51</v>
      </c>
      <c r="C36" s="173">
        <f>'DOE25'!G201+'DOE25'!G219+'DOE25'!G237+'DOE25'!G280+'DOE25'!G299+'DOE25'!G318</f>
        <v>56533.680000000008</v>
      </c>
    </row>
    <row r="37" spans="1:3" x14ac:dyDescent="0.2">
      <c r="A37" t="s">
        <v>775</v>
      </c>
      <c r="B37" s="177">
        <v>101951.51</v>
      </c>
      <c r="C37" s="177">
        <v>29229.5</v>
      </c>
    </row>
    <row r="38" spans="1:3" x14ac:dyDescent="0.2">
      <c r="A38" t="s">
        <v>776</v>
      </c>
      <c r="B38" s="177">
        <v>0</v>
      </c>
      <c r="C38" s="177">
        <v>0</v>
      </c>
    </row>
    <row r="39" spans="1:3" x14ac:dyDescent="0.2">
      <c r="A39" t="s">
        <v>777</v>
      </c>
      <c r="B39" s="177">
        <v>154816</v>
      </c>
      <c r="C39" s="177">
        <v>27304.18</v>
      </c>
    </row>
    <row r="40" spans="1:3" x14ac:dyDescent="0.2">
      <c r="A40" t="str">
        <f>IF(B36=B40,IF(C36=C40,"Check Total OK","Check Total Error"),"Check Total Error")</f>
        <v>Check Total OK</v>
      </c>
      <c r="B40" s="169">
        <f>SUM(B37:B39)</f>
        <v>256767.51</v>
      </c>
      <c r="C40" s="169">
        <f>SUM(C37:C39)</f>
        <v>56533.68</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45" sqref="F4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Derry Cooperative</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63108397.479999997</v>
      </c>
      <c r="D5" s="19">
        <f>SUM('DOE25'!L198:L201)+SUM('DOE25'!L216:L219)+SUM('DOE25'!L234:L237)-F5-G5-H5</f>
        <v>63043024.699999996</v>
      </c>
      <c r="E5" s="180"/>
      <c r="F5" s="181"/>
      <c r="G5" s="19">
        <f>SUM('DOE25'!J198:J201)+SUM('DOE25'!J216:J219)+SUM('DOE25'!J234:J237)</f>
        <v>58641.78</v>
      </c>
      <c r="H5" s="19">
        <f>SUM('DOE25'!K198:K201)+SUM('DOE25'!K216:K219)+SUM('DOE25'!K234:K237)</f>
        <v>6731</v>
      </c>
      <c r="I5" s="192"/>
    </row>
    <row r="6" spans="1:9" x14ac:dyDescent="0.2">
      <c r="A6" s="31">
        <v>2100</v>
      </c>
      <c r="B6" t="s">
        <v>796</v>
      </c>
      <c r="C6" s="206">
        <f t="shared" si="0"/>
        <v>6258347.7000000002</v>
      </c>
      <c r="D6" s="19">
        <f>'DOE25'!L203+'DOE25'!L221+'DOE25'!L239-F6-G6-H6</f>
        <v>6247924.3799999999</v>
      </c>
      <c r="E6" s="180"/>
      <c r="F6" s="181"/>
      <c r="G6" s="19">
        <f>'DOE25'!J203+'DOE25'!J221+'DOE25'!J239</f>
        <v>10423.32</v>
      </c>
      <c r="H6" s="19">
        <f>'DOE25'!K203+'DOE25'!K221+'DOE25'!K239</f>
        <v>0</v>
      </c>
      <c r="I6" s="192"/>
    </row>
    <row r="7" spans="1:9" x14ac:dyDescent="0.2">
      <c r="A7" s="31">
        <v>2200</v>
      </c>
      <c r="B7" t="s">
        <v>821</v>
      </c>
      <c r="C7" s="206">
        <f t="shared" si="0"/>
        <v>1838591.4500000002</v>
      </c>
      <c r="D7" s="19">
        <f>'DOE25'!L204+'DOE25'!L222+'DOE25'!L240-F7-G7-H7</f>
        <v>1819663.8200000003</v>
      </c>
      <c r="E7" s="180"/>
      <c r="F7" s="181"/>
      <c r="G7" s="19">
        <f>'DOE25'!J204+'DOE25'!J222+'DOE25'!J240</f>
        <v>7053.68</v>
      </c>
      <c r="H7" s="19">
        <f>'DOE25'!K204+'DOE25'!K222+'DOE25'!K240</f>
        <v>11873.95</v>
      </c>
      <c r="I7" s="192"/>
    </row>
    <row r="8" spans="1:9" x14ac:dyDescent="0.2">
      <c r="A8" s="31">
        <v>2300</v>
      </c>
      <c r="B8" t="s">
        <v>797</v>
      </c>
      <c r="C8" s="206">
        <f t="shared" si="0"/>
        <v>777818.68</v>
      </c>
      <c r="D8" s="180"/>
      <c r="E8" s="19">
        <f>'DOE25'!L205+'DOE25'!L223+'DOE25'!L241-F8-G8-H8-D9-D11</f>
        <v>704100.9</v>
      </c>
      <c r="F8" s="181">
        <v>40425</v>
      </c>
      <c r="G8" s="19">
        <f>'DOE25'!J205+'DOE25'!J223+'DOE25'!J241</f>
        <v>6515.1</v>
      </c>
      <c r="H8" s="19">
        <f>'DOE25'!K205+'DOE25'!K223+'DOE25'!K241</f>
        <v>26777.68</v>
      </c>
      <c r="I8" s="192"/>
    </row>
    <row r="9" spans="1:9" ht="14.25" x14ac:dyDescent="0.2">
      <c r="A9" s="31">
        <v>2310</v>
      </c>
      <c r="B9" s="71" t="s">
        <v>888</v>
      </c>
      <c r="C9" s="206">
        <f t="shared" si="0"/>
        <v>37837.4</v>
      </c>
      <c r="D9" s="181">
        <v>37837.4</v>
      </c>
      <c r="E9" s="180"/>
      <c r="F9" s="180"/>
      <c r="G9" s="180"/>
      <c r="H9" s="180"/>
      <c r="I9" s="192"/>
    </row>
    <row r="10" spans="1:9" ht="14.25" x14ac:dyDescent="0.2">
      <c r="A10" s="31">
        <v>2317</v>
      </c>
      <c r="B10" s="71" t="s">
        <v>889</v>
      </c>
      <c r="C10" s="206">
        <f t="shared" si="0"/>
        <v>40425</v>
      </c>
      <c r="D10" s="180"/>
      <c r="E10" s="181">
        <v>40425</v>
      </c>
      <c r="F10" s="180"/>
      <c r="G10" s="180"/>
      <c r="H10" s="180"/>
      <c r="I10" s="192"/>
    </row>
    <row r="11" spans="1:9" ht="14.25" x14ac:dyDescent="0.2">
      <c r="A11" s="31">
        <v>2321</v>
      </c>
      <c r="B11" s="71" t="s">
        <v>890</v>
      </c>
      <c r="C11" s="206">
        <f t="shared" si="0"/>
        <v>451116.36</v>
      </c>
      <c r="D11" s="181">
        <f>303350.73+147765.63</f>
        <v>451116.36</v>
      </c>
      <c r="E11" s="180"/>
      <c r="F11" s="180"/>
      <c r="G11" s="180"/>
      <c r="H11" s="180"/>
      <c r="I11" s="192"/>
    </row>
    <row r="12" spans="1:9" x14ac:dyDescent="0.2">
      <c r="A12" s="31">
        <v>2400</v>
      </c>
      <c r="B12" t="s">
        <v>711</v>
      </c>
      <c r="C12" s="206">
        <f t="shared" si="0"/>
        <v>3647645.9800000004</v>
      </c>
      <c r="D12" s="19">
        <f>'DOE25'!L206+'DOE25'!L224+'DOE25'!L242-F12-G12-H12</f>
        <v>3637185.5800000005</v>
      </c>
      <c r="E12" s="180"/>
      <c r="F12" s="181"/>
      <c r="G12" s="19">
        <f>'DOE25'!J206+'DOE25'!J224+'DOE25'!J242</f>
        <v>1877.4</v>
      </c>
      <c r="H12" s="19">
        <f>'DOE25'!K206+'DOE25'!K224+'DOE25'!K242</f>
        <v>8583</v>
      </c>
      <c r="I12" s="192"/>
    </row>
    <row r="13" spans="1:9" x14ac:dyDescent="0.2">
      <c r="A13" s="31">
        <v>2500</v>
      </c>
      <c r="B13" t="s">
        <v>798</v>
      </c>
      <c r="C13" s="206">
        <f t="shared" si="0"/>
        <v>868573.8</v>
      </c>
      <c r="D13" s="180"/>
      <c r="E13" s="19">
        <f>'DOE25'!L207+'DOE25'!L225+'DOE25'!L243-F13-G13-H13</f>
        <v>699587.85000000009</v>
      </c>
      <c r="F13" s="181"/>
      <c r="G13" s="19">
        <f>'DOE25'!J207+'DOE25'!J225+'DOE25'!J243</f>
        <v>0</v>
      </c>
      <c r="H13" s="19">
        <f>'DOE25'!K207+'DOE25'!K225+'DOE25'!K243</f>
        <v>168985.95</v>
      </c>
      <c r="I13" s="192"/>
    </row>
    <row r="14" spans="1:9" x14ac:dyDescent="0.2">
      <c r="A14" s="31">
        <v>2600</v>
      </c>
      <c r="B14" t="s">
        <v>819</v>
      </c>
      <c r="C14" s="206">
        <f t="shared" si="0"/>
        <v>5012413.5</v>
      </c>
      <c r="D14" s="19">
        <f>'DOE25'!L208+'DOE25'!L226+'DOE25'!L244-F14-G14-H14</f>
        <v>5012413.5</v>
      </c>
      <c r="E14" s="180"/>
      <c r="F14" s="181"/>
      <c r="G14" s="19">
        <f>'DOE25'!J208+'DOE25'!J226+'DOE25'!J244</f>
        <v>0</v>
      </c>
      <c r="H14" s="19">
        <f>'DOE25'!K208+'DOE25'!K226+'DOE25'!K244</f>
        <v>0</v>
      </c>
      <c r="I14" s="192"/>
    </row>
    <row r="15" spans="1:9" x14ac:dyDescent="0.2">
      <c r="A15" s="31">
        <v>2700</v>
      </c>
      <c r="B15" t="s">
        <v>799</v>
      </c>
      <c r="C15" s="206">
        <f t="shared" si="0"/>
        <v>4032521.17</v>
      </c>
      <c r="D15" s="19">
        <f>'DOE25'!L209+'DOE25'!L227+'DOE25'!L245-F15-G15-H15</f>
        <v>0</v>
      </c>
      <c r="E15" s="180"/>
      <c r="F15" s="181">
        <v>4032521.17</v>
      </c>
      <c r="G15" s="19">
        <f>'DOE25'!J209+'DOE25'!J227+'DOE25'!J245</f>
        <v>0</v>
      </c>
      <c r="H15" s="19">
        <f>'DOE25'!K209+'DOE25'!K227+'DOE25'!K245</f>
        <v>0</v>
      </c>
      <c r="I15" s="192"/>
    </row>
    <row r="16" spans="1:9" x14ac:dyDescent="0.2">
      <c r="A16" s="31">
        <v>2800</v>
      </c>
      <c r="B16" t="s">
        <v>800</v>
      </c>
      <c r="C16" s="206">
        <f t="shared" si="0"/>
        <v>81177.5</v>
      </c>
      <c r="D16" s="180"/>
      <c r="E16" s="19">
        <f>'DOE25'!L210+'DOE25'!L228+'DOE25'!L246-F16-G16-H16</f>
        <v>81177.5</v>
      </c>
      <c r="F16" s="181"/>
      <c r="G16" s="19">
        <f>'DOE25'!J210+'DOE25'!J228+'DOE25'!J246</f>
        <v>0</v>
      </c>
      <c r="H16" s="19">
        <f>'DOE25'!K210+'DOE25'!K228+'DOE25'!K246</f>
        <v>0</v>
      </c>
      <c r="I16" s="192"/>
    </row>
    <row r="17" spans="1:9" x14ac:dyDescent="0.2">
      <c r="A17" s="31">
        <v>1600</v>
      </c>
      <c r="B17" t="s">
        <v>801</v>
      </c>
      <c r="C17" s="206">
        <f t="shared" si="0"/>
        <v>72874.569999999992</v>
      </c>
      <c r="D17" s="19">
        <f>'DOE25'!L252-F17-G17-H17</f>
        <v>72874.569999999992</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2099562.92</v>
      </c>
      <c r="D25" s="180"/>
      <c r="E25" s="180"/>
      <c r="F25" s="191"/>
      <c r="G25" s="180"/>
      <c r="H25" s="180"/>
      <c r="I25" s="190">
        <f>'DOE25'!L261+'DOE25'!L262+'DOE25'!L342+'DOE25'!L343</f>
        <v>2099562.92</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1134805.0500000003</v>
      </c>
      <c r="D29" s="212">
        <f>'DOE25'!L359+'DOE25'!L360+'DOE25'!L361-'DOE25'!I368-F29-G29-H29</f>
        <v>1102332.0800000003</v>
      </c>
      <c r="E29" s="180"/>
      <c r="F29" s="181"/>
      <c r="G29" s="19">
        <f>'DOE25'!J359+'DOE25'!J360+'DOE25'!J361</f>
        <v>32472.97</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5086956.540000001</v>
      </c>
      <c r="D31" s="19">
        <f>'DOE25'!L291+'DOE25'!L310+'DOE25'!L329+'DOE25'!L334+'DOE25'!L335+'DOE25'!L336-F31-G31-H31</f>
        <v>3937488.2600000007</v>
      </c>
      <c r="E31" s="180"/>
      <c r="F31" s="181"/>
      <c r="G31" s="19">
        <f>'DOE25'!J291+'DOE25'!J310+'DOE25'!J329+'DOE25'!J334+'DOE25'!J335+'DOE25'!J336</f>
        <v>1149269.28</v>
      </c>
      <c r="H31" s="19">
        <f>'DOE25'!K291+'DOE25'!K310+'DOE25'!K329+'DOE25'!K334+'DOE25'!K335+'DOE25'!K336</f>
        <v>199</v>
      </c>
      <c r="I31" s="192"/>
    </row>
    <row r="32" spans="1:9" ht="12" thickBot="1" x14ac:dyDescent="0.25">
      <c r="C32" s="207"/>
      <c r="G32" s="188"/>
      <c r="H32" s="188"/>
      <c r="I32" s="194"/>
    </row>
    <row r="33" spans="1:9" ht="12" thickTop="1" x14ac:dyDescent="0.2">
      <c r="B33" t="s">
        <v>809</v>
      </c>
      <c r="D33" s="182">
        <f t="shared" ref="D33:I33" si="1">SUM(D5:D31)</f>
        <v>85361860.650000006</v>
      </c>
      <c r="E33" s="182">
        <f t="shared" si="1"/>
        <v>1525291.25</v>
      </c>
      <c r="F33" s="182">
        <f t="shared" si="1"/>
        <v>4072946.17</v>
      </c>
      <c r="G33" s="182">
        <f t="shared" si="1"/>
        <v>1266253.53</v>
      </c>
      <c r="H33" s="182">
        <f t="shared" si="1"/>
        <v>223150.58000000002</v>
      </c>
      <c r="I33" s="182">
        <f t="shared" si="1"/>
        <v>2099562.92</v>
      </c>
    </row>
    <row r="35" spans="1:9" ht="12" thickBot="1" x14ac:dyDescent="0.25">
      <c r="B35" s="188" t="s">
        <v>831</v>
      </c>
      <c r="D35" s="189">
        <f>E33</f>
        <v>1525291.25</v>
      </c>
      <c r="E35" s="185"/>
      <c r="F35" s="255" t="s">
        <v>1617</v>
      </c>
      <c r="G35" s="256"/>
      <c r="H35" s="256"/>
      <c r="I35" s="256"/>
    </row>
    <row r="36" spans="1:9" ht="12" thickTop="1" x14ac:dyDescent="0.2">
      <c r="B36" t="s">
        <v>810</v>
      </c>
      <c r="D36" s="19">
        <f>D33</f>
        <v>85361860.650000006</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26" sqref="D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Derry Cooperative</v>
      </c>
      <c r="B2">
        <f>'DOE25'!B2</f>
        <v>131</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39533052.210000001</v>
      </c>
      <c r="G4" s="229">
        <f>'DOE25'!L212+'DOE25'!L291</f>
        <v>39533052.210000001</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v>6736063.4400000004</v>
      </c>
      <c r="E5" s="220">
        <v>97855.23</v>
      </c>
      <c r="F5" s="232">
        <f>D5+E5</f>
        <v>6833918.6700000009</v>
      </c>
      <c r="G5" s="223"/>
      <c r="H5" s="223"/>
      <c r="I5" s="311"/>
      <c r="N5"/>
    </row>
    <row r="6" spans="1:18" x14ac:dyDescent="0.2">
      <c r="A6" t="str" cm="1">
        <f t="array" ref="A6">IFERROR(INDEX('School Tables'!$A$4:$G$325,'School Tables'!$J4,3),"")</f>
        <v>Derry Early Education Program</v>
      </c>
      <c r="B6" s="230">
        <f>IFERROR(VLOOKUP(A6,'School Tables'!$C$3:$D$365,2,FALSE),"")</f>
        <v>29156</v>
      </c>
      <c r="C6" s="223" t="str">
        <f>IFERROR(INDEX('School Tables'!$B$3:$B$365,MATCH('School Level Expenditures'!B6,'School Tables'!$D$3:$D$365,0)),"")</f>
        <v>Derry Cooperative</v>
      </c>
      <c r="D6" s="220">
        <v>935958.47</v>
      </c>
      <c r="E6" s="220">
        <v>66589.100000000006</v>
      </c>
      <c r="F6" s="232">
        <f t="shared" ref="F6:F20" si="0">D6+E6</f>
        <v>1002547.57</v>
      </c>
      <c r="G6" s="223"/>
      <c r="H6" s="223"/>
      <c r="I6" s="311"/>
      <c r="N6"/>
    </row>
    <row r="7" spans="1:18" x14ac:dyDescent="0.2">
      <c r="A7" t="str" cm="1">
        <f t="array" ref="A7">IFERROR(INDEX('School Tables'!$A$4:$G$325,'School Tables'!$J5,3),"")</f>
        <v>Derry Village School</v>
      </c>
      <c r="B7" s="230">
        <f>IFERROR(VLOOKUP(A7,'School Tables'!$C$3:$D$365,2,FALSE),"")</f>
        <v>20380</v>
      </c>
      <c r="C7" s="223" t="str">
        <f>IFERROR(INDEX('School Tables'!$B$3:$B$365,MATCH('School Level Expenditures'!B7,'School Tables'!$D$3:$D$365,0)),"")</f>
        <v>Derry Cooperative</v>
      </c>
      <c r="D7" s="220">
        <f>276681.67+5336876.29</f>
        <v>5613557.96</v>
      </c>
      <c r="E7" s="220">
        <f>78130.98+502541.08</f>
        <v>580672.06000000006</v>
      </c>
      <c r="F7" s="232">
        <f t="shared" si="0"/>
        <v>6194230.0199999996</v>
      </c>
      <c r="G7" s="223"/>
      <c r="H7" s="223"/>
      <c r="I7" s="268"/>
      <c r="N7"/>
    </row>
    <row r="8" spans="1:18" x14ac:dyDescent="0.2">
      <c r="A8" t="str" cm="1">
        <f t="array" ref="A8">IFERROR(INDEX('School Tables'!$A$4:$G$325,'School Tables'!$J6,3),"")</f>
        <v>East Derry Memorial Elementary School</v>
      </c>
      <c r="B8" s="230">
        <f>IFERROR(VLOOKUP(A8,'School Tables'!$C$3:$D$365,2,FALSE),"")</f>
        <v>20370</v>
      </c>
      <c r="C8" s="223" t="str">
        <f>IFERROR(INDEX('School Tables'!$B$3:$B$365,MATCH('School Level Expenditures'!B8,'School Tables'!$D$3:$D$365,0)),"")</f>
        <v>Derry Cooperative</v>
      </c>
      <c r="D8" s="220">
        <f>271698.91+4695297.91</f>
        <v>4966996.82</v>
      </c>
      <c r="E8" s="220">
        <v>493499.53</v>
      </c>
      <c r="F8" s="232">
        <f t="shared" si="0"/>
        <v>5460496.3500000006</v>
      </c>
      <c r="G8" s="223"/>
      <c r="H8" s="223"/>
      <c r="I8" s="268"/>
      <c r="N8"/>
    </row>
    <row r="9" spans="1:18" x14ac:dyDescent="0.2">
      <c r="A9" t="str" cm="1">
        <f t="array" ref="A9">IFERROR(INDEX('School Tables'!$A$4:$G$325,'School Tables'!$J7,3),"")</f>
        <v>Ernest P. Barka Elementary School</v>
      </c>
      <c r="B9" s="230">
        <f>IFERROR(VLOOKUP(A9,'School Tables'!$C$3:$D$365,2,FALSE),"")</f>
        <v>28465</v>
      </c>
      <c r="C9" s="223" t="str">
        <f>IFERROR(INDEX('School Tables'!$B$3:$B$365,MATCH('School Level Expenditures'!B9,'School Tables'!$D$3:$D$365,0)),"")</f>
        <v>Derry Cooperative</v>
      </c>
      <c r="D9" s="220">
        <f>367755.48+7741371.01</f>
        <v>8109126.4900000002</v>
      </c>
      <c r="E9" s="220">
        <f>667905.18+173412.33</f>
        <v>841317.51</v>
      </c>
      <c r="F9" s="232">
        <f t="shared" si="0"/>
        <v>8950444</v>
      </c>
      <c r="G9" s="223"/>
      <c r="H9" s="223"/>
      <c r="I9" s="268"/>
      <c r="N9"/>
    </row>
    <row r="10" spans="1:18" x14ac:dyDescent="0.2">
      <c r="A10" t="str" cm="1">
        <f t="array" ref="A10">IFERROR(INDEX('School Tables'!$A$4:$G$325,'School Tables'!$J8,3),"")</f>
        <v>Grinnell School</v>
      </c>
      <c r="B10" s="230">
        <f>IFERROR(VLOOKUP(A10,'School Tables'!$C$3:$D$365,2,FALSE),"")</f>
        <v>20390</v>
      </c>
      <c r="C10" s="223" t="str">
        <f>IFERROR(INDEX('School Tables'!$B$3:$B$365,MATCH('School Level Expenditures'!B10,'School Tables'!$D$3:$D$365,0)),"")</f>
        <v>Derry Cooperative</v>
      </c>
      <c r="D10" s="220">
        <f>231144.77+4290594.05+9086.85</f>
        <v>4530825.669999999</v>
      </c>
      <c r="E10" s="220">
        <f>419860.98+436488.15</f>
        <v>856349.13</v>
      </c>
      <c r="F10" s="232">
        <f t="shared" si="0"/>
        <v>5387174.7999999989</v>
      </c>
      <c r="G10" s="223"/>
      <c r="H10" s="223"/>
      <c r="N10"/>
    </row>
    <row r="11" spans="1:18" x14ac:dyDescent="0.2">
      <c r="A11" t="str" cm="1">
        <f t="array" ref="A11">IFERROR(INDEX('School Tables'!$A$4:$G$325,'School Tables'!$J9,3),"")</f>
        <v>South Range Elementary School</v>
      </c>
      <c r="B11" s="230">
        <f>IFERROR(VLOOKUP(A11,'School Tables'!$C$3:$D$365,2,FALSE),"")</f>
        <v>20405</v>
      </c>
      <c r="C11" s="223" t="str">
        <f>IFERROR(INDEX('School Tables'!$B$3:$B$365,MATCH('School Level Expenditures'!B11,'School Tables'!$D$3:$D$365,0)),"")</f>
        <v>Derry Cooperative</v>
      </c>
      <c r="D11" s="220">
        <f>236819.57+5008799.27</f>
        <v>5245618.84</v>
      </c>
      <c r="E11" s="220">
        <f>430196.97+28424.99</f>
        <v>458621.95999999996</v>
      </c>
      <c r="F11" s="232">
        <f t="shared" si="0"/>
        <v>5704240.7999999998</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36138147.689999998</v>
      </c>
      <c r="E21" s="265">
        <f>SUM(E5:E20)</f>
        <v>3394904.52</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21722842.25</v>
      </c>
      <c r="G24" s="229">
        <f>'DOE25'!L230+'DOE25'!L310</f>
        <v>21722842.249999996</v>
      </c>
      <c r="H24" s="267">
        <f>F24-G24</f>
        <v>0</v>
      </c>
      <c r="I24" s="310" t="str">
        <f>IF(H24=0,"","ISSUES!! Please review page 8 and 12 totals in comparison with total on this page")</f>
        <v/>
      </c>
      <c r="N24"/>
    </row>
    <row r="25" spans="1:14" x14ac:dyDescent="0.2">
      <c r="A25" t="s">
        <v>1548</v>
      </c>
      <c r="B25" s="230">
        <v>99999</v>
      </c>
      <c r="C25" s="223" t="s">
        <v>1548</v>
      </c>
      <c r="D25" s="220">
        <f>3691279.34+4133.82</f>
        <v>3695413.1599999997</v>
      </c>
      <c r="E25" s="220">
        <v>23551.14</v>
      </c>
      <c r="F25" s="232">
        <f>D25+E25</f>
        <v>3718964.3</v>
      </c>
      <c r="G25" s="223"/>
      <c r="H25" s="223"/>
      <c r="I25" s="311"/>
      <c r="N25"/>
    </row>
    <row r="26" spans="1:14" x14ac:dyDescent="0.2">
      <c r="A26" t="str" cm="1">
        <f t="array" ref="A26">IFERROR(INDEX('School Tables'!$L$4:$R$75,'School Tables'!$U4,3),"")</f>
        <v>Gilbert H. Hood Middle School</v>
      </c>
      <c r="B26" s="230">
        <f>IFERROR(VLOOKUP(A26,'School Tables'!$N$4:$O$75,2,FALSE),"")</f>
        <v>20420</v>
      </c>
      <c r="C26" s="223" t="str">
        <f>IFERROR(INDEX('School Tables'!$M$4:$M$75,MATCH('School Level Expenditures'!A26,'School Tables'!$N$4:$N$75,0)),"")</f>
        <v>Derry Cooperative</v>
      </c>
      <c r="D26" s="220">
        <f>7839004+816782.8</f>
        <v>8655786.8000000007</v>
      </c>
      <c r="E26" s="220">
        <v>688573.27</v>
      </c>
      <c r="F26" s="232">
        <f t="shared" ref="F26:F32" si="1">D26+E26</f>
        <v>9344360.0700000003</v>
      </c>
      <c r="G26" s="223"/>
      <c r="H26" s="223"/>
      <c r="I26" s="311"/>
      <c r="N26"/>
    </row>
    <row r="27" spans="1:14" x14ac:dyDescent="0.2">
      <c r="A27" t="str" cm="1">
        <f t="array" ref="A27">IFERROR(INDEX('School Tables'!$L$4:$R$75,'School Tables'!$U5,3),"")</f>
        <v>West Running Brook Middle School</v>
      </c>
      <c r="B27" s="230">
        <f>IFERROR(VLOOKUP(A27,'School Tables'!$N$4:$O$75,2,FALSE),"")</f>
        <v>27065</v>
      </c>
      <c r="C27" s="223" t="str">
        <f>IFERROR(INDEX('School Tables'!$M$4:$M$75,MATCH('School Level Expenditures'!A27,'School Tables'!$N$4:$N$75,0)),"")</f>
        <v>Derry Cooperative</v>
      </c>
      <c r="D27" s="220">
        <f>7137216.24+825977.36</f>
        <v>7963193.6000000006</v>
      </c>
      <c r="E27" s="220">
        <v>696324.28</v>
      </c>
      <c r="F27" s="232">
        <f t="shared" si="1"/>
        <v>8659517.8800000008</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20314393.560000002</v>
      </c>
      <c r="E33" s="265">
        <f>SUM(E25:E32)</f>
        <v>1408448.69</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29853719.16</v>
      </c>
      <c r="G36" s="229">
        <f>'DOE25'!L248+'DOE25'!L329</f>
        <v>29853719.159999996</v>
      </c>
      <c r="H36" s="267">
        <f>F36-G36</f>
        <v>0</v>
      </c>
      <c r="I36" s="310" t="str">
        <f>IF(H36=0,"","ISSUES!! Please review page 9 and 13 totals in comparison with total on this page")</f>
        <v/>
      </c>
      <c r="N36"/>
    </row>
    <row r="37" spans="1:14" x14ac:dyDescent="0.2">
      <c r="A37" t="s">
        <v>1548</v>
      </c>
      <c r="B37" s="230">
        <v>99999</v>
      </c>
      <c r="C37" s="223" t="s">
        <v>1548</v>
      </c>
      <c r="D37" s="220">
        <f>399012.15+29184144.35</f>
        <v>29583156.5</v>
      </c>
      <c r="E37" s="220">
        <v>270562.65999999997</v>
      </c>
      <c r="F37" s="232">
        <f t="shared" ref="F37:F42" si="2">D37+E37</f>
        <v>29853719.16</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29583156.5</v>
      </c>
      <c r="E43" s="266">
        <f>SUM(E37:E42)</f>
        <v>270562.65999999997</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E11" sqref="E11:E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Derry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5337523.75</v>
      </c>
      <c r="D8" s="73">
        <f>'DOE25'!G9</f>
        <v>925</v>
      </c>
      <c r="E8" s="73">
        <f>'DOE25'!H9</f>
        <v>0</v>
      </c>
      <c r="F8" s="73">
        <f>'DOE25'!I9</f>
        <v>0</v>
      </c>
      <c r="G8" s="73">
        <f>'DOE25'!J9</f>
        <v>0</v>
      </c>
      <c r="H8" s="90">
        <f>SUM(C8:G8)</f>
        <v>5338448.75</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2603513.0900000003</v>
      </c>
      <c r="D11" s="73">
        <f>'DOE25'!G12</f>
        <v>505260.53</v>
      </c>
      <c r="E11" s="73">
        <f>'DOE25'!H12</f>
        <v>-3108773.62</v>
      </c>
      <c r="F11" s="73">
        <f>'DOE25'!I12</f>
        <v>0</v>
      </c>
      <c r="G11" s="73">
        <f>'DOE25'!J12</f>
        <v>0</v>
      </c>
      <c r="H11" s="90">
        <f t="shared" si="0"/>
        <v>0</v>
      </c>
      <c r="I11" s="90"/>
    </row>
    <row r="12" spans="1:9" x14ac:dyDescent="0.2">
      <c r="A12" s="1" t="s">
        <v>143</v>
      </c>
      <c r="B12" s="6">
        <v>140</v>
      </c>
      <c r="C12" s="73">
        <f>'DOE25'!F13</f>
        <v>79388.63</v>
      </c>
      <c r="D12" s="73">
        <f>'DOE25'!G13</f>
        <v>475526.56</v>
      </c>
      <c r="E12" s="73">
        <f>'DOE25'!H13</f>
        <v>3132913.5700000003</v>
      </c>
      <c r="F12" s="73">
        <f>'DOE25'!I13</f>
        <v>0</v>
      </c>
      <c r="G12" s="73">
        <f>'DOE25'!J13</f>
        <v>197897.05</v>
      </c>
      <c r="H12" s="90">
        <f t="shared" si="0"/>
        <v>3885725.81</v>
      </c>
      <c r="I12" s="90"/>
    </row>
    <row r="13" spans="1:9" x14ac:dyDescent="0.2">
      <c r="A13" s="1" t="s">
        <v>144</v>
      </c>
      <c r="B13" s="6">
        <v>150</v>
      </c>
      <c r="C13" s="73">
        <f>'DOE25'!F14</f>
        <v>18115.099999999999</v>
      </c>
      <c r="D13" s="73">
        <f>'DOE25'!G14</f>
        <v>0</v>
      </c>
      <c r="E13" s="73">
        <f>'DOE25'!H14</f>
        <v>16549.28</v>
      </c>
      <c r="F13" s="73">
        <f>'DOE25'!I14</f>
        <v>0</v>
      </c>
      <c r="G13" s="73">
        <f>'DOE25'!J14</f>
        <v>0</v>
      </c>
      <c r="H13" s="90">
        <f t="shared" si="0"/>
        <v>34664.379999999997</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72556.079999999987</v>
      </c>
      <c r="E15" s="73">
        <f>'DOE25'!H16</f>
        <v>0</v>
      </c>
      <c r="F15" s="73">
        <f>'DOE25'!I16</f>
        <v>0</v>
      </c>
      <c r="G15" s="23" t="s">
        <v>288</v>
      </c>
      <c r="H15" s="90">
        <f t="shared" si="0"/>
        <v>72556.079999999987</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8038540.5699999994</v>
      </c>
      <c r="D18" s="38">
        <f>SUM(D8:D17)</f>
        <v>1054268.1700000002</v>
      </c>
      <c r="E18" s="38">
        <f>SUM(E8:E17)</f>
        <v>40689.230000000185</v>
      </c>
      <c r="F18" s="38">
        <f>SUM(F8:F17)</f>
        <v>0</v>
      </c>
      <c r="G18" s="38">
        <f>SUM(G8:G17)</f>
        <v>197897.05</v>
      </c>
      <c r="H18" s="38">
        <f t="shared" si="0"/>
        <v>9331395.0200000014</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90">
        <f t="shared" ref="H21:H31" si="1">SUM(C21:G21)</f>
        <v>0</v>
      </c>
      <c r="I21" s="90"/>
    </row>
    <row r="22" spans="1:9" x14ac:dyDescent="0.2">
      <c r="A22" s="1" t="s">
        <v>151</v>
      </c>
      <c r="B22" s="6">
        <v>410</v>
      </c>
      <c r="C22" s="73">
        <f>'DOE25'!F23</f>
        <v>0</v>
      </c>
      <c r="D22" s="73">
        <f>'DOE25'!G23</f>
        <v>1671.14</v>
      </c>
      <c r="E22" s="73">
        <f>'DOE25'!H23</f>
        <v>0</v>
      </c>
      <c r="F22" s="73">
        <f>'DOE25'!I23</f>
        <v>0</v>
      </c>
      <c r="G22" s="73">
        <f>'DOE25'!J23</f>
        <v>0</v>
      </c>
      <c r="H22" s="90">
        <f t="shared" si="1"/>
        <v>1671.14</v>
      </c>
      <c r="I22" s="90"/>
    </row>
    <row r="23" spans="1:9" x14ac:dyDescent="0.2">
      <c r="A23" s="1" t="s">
        <v>152</v>
      </c>
      <c r="B23" s="6">
        <v>420</v>
      </c>
      <c r="C23" s="73">
        <f>'DOE25'!F24</f>
        <v>543672.49</v>
      </c>
      <c r="D23" s="73">
        <f>'DOE25'!G24</f>
        <v>0</v>
      </c>
      <c r="E23" s="73">
        <f>'DOE25'!H24</f>
        <v>0</v>
      </c>
      <c r="F23" s="73">
        <f>'DOE25'!I24</f>
        <v>0</v>
      </c>
      <c r="G23" s="73">
        <f>'DOE25'!J24</f>
        <v>0</v>
      </c>
      <c r="H23" s="90">
        <f t="shared" si="1"/>
        <v>543672.49</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283.58</v>
      </c>
      <c r="D28" s="73">
        <f>'DOE25'!G29</f>
        <v>0</v>
      </c>
      <c r="E28" s="73">
        <f>'DOE25'!H29</f>
        <v>0</v>
      </c>
      <c r="F28" s="73">
        <f>'DOE25'!I29</f>
        <v>0</v>
      </c>
      <c r="G28" s="23" t="s">
        <v>288</v>
      </c>
      <c r="H28" s="90">
        <f t="shared" si="1"/>
        <v>283.58</v>
      </c>
      <c r="I28" s="90"/>
    </row>
    <row r="29" spans="1:9" x14ac:dyDescent="0.2">
      <c r="A29" s="1" t="s">
        <v>158</v>
      </c>
      <c r="B29" s="6">
        <v>480</v>
      </c>
      <c r="C29" s="73">
        <f>'DOE25'!F30</f>
        <v>13168.42</v>
      </c>
      <c r="D29" s="73">
        <f>'DOE25'!G30</f>
        <v>28583.16</v>
      </c>
      <c r="E29" s="73">
        <f>'DOE25'!H30</f>
        <v>0</v>
      </c>
      <c r="F29" s="73">
        <f>'DOE25'!I30</f>
        <v>0</v>
      </c>
      <c r="G29" s="23" t="s">
        <v>288</v>
      </c>
      <c r="H29" s="90">
        <f t="shared" si="1"/>
        <v>41751.58</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557124.49</v>
      </c>
      <c r="D31" s="38">
        <f>SUM(D21:D30)</f>
        <v>30254.3</v>
      </c>
      <c r="E31" s="38">
        <f>SUM(E21:E30)</f>
        <v>0</v>
      </c>
      <c r="F31" s="38">
        <f>SUM(F21:F30)</f>
        <v>0</v>
      </c>
      <c r="G31" s="38">
        <f>SUM(G21:G30)</f>
        <v>0</v>
      </c>
      <c r="H31" s="38">
        <f t="shared" si="1"/>
        <v>587378.79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72556.08</v>
      </c>
      <c r="E34" s="73">
        <f>'DOE25'!H35</f>
        <v>0</v>
      </c>
      <c r="F34" s="73">
        <f>'DOE25'!I35</f>
        <v>0</v>
      </c>
      <c r="G34" s="23" t="s">
        <v>288</v>
      </c>
      <c r="H34" s="90">
        <f t="shared" ref="H34:H51" si="2">SUM(C34:G34)</f>
        <v>72556.08</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951457.79</v>
      </c>
      <c r="E39" s="23" t="s">
        <v>288</v>
      </c>
      <c r="F39" s="23" t="s">
        <v>288</v>
      </c>
      <c r="G39" s="23" t="s">
        <v>288</v>
      </c>
      <c r="H39" s="90">
        <f t="shared" si="2"/>
        <v>951457.79</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2500000</v>
      </c>
      <c r="D45" s="23" t="s">
        <v>288</v>
      </c>
      <c r="E45" s="23" t="s">
        <v>288</v>
      </c>
      <c r="F45" s="23" t="s">
        <v>288</v>
      </c>
      <c r="G45" s="23" t="s">
        <v>288</v>
      </c>
      <c r="H45" s="90">
        <f t="shared" si="2"/>
        <v>2500000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40689.229999999996</v>
      </c>
      <c r="F47" s="73">
        <f>'DOE25'!I48</f>
        <v>0</v>
      </c>
      <c r="G47" s="73">
        <f>'DOE25'!J48</f>
        <v>197897.05</v>
      </c>
      <c r="H47" s="90">
        <f t="shared" si="2"/>
        <v>238586.27999999997</v>
      </c>
      <c r="I47" s="90"/>
    </row>
    <row r="48" spans="1:9" x14ac:dyDescent="0.2">
      <c r="A48" s="1" t="s">
        <v>882</v>
      </c>
      <c r="B48" s="6">
        <v>753</v>
      </c>
      <c r="C48" s="73">
        <f>'DOE25'!F49</f>
        <v>190633.22</v>
      </c>
      <c r="D48" s="73">
        <f>'DOE25'!G49</f>
        <v>0</v>
      </c>
      <c r="E48" s="73">
        <f>'DOE25'!H49</f>
        <v>0</v>
      </c>
      <c r="F48" s="73">
        <f>'DOE25'!I49</f>
        <v>0</v>
      </c>
      <c r="G48" s="73">
        <f>'DOE25'!J49</f>
        <v>0</v>
      </c>
      <c r="H48" s="90">
        <f t="shared" si="2"/>
        <v>190633.22</v>
      </c>
      <c r="I48" s="90"/>
    </row>
    <row r="49" spans="1:9" ht="12" thickBot="1" x14ac:dyDescent="0.25">
      <c r="A49" s="28" t="s">
        <v>883</v>
      </c>
      <c r="B49" s="56">
        <v>770</v>
      </c>
      <c r="C49" s="73">
        <f>'DOE25'!F50</f>
        <v>4790782.8600000003</v>
      </c>
      <c r="D49" s="23" t="s">
        <v>288</v>
      </c>
      <c r="E49" s="23" t="s">
        <v>288</v>
      </c>
      <c r="F49" s="23" t="s">
        <v>288</v>
      </c>
      <c r="G49" s="23" t="s">
        <v>288</v>
      </c>
      <c r="H49" s="90">
        <f t="shared" si="2"/>
        <v>4790782.8600000003</v>
      </c>
      <c r="I49" s="90"/>
    </row>
    <row r="50" spans="1:9" ht="12.75" thickTop="1" thickBot="1" x14ac:dyDescent="0.25">
      <c r="A50" s="35" t="s">
        <v>884</v>
      </c>
      <c r="B50" s="44"/>
      <c r="C50" s="38">
        <f>SUM(C34:C49)</f>
        <v>7481416.0800000001</v>
      </c>
      <c r="D50" s="38">
        <f>SUM(D34:D49)</f>
        <v>1024013.87</v>
      </c>
      <c r="E50" s="38">
        <f>SUM(E34:E49)</f>
        <v>40689.229999999996</v>
      </c>
      <c r="F50" s="38">
        <f>SUM(F34:F49)</f>
        <v>0</v>
      </c>
      <c r="G50" s="38">
        <f>SUM(G34:G49)</f>
        <v>197897.05</v>
      </c>
      <c r="H50" s="38">
        <f t="shared" si="2"/>
        <v>8744016.2300000004</v>
      </c>
      <c r="I50" s="90"/>
    </row>
    <row r="51" spans="1:9" ht="12" thickTop="1" x14ac:dyDescent="0.2">
      <c r="A51" s="35" t="s">
        <v>885</v>
      </c>
      <c r="B51" s="2"/>
      <c r="C51" s="38">
        <f>C50+C31</f>
        <v>8038540.5700000003</v>
      </c>
      <c r="D51" s="38">
        <f>D50+D31</f>
        <v>1054268.17</v>
      </c>
      <c r="E51" s="38">
        <f>E50+E31</f>
        <v>40689.229999999996</v>
      </c>
      <c r="F51" s="38">
        <f>F50+F31</f>
        <v>0</v>
      </c>
      <c r="G51" s="38">
        <f>G50+G31</f>
        <v>197897.05</v>
      </c>
      <c r="H51" s="38">
        <f t="shared" si="2"/>
        <v>9331395.0200000014</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53651633</v>
      </c>
      <c r="D56" s="73">
        <f>'DOE25'!G60</f>
        <v>0</v>
      </c>
      <c r="E56" s="73">
        <f>'DOE25'!H60</f>
        <v>0</v>
      </c>
      <c r="F56" s="73">
        <f>'DOE25'!I60</f>
        <v>0</v>
      </c>
      <c r="G56" s="73">
        <f>'DOE25'!J60</f>
        <v>0</v>
      </c>
      <c r="H56" s="90">
        <f t="shared" ref="H56:H63" si="3">SUM(C56:G56)</f>
        <v>53651633</v>
      </c>
      <c r="I56"/>
    </row>
    <row r="57" spans="1:9" x14ac:dyDescent="0.2">
      <c r="A57" s="1" t="s">
        <v>164</v>
      </c>
      <c r="B57" s="6" t="s">
        <v>165</v>
      </c>
      <c r="C57" s="73">
        <f>'DOE25'!F79</f>
        <v>49556.5</v>
      </c>
      <c r="D57" s="23" t="s">
        <v>288</v>
      </c>
      <c r="E57" s="73">
        <f>'DOE25'!H79</f>
        <v>0</v>
      </c>
      <c r="F57" s="23" t="s">
        <v>288</v>
      </c>
      <c r="G57" s="23" t="s">
        <v>288</v>
      </c>
      <c r="H57" s="90">
        <f t="shared" si="3"/>
        <v>49556.5</v>
      </c>
      <c r="I57"/>
    </row>
    <row r="58" spans="1:9" x14ac:dyDescent="0.2">
      <c r="A58" s="1" t="s">
        <v>166</v>
      </c>
      <c r="B58" s="6" t="s">
        <v>167</v>
      </c>
      <c r="C58" s="73">
        <f>'DOE25'!F94</f>
        <v>112828</v>
      </c>
      <c r="D58" s="23" t="s">
        <v>288</v>
      </c>
      <c r="E58" s="73">
        <f>'DOE25'!H94</f>
        <v>0</v>
      </c>
      <c r="F58" s="23" t="s">
        <v>288</v>
      </c>
      <c r="G58" s="23" t="s">
        <v>288</v>
      </c>
      <c r="H58" s="90">
        <f t="shared" si="3"/>
        <v>112828</v>
      </c>
      <c r="I58"/>
    </row>
    <row r="59" spans="1:9" x14ac:dyDescent="0.2">
      <c r="A59" s="1" t="s">
        <v>168</v>
      </c>
      <c r="B59" s="6" t="s">
        <v>169</v>
      </c>
      <c r="C59" s="73">
        <f>'DOE25'!F96</f>
        <v>6403.1</v>
      </c>
      <c r="D59" s="73">
        <f>'DOE25'!G96</f>
        <v>0</v>
      </c>
      <c r="E59" s="73">
        <f>'DOE25'!H96</f>
        <v>0</v>
      </c>
      <c r="F59" s="73">
        <f>'DOE25'!I96</f>
        <v>0</v>
      </c>
      <c r="G59" s="73">
        <f>'DOE25'!J96</f>
        <v>1268.29</v>
      </c>
      <c r="H59" s="90">
        <f t="shared" si="3"/>
        <v>7671.39</v>
      </c>
      <c r="I59"/>
    </row>
    <row r="60" spans="1:9" x14ac:dyDescent="0.2">
      <c r="A60" s="1" t="s">
        <v>170</v>
      </c>
      <c r="B60" s="22" t="s">
        <v>171</v>
      </c>
      <c r="C60" s="23" t="s">
        <v>288</v>
      </c>
      <c r="D60" s="73">
        <f>'DOE25'!G97</f>
        <v>99801.64</v>
      </c>
      <c r="E60" s="23" t="s">
        <v>288</v>
      </c>
      <c r="F60" s="23" t="s">
        <v>288</v>
      </c>
      <c r="G60" s="23" t="s">
        <v>288</v>
      </c>
      <c r="H60" s="90">
        <f t="shared" si="3"/>
        <v>99801.64</v>
      </c>
      <c r="I60"/>
    </row>
    <row r="61" spans="1:9" ht="12" thickBot="1" x14ac:dyDescent="0.25">
      <c r="A61" s="1" t="s">
        <v>172</v>
      </c>
      <c r="B61" s="22" t="s">
        <v>173</v>
      </c>
      <c r="C61" s="73">
        <f>SUM('DOE25'!F98:F110)</f>
        <v>1172763.55</v>
      </c>
      <c r="D61" s="73">
        <f>SUM('DOE25'!G98:G110)</f>
        <v>6167.33</v>
      </c>
      <c r="E61" s="73">
        <f>SUM('DOE25'!H98:H110)</f>
        <v>17067.099999999999</v>
      </c>
      <c r="F61" s="73">
        <f>SUM('DOE25'!I98:I110)</f>
        <v>0</v>
      </c>
      <c r="G61" s="73">
        <f>SUM('DOE25'!J98:J110)</f>
        <v>0</v>
      </c>
      <c r="H61" s="90">
        <f t="shared" si="3"/>
        <v>1195997.9800000002</v>
      </c>
      <c r="I61"/>
    </row>
    <row r="62" spans="1:9" ht="12.75" thickTop="1" thickBot="1" x14ac:dyDescent="0.25">
      <c r="A62" s="28" t="s">
        <v>174</v>
      </c>
      <c r="B62" s="6"/>
      <c r="C62" s="93">
        <f>SUM(C57:C61)</f>
        <v>1341551.1500000001</v>
      </c>
      <c r="D62" s="93">
        <f>SUM(D57:D61)</f>
        <v>105968.97</v>
      </c>
      <c r="E62" s="93">
        <f>SUM(E57:E61)</f>
        <v>17067.099999999999</v>
      </c>
      <c r="F62" s="93">
        <f>SUM(F57:F61)</f>
        <v>0</v>
      </c>
      <c r="G62" s="93">
        <f>SUM(G57:G61)</f>
        <v>1268.29</v>
      </c>
      <c r="H62" s="90">
        <f t="shared" si="3"/>
        <v>1465855.5100000002</v>
      </c>
      <c r="I62"/>
    </row>
    <row r="63" spans="1:9" ht="12" thickTop="1" x14ac:dyDescent="0.2">
      <c r="A63" s="28" t="s">
        <v>175</v>
      </c>
      <c r="B63" s="6"/>
      <c r="C63" s="21">
        <f>C56+C62</f>
        <v>54993184.149999999</v>
      </c>
      <c r="D63" s="21">
        <f>D56+D62</f>
        <v>105968.97</v>
      </c>
      <c r="E63" s="21">
        <f>E56+E62</f>
        <v>17067.099999999999</v>
      </c>
      <c r="F63" s="21">
        <f>F56+F62</f>
        <v>0</v>
      </c>
      <c r="G63" s="21">
        <f>G56+G62</f>
        <v>1268.29</v>
      </c>
      <c r="H63" s="90">
        <f t="shared" si="3"/>
        <v>55117488.509999998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24360105.109999999</v>
      </c>
      <c r="D66" s="23" t="s">
        <v>288</v>
      </c>
      <c r="E66" s="23" t="s">
        <v>288</v>
      </c>
      <c r="F66" s="23" t="s">
        <v>288</v>
      </c>
      <c r="G66" s="23" t="s">
        <v>288</v>
      </c>
      <c r="H66" s="90">
        <f t="shared" ref="H66:H81" si="4">SUM(C66:G66)</f>
        <v>24360105.109999999</v>
      </c>
      <c r="I66"/>
    </row>
    <row r="67" spans="1:9" x14ac:dyDescent="0.2">
      <c r="A67" s="1" t="s">
        <v>770</v>
      </c>
      <c r="B67" s="6">
        <v>3112</v>
      </c>
      <c r="C67" s="73">
        <f>'DOE25'!F118</f>
        <v>6617882</v>
      </c>
      <c r="D67" s="23"/>
      <c r="E67" s="23"/>
      <c r="F67" s="23"/>
      <c r="G67" s="23"/>
      <c r="H67" s="90">
        <f t="shared" si="4"/>
        <v>6617882</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108893.77</v>
      </c>
      <c r="D69" s="73">
        <f>'DOE25'!G120</f>
        <v>0</v>
      </c>
      <c r="E69" s="73">
        <f>'DOE25'!H120</f>
        <v>0</v>
      </c>
      <c r="F69" s="73">
        <f>'DOE25'!I120</f>
        <v>0</v>
      </c>
      <c r="G69" s="73">
        <f>'DOE25'!J120</f>
        <v>0</v>
      </c>
      <c r="H69" s="90">
        <f t="shared" si="4"/>
        <v>108893.77</v>
      </c>
      <c r="I69"/>
    </row>
    <row r="70" spans="1:9" ht="12" thickTop="1" x14ac:dyDescent="0.2">
      <c r="A70" s="28" t="s">
        <v>252</v>
      </c>
      <c r="B70" s="2"/>
      <c r="C70" s="97">
        <f>SUM(C66:C69)</f>
        <v>31086880.879999999</v>
      </c>
      <c r="D70" s="97">
        <f>D69</f>
        <v>0</v>
      </c>
      <c r="E70" s="97">
        <f>E69</f>
        <v>0</v>
      </c>
      <c r="F70" s="97">
        <f>F69</f>
        <v>0</v>
      </c>
      <c r="G70" s="97">
        <f>G69</f>
        <v>0</v>
      </c>
      <c r="H70" s="90">
        <f t="shared" si="4"/>
        <v>31086880.879999999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462659.09</v>
      </c>
      <c r="D72" s="23" t="s">
        <v>288</v>
      </c>
      <c r="E72" s="23" t="s">
        <v>288</v>
      </c>
      <c r="F72" s="73">
        <f>'DOE25'!I123</f>
        <v>0</v>
      </c>
      <c r="G72" s="23" t="s">
        <v>288</v>
      </c>
      <c r="H72" s="90">
        <f t="shared" si="4"/>
        <v>462659.09</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509957.25</v>
      </c>
      <c r="D74" s="23"/>
      <c r="E74" s="23"/>
      <c r="F74" s="23"/>
      <c r="G74" s="23"/>
      <c r="H74" s="90">
        <f t="shared" si="4"/>
        <v>509957.25</v>
      </c>
      <c r="I74"/>
    </row>
    <row r="75" spans="1:9" x14ac:dyDescent="0.2">
      <c r="A75" s="1" t="s">
        <v>256</v>
      </c>
      <c r="B75" s="6">
        <v>3230</v>
      </c>
      <c r="C75" s="73">
        <f>'DOE25'!F126</f>
        <v>282642.84999999998</v>
      </c>
      <c r="D75" s="23" t="s">
        <v>288</v>
      </c>
      <c r="E75" s="23" t="s">
        <v>288</v>
      </c>
      <c r="F75" s="23" t="s">
        <v>288</v>
      </c>
      <c r="G75" s="23" t="s">
        <v>288</v>
      </c>
      <c r="H75" s="90">
        <f t="shared" si="4"/>
        <v>282642.84999999998</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123290.83</v>
      </c>
      <c r="E77" s="73">
        <f>SUM('DOE25'!H131:H135)</f>
        <v>10591.98</v>
      </c>
      <c r="F77" s="73">
        <f>SUM('DOE25'!I131:I135)</f>
        <v>0</v>
      </c>
      <c r="G77" s="73">
        <f>SUM('DOE25'!J131:J135)</f>
        <v>0</v>
      </c>
      <c r="H77" s="90">
        <f t="shared" si="4"/>
        <v>133882.81</v>
      </c>
      <c r="I77"/>
    </row>
    <row r="78" spans="1:9" ht="12.75" thickTop="1" thickBot="1" x14ac:dyDescent="0.25">
      <c r="A78" s="28" t="s">
        <v>259</v>
      </c>
      <c r="B78" s="6"/>
      <c r="C78" s="93">
        <f>SUM(C72:C77)</f>
        <v>1255259.19</v>
      </c>
      <c r="D78" s="93">
        <f>SUM(D72:D77)</f>
        <v>123290.83</v>
      </c>
      <c r="E78" s="93">
        <f>SUM(E72:E77)</f>
        <v>10591.98</v>
      </c>
      <c r="F78" s="93">
        <f>SUM(F72:F77)</f>
        <v>0</v>
      </c>
      <c r="G78" s="93">
        <f>SUM(G72:G77)</f>
        <v>0</v>
      </c>
      <c r="H78" s="90">
        <f t="shared" si="4"/>
        <v>1389142</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32342140.07</v>
      </c>
      <c r="D81" s="93">
        <f>SUM(D79:D80)+D78+D70</f>
        <v>123290.83</v>
      </c>
      <c r="E81" s="93">
        <f>SUM(E79:E80)+E78+E70</f>
        <v>10591.98</v>
      </c>
      <c r="F81" s="93">
        <f>SUM(F79:F80)+F78+F70</f>
        <v>0</v>
      </c>
      <c r="G81" s="93">
        <f>SUM(G79:G80)+G78+G70</f>
        <v>0</v>
      </c>
      <c r="H81" s="93">
        <f t="shared" si="4"/>
        <v>32476022.879999999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441686.9</v>
      </c>
      <c r="D88" s="253">
        <f>SUM('DOE25'!G153:G162)</f>
        <v>2493004.84</v>
      </c>
      <c r="E88" s="253">
        <f>SUM('DOE25'!H153:H162)</f>
        <v>5073915.87</v>
      </c>
      <c r="F88" s="253">
        <f>SUM('DOE25'!I153:I162)</f>
        <v>0</v>
      </c>
      <c r="G88" s="23" t="s">
        <v>288</v>
      </c>
      <c r="H88" s="90">
        <f t="shared" si="5"/>
        <v>8008607.6099999994</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441686.9</v>
      </c>
      <c r="D91" s="94">
        <f>SUM(D85:D90)</f>
        <v>2493004.84</v>
      </c>
      <c r="E91" s="94">
        <f>SUM(E85:E90)</f>
        <v>5073915.87</v>
      </c>
      <c r="F91" s="94">
        <f>SUM(F85:F90)</f>
        <v>0</v>
      </c>
      <c r="G91" s="23" t="s">
        <v>288</v>
      </c>
      <c r="H91" s="90">
        <f t="shared" si="5"/>
        <v>8008607.6099999994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90">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87777011.120000005</v>
      </c>
      <c r="D104" s="68">
        <f>D63+D81+D91+D103</f>
        <v>2722264.6399999997</v>
      </c>
      <c r="E104" s="68">
        <f>E63+E81+E91+E103</f>
        <v>5101574.95</v>
      </c>
      <c r="F104" s="68">
        <f>F63+F81+F91+F103</f>
        <v>0</v>
      </c>
      <c r="G104" s="68">
        <f>G63+G81+G103</f>
        <v>1268.29</v>
      </c>
      <c r="H104" s="68">
        <f t="shared" si="5"/>
        <v>95602119.000000015</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43082124.299999997</v>
      </c>
      <c r="D109" s="23" t="s">
        <v>288</v>
      </c>
      <c r="E109" s="73">
        <f>('DOE25'!L277)+('DOE25'!L296)+('DOE25'!L315)</f>
        <v>2119805.25</v>
      </c>
      <c r="F109" s="23" t="s">
        <v>288</v>
      </c>
      <c r="G109" s="23" t="s">
        <v>288</v>
      </c>
      <c r="H109" s="90">
        <f t="shared" ref="H109:H115" si="6">SUM(C109:G109)</f>
        <v>45201929.549999997</v>
      </c>
    </row>
    <row r="110" spans="1:8" x14ac:dyDescent="0.2">
      <c r="A110" t="s">
        <v>198</v>
      </c>
      <c r="B110" s="31" t="s">
        <v>199</v>
      </c>
      <c r="C110" s="73">
        <f>('DOE25'!L199)+('DOE25'!L217)+('DOE25'!L235)</f>
        <v>19705762.050000004</v>
      </c>
      <c r="D110" s="23" t="s">
        <v>288</v>
      </c>
      <c r="E110" s="73">
        <f>('DOE25'!L278)+('DOE25'!L297)+('DOE25'!L316)</f>
        <v>844390.49</v>
      </c>
      <c r="F110" s="23" t="s">
        <v>288</v>
      </c>
      <c r="G110" s="23" t="s">
        <v>288</v>
      </c>
      <c r="H110" s="90">
        <f t="shared" si="6"/>
        <v>20550152.540000003</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320511.13</v>
      </c>
      <c r="D112" s="23" t="s">
        <v>288</v>
      </c>
      <c r="E112" s="73">
        <f>+('DOE25'!L280)+('DOE25'!L299)+('DOE25'!L318)</f>
        <v>25559.54</v>
      </c>
      <c r="F112" s="23" t="s">
        <v>288</v>
      </c>
      <c r="G112" s="23" t="s">
        <v>288</v>
      </c>
      <c r="H112" s="90">
        <f t="shared" si="6"/>
        <v>346070.67</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72874.569999999992</v>
      </c>
      <c r="D114" s="23" t="s">
        <v>288</v>
      </c>
      <c r="E114" s="73">
        <f>+ SUM('DOE25'!L334:L336)</f>
        <v>91783.939999999988</v>
      </c>
      <c r="F114" s="23" t="s">
        <v>288</v>
      </c>
      <c r="G114" s="23" t="s">
        <v>288</v>
      </c>
      <c r="H114" s="90">
        <f t="shared" si="6"/>
        <v>164658.50999999998</v>
      </c>
    </row>
    <row r="115" spans="1:8" ht="12.75" thickTop="1" thickBot="1" x14ac:dyDescent="0.25">
      <c r="A115" s="32" t="s">
        <v>205</v>
      </c>
      <c r="C115" s="68">
        <f>SUM(C109:C114)</f>
        <v>63181272.050000004</v>
      </c>
      <c r="D115" s="68">
        <f>SUM(D109:D114)</f>
        <v>0</v>
      </c>
      <c r="E115" s="68">
        <f>SUM(E109:E114)</f>
        <v>3081539.22</v>
      </c>
      <c r="F115" s="68">
        <f>SUM(F109:F114)</f>
        <v>0</v>
      </c>
      <c r="G115" s="68">
        <f>SUM(G109:G114)</f>
        <v>0</v>
      </c>
      <c r="H115" s="68">
        <f t="shared" si="6"/>
        <v>66262811.270000003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6258347.7000000002</v>
      </c>
      <c r="D118" s="23" t="s">
        <v>288</v>
      </c>
      <c r="E118" s="73">
        <f>+('DOE25'!L282)+('DOE25'!L301)+('DOE25'!L320)</f>
        <v>1203955.23</v>
      </c>
      <c r="F118" s="23" t="s">
        <v>288</v>
      </c>
      <c r="G118" s="23" t="s">
        <v>288</v>
      </c>
      <c r="H118" s="90">
        <f t="shared" ref="H118:H145" si="7">SUM(C118:G118)</f>
        <v>7462302.9299999997</v>
      </c>
    </row>
    <row r="119" spans="1:8" x14ac:dyDescent="0.2">
      <c r="A119" t="s">
        <v>208</v>
      </c>
      <c r="B119" s="31" t="s">
        <v>209</v>
      </c>
      <c r="C119" s="73">
        <f>('DOE25'!L204)+('DOE25'!L222)+('DOE25'!L240)</f>
        <v>1838591.4500000002</v>
      </c>
      <c r="D119" s="23" t="s">
        <v>288</v>
      </c>
      <c r="E119" s="73">
        <f>+('DOE25'!L283)+('DOE25'!L302)+('DOE25'!L321)</f>
        <v>651394.10000000009</v>
      </c>
      <c r="F119" s="23" t="s">
        <v>288</v>
      </c>
      <c r="G119" s="23" t="s">
        <v>288</v>
      </c>
      <c r="H119" s="90">
        <f t="shared" si="7"/>
        <v>2489985.5500000003</v>
      </c>
    </row>
    <row r="120" spans="1:8" x14ac:dyDescent="0.2">
      <c r="A120" t="s">
        <v>210</v>
      </c>
      <c r="B120" s="31" t="s">
        <v>211</v>
      </c>
      <c r="C120" s="73">
        <f>('DOE25'!L205)+('DOE25'!L223)+('DOE25'!L241)</f>
        <v>1266772.44</v>
      </c>
      <c r="D120" s="23" t="s">
        <v>288</v>
      </c>
      <c r="E120" s="73">
        <f>+('DOE25'!L284)+('DOE25'!L303)+('DOE25'!L322)</f>
        <v>0</v>
      </c>
      <c r="F120" s="23" t="s">
        <v>288</v>
      </c>
      <c r="G120" s="23" t="s">
        <v>288</v>
      </c>
      <c r="H120" s="90">
        <f t="shared" si="7"/>
        <v>1266772.44</v>
      </c>
    </row>
    <row r="121" spans="1:8" x14ac:dyDescent="0.2">
      <c r="A121" t="s">
        <v>212</v>
      </c>
      <c r="B121" s="31" t="s">
        <v>213</v>
      </c>
      <c r="C121" s="73">
        <f>('DOE25'!L206)+('DOE25'!L224)+('DOE25'!L242)</f>
        <v>3647645.9800000004</v>
      </c>
      <c r="D121" s="23" t="s">
        <v>288</v>
      </c>
      <c r="E121" s="73">
        <f>+('DOE25'!L285)+('DOE25'!L304)+('DOE25'!L323)</f>
        <v>0</v>
      </c>
      <c r="F121" s="23" t="s">
        <v>288</v>
      </c>
      <c r="G121" s="23" t="s">
        <v>288</v>
      </c>
      <c r="H121" s="90">
        <f t="shared" si="7"/>
        <v>3647645.9800000004</v>
      </c>
    </row>
    <row r="122" spans="1:8" x14ac:dyDescent="0.2">
      <c r="A122" t="s">
        <v>214</v>
      </c>
      <c r="B122" s="31" t="s">
        <v>215</v>
      </c>
      <c r="C122" s="73">
        <f>('DOE25'!L207)+('DOE25'!L225)+('DOE25'!L243)</f>
        <v>868573.8</v>
      </c>
      <c r="D122" s="23" t="s">
        <v>288</v>
      </c>
      <c r="E122" s="73">
        <f>+('DOE25'!L286)+('DOE25'!L305)+('DOE25'!L324)</f>
        <v>1749.06</v>
      </c>
      <c r="F122" s="23" t="s">
        <v>288</v>
      </c>
      <c r="G122" s="23" t="s">
        <v>288</v>
      </c>
      <c r="H122" s="90">
        <f t="shared" si="7"/>
        <v>870322.8600000001</v>
      </c>
    </row>
    <row r="123" spans="1:8" x14ac:dyDescent="0.2">
      <c r="A123" t="s">
        <v>216</v>
      </c>
      <c r="B123" s="31" t="s">
        <v>217</v>
      </c>
      <c r="C123" s="73">
        <f>('DOE25'!L208)+('DOE25'!L226)+('DOE25'!L244)</f>
        <v>5012413.5</v>
      </c>
      <c r="D123" s="23" t="s">
        <v>288</v>
      </c>
      <c r="E123" s="73">
        <f>+('DOE25'!L287)+('DOE25'!L306)+('DOE25'!L325)</f>
        <v>80747.899999999994</v>
      </c>
      <c r="F123" s="23" t="s">
        <v>288</v>
      </c>
      <c r="G123" s="23" t="s">
        <v>288</v>
      </c>
      <c r="H123" s="90">
        <f t="shared" si="7"/>
        <v>5093161.4000000004</v>
      </c>
    </row>
    <row r="124" spans="1:8" x14ac:dyDescent="0.2">
      <c r="A124" t="s">
        <v>218</v>
      </c>
      <c r="B124" s="31" t="s">
        <v>219</v>
      </c>
      <c r="C124" s="73">
        <f>('DOE25'!L209)+('DOE25'!L227)+('DOE25'!L245+'DOE25'!L255)</f>
        <v>4032521.17</v>
      </c>
      <c r="D124" s="23" t="s">
        <v>288</v>
      </c>
      <c r="E124" s="73">
        <f>+('DOE25'!L288)+('DOE25'!L307)+('DOE25'!L326)</f>
        <v>67571.03</v>
      </c>
      <c r="F124" s="23" t="s">
        <v>288</v>
      </c>
      <c r="G124" s="23" t="s">
        <v>288</v>
      </c>
      <c r="H124" s="90">
        <f t="shared" si="7"/>
        <v>4100092.1999999997</v>
      </c>
    </row>
    <row r="125" spans="1:8" x14ac:dyDescent="0.2">
      <c r="A125" t="s">
        <v>220</v>
      </c>
      <c r="B125" s="31" t="s">
        <v>221</v>
      </c>
      <c r="C125" s="73">
        <f>('DOE25'!L210)+('DOE25'!L228)+('DOE25'!L246)</f>
        <v>81177.5</v>
      </c>
      <c r="D125" s="23" t="s">
        <v>288</v>
      </c>
      <c r="E125" s="73">
        <f>+('DOE25'!L289)+('DOE25'!L308)+('DOE25'!L327)</f>
        <v>0</v>
      </c>
      <c r="F125" s="23" t="s">
        <v>288</v>
      </c>
      <c r="G125" s="23" t="s">
        <v>288</v>
      </c>
      <c r="H125" s="90">
        <f t="shared" si="7"/>
        <v>81177.5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1810893.7300000004</v>
      </c>
      <c r="E127" s="23" t="s">
        <v>288</v>
      </c>
      <c r="F127" s="23" t="s">
        <v>288</v>
      </c>
      <c r="G127" s="23" t="s">
        <v>288</v>
      </c>
      <c r="H127" s="90">
        <f t="shared" si="7"/>
        <v>1810893.7300000004</v>
      </c>
    </row>
    <row r="128" spans="1:8" ht="12.75" thickTop="1" thickBot="1" x14ac:dyDescent="0.25">
      <c r="A128" s="32" t="s">
        <v>226</v>
      </c>
      <c r="C128" s="68">
        <f>SUM(C118:C127)</f>
        <v>23006043.539999999</v>
      </c>
      <c r="D128" s="68">
        <f>SUM(D118:D127)</f>
        <v>1810893.7300000004</v>
      </c>
      <c r="E128" s="68">
        <f>SUM(E118:E127)</f>
        <v>2005417.32</v>
      </c>
      <c r="F128" s="68">
        <f>SUM(F118:F127)</f>
        <v>0</v>
      </c>
      <c r="G128" s="68">
        <f>SUM(G118:G127)</f>
        <v>0</v>
      </c>
      <c r="H128" s="68">
        <f t="shared" si="7"/>
        <v>26822354.59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1758809.78</v>
      </c>
      <c r="D131" s="23" t="s">
        <v>288</v>
      </c>
      <c r="E131" s="92">
        <f>'DOE25'!L342</f>
        <v>0</v>
      </c>
      <c r="F131" s="23" t="s">
        <v>288</v>
      </c>
      <c r="G131" s="23" t="s">
        <v>288</v>
      </c>
      <c r="H131" s="90">
        <f t="shared" si="7"/>
        <v>1758809.78</v>
      </c>
    </row>
    <row r="132" spans="1:8" x14ac:dyDescent="0.2">
      <c r="A132" t="s">
        <v>230</v>
      </c>
      <c r="B132" s="31">
        <v>5120</v>
      </c>
      <c r="C132" s="73">
        <f>'DOE25'!L262</f>
        <v>340753.14</v>
      </c>
      <c r="D132" s="23" t="s">
        <v>288</v>
      </c>
      <c r="E132" s="92">
        <f>'DOE25'!L343</f>
        <v>0</v>
      </c>
      <c r="F132" s="23" t="s">
        <v>288</v>
      </c>
      <c r="G132" s="23" t="s">
        <v>288</v>
      </c>
      <c r="H132" s="90">
        <f t="shared" si="7"/>
        <v>340753.14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1268.29</v>
      </c>
      <c r="D138" s="23" t="s">
        <v>288</v>
      </c>
      <c r="E138" s="23" t="s">
        <v>288</v>
      </c>
      <c r="F138" s="23" t="s">
        <v>288</v>
      </c>
      <c r="G138" s="23" t="s">
        <v>288</v>
      </c>
      <c r="H138" s="90">
        <f t="shared" si="7"/>
        <v>1268.29</v>
      </c>
    </row>
    <row r="139" spans="1:8" x14ac:dyDescent="0.2">
      <c r="A139" t="s">
        <v>239</v>
      </c>
      <c r="B139" s="31">
        <v>5252</v>
      </c>
      <c r="C139" s="73">
        <f>'DOE25'!L402</f>
        <v>0</v>
      </c>
      <c r="D139" s="23" t="s">
        <v>288</v>
      </c>
      <c r="E139" s="23" t="s">
        <v>288</v>
      </c>
      <c r="F139" s="23" t="s">
        <v>288</v>
      </c>
      <c r="G139" s="23" t="s">
        <v>288</v>
      </c>
      <c r="H139" s="90">
        <f t="shared" si="7"/>
        <v>0</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-1268.29</v>
      </c>
      <c r="D141" s="23" t="s">
        <v>288</v>
      </c>
      <c r="E141" s="23" t="s">
        <v>288</v>
      </c>
      <c r="F141" s="23" t="s">
        <v>288</v>
      </c>
      <c r="G141" s="23" t="s">
        <v>288</v>
      </c>
      <c r="H141" s="90">
        <f t="shared" si="7"/>
        <v>-1268.29</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2099562.92</v>
      </c>
      <c r="D144" s="98">
        <f>SUM(D130:D143)</f>
        <v>0</v>
      </c>
      <c r="E144" s="98">
        <f>SUM(E130:E143)</f>
        <v>0</v>
      </c>
      <c r="F144" s="98">
        <f>SUM(F130:F143)</f>
        <v>0</v>
      </c>
      <c r="G144" s="98">
        <f>SUM(G130:G143)</f>
        <v>0</v>
      </c>
      <c r="H144" s="98">
        <f t="shared" si="7"/>
        <v>2099562.92</v>
      </c>
    </row>
    <row r="145" spans="1:9" ht="12.75" thickTop="1" thickBot="1" x14ac:dyDescent="0.25">
      <c r="A145" s="32" t="s">
        <v>244</v>
      </c>
      <c r="C145" s="68">
        <f>(C115+C128+C144)</f>
        <v>88286878.510000005</v>
      </c>
      <c r="D145" s="68">
        <f>(D115+D128+D144)</f>
        <v>1810893.7300000004</v>
      </c>
      <c r="E145" s="68">
        <f>(E115+E128+E144)</f>
        <v>5086956.54</v>
      </c>
      <c r="F145" s="68">
        <f>(F115+F128+F144)</f>
        <v>0</v>
      </c>
      <c r="G145" s="68">
        <f>(G115+G128+G144)</f>
        <v>0</v>
      </c>
      <c r="H145" s="68">
        <f t="shared" si="7"/>
        <v>95184728.780000016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S53" sqref="S5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Derry Cooperative</v>
      </c>
    </row>
    <row r="3" spans="1:4" x14ac:dyDescent="0.2">
      <c r="B3" s="137" t="s">
        <v>1799</v>
      </c>
    </row>
    <row r="4" spans="1:4" x14ac:dyDescent="0.2">
      <c r="B4" t="s">
        <v>61</v>
      </c>
      <c r="C4" s="129">
        <f>IF('DOE25'!F666+'DOE25'!F671=0,0,ROUND('DOE25'!F673,0))</f>
        <v>18817</v>
      </c>
    </row>
    <row r="5" spans="1:4" x14ac:dyDescent="0.2">
      <c r="B5" t="s">
        <v>700</v>
      </c>
      <c r="C5" s="129">
        <f>IF('DOE25'!G666+'DOE25'!G671=0,0,ROUND('DOE25'!G673,0))</f>
        <v>18623</v>
      </c>
    </row>
    <row r="6" spans="1:4" x14ac:dyDescent="0.2">
      <c r="B6" t="s">
        <v>62</v>
      </c>
      <c r="C6" s="129">
        <f>IF('DOE25'!H666+'DOE25'!H671=0,0,ROUND('DOE25'!H673,0))</f>
        <v>0</v>
      </c>
    </row>
    <row r="7" spans="1:4" x14ac:dyDescent="0.2">
      <c r="B7" t="s">
        <v>701</v>
      </c>
      <c r="C7" s="129">
        <f>IF('DOE25'!I666+'DOE25'!I671=0,0,ROUND('DOE25'!I673,0))</f>
        <v>18749</v>
      </c>
    </row>
    <row r="9" spans="1:4" x14ac:dyDescent="0.2">
      <c r="A9" s="136" t="s">
        <v>94</v>
      </c>
      <c r="B9" s="137" t="s">
        <v>1800</v>
      </c>
      <c r="C9" s="131" t="s">
        <v>720</v>
      </c>
      <c r="D9" s="131" t="s">
        <v>721</v>
      </c>
    </row>
    <row r="10" spans="1:4" x14ac:dyDescent="0.2">
      <c r="A10">
        <v>1100</v>
      </c>
      <c r="B10" t="s">
        <v>702</v>
      </c>
      <c r="C10" s="129">
        <f>ROUND('DOE25'!L198+'DOE25'!L216+'DOE25'!L234+'DOE25'!L277+'DOE25'!L296+'DOE25'!L315,0)</f>
        <v>45201930</v>
      </c>
      <c r="D10" s="132">
        <f>ROUND((C10/$C$28)*100,1)</f>
        <v>48.4</v>
      </c>
    </row>
    <row r="11" spans="1:4" x14ac:dyDescent="0.2">
      <c r="A11">
        <v>1200</v>
      </c>
      <c r="B11" t="s">
        <v>703</v>
      </c>
      <c r="C11" s="129">
        <f>ROUND('DOE25'!L199+'DOE25'!L217+'DOE25'!L235+'DOE25'!L278+'DOE25'!L297+'DOE25'!L316,0)</f>
        <v>20550153</v>
      </c>
      <c r="D11" s="132">
        <f>ROUND((C11/$C$28)*100,1)</f>
        <v>22</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346071</v>
      </c>
      <c r="D13" s="132">
        <f>ROUND((C13/$C$28)*100,1)</f>
        <v>0.4</v>
      </c>
    </row>
    <row r="14" spans="1:4" x14ac:dyDescent="0.2">
      <c r="D14" s="132"/>
    </row>
    <row r="15" spans="1:4" x14ac:dyDescent="0.2">
      <c r="A15">
        <v>2100</v>
      </c>
      <c r="B15" t="s">
        <v>706</v>
      </c>
      <c r="C15" s="129">
        <f>ROUND('DOE25'!L203+'DOE25'!L221+'DOE25'!L239+'DOE25'!L282+'DOE25'!L301+'DOE25'!L320,0)</f>
        <v>7462303</v>
      </c>
      <c r="D15" s="132">
        <f t="shared" ref="D15:D27" si="0">ROUND((C15/$C$28)*100,1)</f>
        <v>8</v>
      </c>
    </row>
    <row r="16" spans="1:4" x14ac:dyDescent="0.2">
      <c r="A16">
        <v>2200</v>
      </c>
      <c r="B16" t="s">
        <v>707</v>
      </c>
      <c r="C16" s="129">
        <f>ROUND('DOE25'!L204+'DOE25'!L222+'DOE25'!L240+'DOE25'!L283+'DOE25'!L302+'DOE25'!L321,0)</f>
        <v>2489986</v>
      </c>
      <c r="D16" s="132">
        <f t="shared" si="0"/>
        <v>2.7</v>
      </c>
    </row>
    <row r="17" spans="1:4" x14ac:dyDescent="0.2">
      <c r="A17" s="133" t="s">
        <v>723</v>
      </c>
      <c r="B17" t="s">
        <v>738</v>
      </c>
      <c r="C17" s="129">
        <f>ROUND('DOE25'!L205+'DOE25'!L210+'DOE25'!L223+'DOE25'!L228+'DOE25'!L241+'DOE25'!L246+'DOE25'!L284+'DOE25'!L289+'DOE25'!L303+'DOE25'!L308+'DOE25'!L322+'DOE25'!L327,0)</f>
        <v>1347950</v>
      </c>
      <c r="D17" s="132">
        <f t="shared" si="0"/>
        <v>1.4</v>
      </c>
    </row>
    <row r="18" spans="1:4" x14ac:dyDescent="0.2">
      <c r="A18">
        <v>2400</v>
      </c>
      <c r="B18" t="s">
        <v>711</v>
      </c>
      <c r="C18" s="129">
        <f>ROUND('DOE25'!L206+'DOE25'!L224+'DOE25'!L242+'DOE25'!L285+'DOE25'!L304+'DOE25'!L323,0)</f>
        <v>3647646</v>
      </c>
      <c r="D18" s="132">
        <f t="shared" si="0"/>
        <v>3.9</v>
      </c>
    </row>
    <row r="19" spans="1:4" x14ac:dyDescent="0.2">
      <c r="A19">
        <v>2500</v>
      </c>
      <c r="B19" t="s">
        <v>708</v>
      </c>
      <c r="C19" s="129">
        <f>ROUND('DOE25'!L207+'DOE25'!L225+'DOE25'!L243+'DOE25'!L286+'DOE25'!L305+'DOE25'!L324,0)</f>
        <v>870323</v>
      </c>
      <c r="D19" s="132">
        <f t="shared" si="0"/>
        <v>0.9</v>
      </c>
    </row>
    <row r="20" spans="1:4" x14ac:dyDescent="0.2">
      <c r="A20">
        <v>2600</v>
      </c>
      <c r="B20" t="s">
        <v>709</v>
      </c>
      <c r="C20" s="129">
        <f>ROUND('DOE25'!L208+'DOE25'!L226+'DOE25'!L244+'DOE25'!L287+'DOE25'!L306+'DOE25'!L325,0)</f>
        <v>5093161</v>
      </c>
      <c r="D20" s="132">
        <f t="shared" si="0"/>
        <v>5.5</v>
      </c>
    </row>
    <row r="21" spans="1:4" x14ac:dyDescent="0.2">
      <c r="A21">
        <v>2700</v>
      </c>
      <c r="B21" t="s">
        <v>710</v>
      </c>
      <c r="C21" s="129">
        <f>ROUND('DOE25'!L209+'DOE25'!L227+'DOE25'!L245+'DOE25'!L288+'DOE25'!L307+'DOE25'!L326,0)</f>
        <v>4100092</v>
      </c>
      <c r="D21" s="132">
        <f t="shared" si="0"/>
        <v>4.4000000000000004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164659</v>
      </c>
      <c r="D24" s="132">
        <f t="shared" si="0"/>
        <v>0.2</v>
      </c>
    </row>
    <row r="25" spans="1:4" x14ac:dyDescent="0.2">
      <c r="A25">
        <v>5120</v>
      </c>
      <c r="B25" t="s">
        <v>716</v>
      </c>
      <c r="C25" s="129">
        <f>ROUND('DOE25'!L262+'DOE25'!L343,0)</f>
        <v>340753</v>
      </c>
      <c r="D25" s="132">
        <f t="shared" si="0"/>
        <v>0.4</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1704925.03</v>
      </c>
      <c r="D27" s="132">
        <f t="shared" si="0"/>
        <v>1.8</v>
      </c>
    </row>
    <row r="28" spans="1:4" x14ac:dyDescent="0.2">
      <c r="B28" s="136" t="s">
        <v>719</v>
      </c>
      <c r="C28" s="130">
        <f>SUM(C10:C27)</f>
        <v>93319952.030000001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93319952.030000001</v>
      </c>
    </row>
    <row r="31" spans="1:4" x14ac:dyDescent="0.2">
      <c r="B31" s="32"/>
      <c r="C31" s="130"/>
    </row>
    <row r="32" spans="1:4" x14ac:dyDescent="0.2">
      <c r="A32">
        <v>5100</v>
      </c>
      <c r="B32" s="32" t="s">
        <v>726</v>
      </c>
      <c r="C32" s="130">
        <f>ROUND('DOE25'!L261+'DOE25'!L342,0)</f>
        <v>1758810</v>
      </c>
    </row>
    <row r="34" spans="1:4" x14ac:dyDescent="0.2">
      <c r="A34" s="136" t="s">
        <v>94</v>
      </c>
      <c r="B34" s="137" t="s">
        <v>1801</v>
      </c>
      <c r="C34" s="131" t="s">
        <v>720</v>
      </c>
      <c r="D34" s="131" t="s">
        <v>721</v>
      </c>
    </row>
    <row r="35" spans="1:4" x14ac:dyDescent="0.2">
      <c r="A35">
        <v>1100</v>
      </c>
      <c r="B35" s="71" t="s">
        <v>727</v>
      </c>
      <c r="C35" s="129">
        <f>ROUND('DOE25'!F60+'DOE25'!G60+'DOE25'!H60+'DOE25'!I60+'DOE25'!J60,0)</f>
        <v>53651633</v>
      </c>
      <c r="D35" s="132">
        <f t="shared" ref="D35:D40" si="1">ROUND((C35/$C$41)*100,1)</f>
        <v>56.2</v>
      </c>
    </row>
    <row r="36" spans="1:4" x14ac:dyDescent="0.2">
      <c r="B36" s="71" t="s">
        <v>739</v>
      </c>
      <c r="C36" s="129">
        <f>SUM('DOE25'!F112:J112)-SUM('DOE25'!G97:G110)+('DOE25'!F175+'DOE25'!F176+'DOE25'!I175+'DOE25'!I176)-C35</f>
        <v>1359886.5399999991</v>
      </c>
      <c r="D36" s="132">
        <f t="shared" si="1"/>
        <v>1.4</v>
      </c>
    </row>
    <row r="37" spans="1:4" x14ac:dyDescent="0.2">
      <c r="A37" s="133" t="s">
        <v>835</v>
      </c>
      <c r="B37" s="71" t="s">
        <v>728</v>
      </c>
      <c r="C37" s="129">
        <f>ROUND('DOE25'!F117+'DOE25'!F118,0)</f>
        <v>30977987</v>
      </c>
      <c r="D37" s="132">
        <f t="shared" si="1"/>
        <v>32.4</v>
      </c>
    </row>
    <row r="38" spans="1:4" x14ac:dyDescent="0.2">
      <c r="A38" s="133" t="s">
        <v>734</v>
      </c>
      <c r="B38" s="71" t="s">
        <v>729</v>
      </c>
      <c r="C38" s="129">
        <f>ROUND(SUM('DOE25'!F140:J140)-SUM('DOE25'!F117:F119),0)</f>
        <v>1498036</v>
      </c>
      <c r="D38" s="132">
        <f t="shared" si="1"/>
        <v>1.6</v>
      </c>
    </row>
    <row r="39" spans="1:4" x14ac:dyDescent="0.2">
      <c r="A39">
        <v>4000</v>
      </c>
      <c r="B39" s="71" t="s">
        <v>730</v>
      </c>
      <c r="C39" s="129">
        <f>ROUND('DOE25'!F170+'DOE25'!G170+'DOE25'!H170+'DOE25'!I170,0)</f>
        <v>8008608</v>
      </c>
      <c r="D39" s="132">
        <f t="shared" si="1"/>
        <v>8.4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95496150.539999992</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R44" sqref="R44"/>
    </sheetView>
  </sheetViews>
  <sheetFormatPr defaultRowHeight="11.25" x14ac:dyDescent="0.2"/>
  <cols>
    <col min="1" max="1" width="10.33203125" customWidth="1"/>
    <col min="14" max="14" width="6.1640625" customWidth="1"/>
  </cols>
  <sheetData>
    <row r="1" spans="1:13" ht="16.5" thickTop="1" x14ac:dyDescent="0.25">
      <c r="A1" s="320" t="s">
        <v>766</v>
      </c>
      <c r="B1" s="321"/>
      <c r="C1" s="321"/>
      <c r="D1" s="321"/>
      <c r="E1" s="321"/>
      <c r="F1" s="321"/>
      <c r="G1" s="321"/>
      <c r="H1" s="321"/>
      <c r="I1" s="321"/>
      <c r="J1" s="155"/>
      <c r="K1" s="155"/>
      <c r="L1" s="155"/>
      <c r="M1" s="156"/>
    </row>
    <row r="2" spans="1:13" ht="12.75" x14ac:dyDescent="0.2">
      <c r="A2" s="325" t="s">
        <v>763</v>
      </c>
      <c r="B2" s="326"/>
      <c r="C2" s="326"/>
      <c r="D2" s="326"/>
      <c r="E2" s="326"/>
      <c r="F2" s="323" t="str">
        <f>'DOE25'!A2</f>
        <v>Derry Cooperative</v>
      </c>
      <c r="G2" s="324"/>
      <c r="H2" s="324"/>
      <c r="I2" s="324"/>
      <c r="M2" s="157"/>
    </row>
    <row r="3" spans="1:13" x14ac:dyDescent="0.2">
      <c r="A3" s="158" t="s">
        <v>764</v>
      </c>
      <c r="B3" s="131" t="s">
        <v>765</v>
      </c>
      <c r="C3" s="305" t="s">
        <v>767</v>
      </c>
      <c r="D3" s="305"/>
      <c r="E3" s="305"/>
      <c r="F3" s="305"/>
      <c r="G3" s="305"/>
      <c r="H3" s="305"/>
      <c r="I3" s="305"/>
      <c r="J3" s="305"/>
      <c r="K3" s="305"/>
      <c r="L3" s="305"/>
      <c r="M3" s="322"/>
    </row>
    <row r="4" spans="1:13" x14ac:dyDescent="0.2">
      <c r="A4" s="159"/>
      <c r="B4" s="150"/>
      <c r="C4" s="313"/>
      <c r="D4" s="313"/>
      <c r="E4" s="313"/>
      <c r="F4" s="313"/>
      <c r="G4" s="313"/>
      <c r="H4" s="313"/>
      <c r="I4" s="313"/>
      <c r="J4" s="313"/>
      <c r="K4" s="313"/>
      <c r="L4" s="313"/>
      <c r="M4" s="314"/>
    </row>
    <row r="5" spans="1:13" x14ac:dyDescent="0.2">
      <c r="A5" s="159"/>
      <c r="B5" s="150"/>
      <c r="C5" s="313"/>
      <c r="D5" s="313"/>
      <c r="E5" s="313"/>
      <c r="F5" s="313"/>
      <c r="G5" s="313"/>
      <c r="H5" s="313"/>
      <c r="I5" s="313"/>
      <c r="J5" s="313"/>
      <c r="K5" s="313"/>
      <c r="L5" s="313"/>
      <c r="M5" s="314"/>
    </row>
    <row r="6" spans="1:13" x14ac:dyDescent="0.2">
      <c r="A6" s="159"/>
      <c r="B6" s="150"/>
      <c r="C6" s="313"/>
      <c r="D6" s="313"/>
      <c r="E6" s="313"/>
      <c r="F6" s="313"/>
      <c r="G6" s="313"/>
      <c r="H6" s="313"/>
      <c r="I6" s="313"/>
      <c r="J6" s="313"/>
      <c r="K6" s="313"/>
      <c r="L6" s="313"/>
      <c r="M6" s="314"/>
    </row>
    <row r="7" spans="1:13" x14ac:dyDescent="0.2">
      <c r="A7" s="159"/>
      <c r="B7" s="150"/>
      <c r="C7" s="313"/>
      <c r="D7" s="313"/>
      <c r="E7" s="313"/>
      <c r="F7" s="313"/>
      <c r="G7" s="313"/>
      <c r="H7" s="313"/>
      <c r="I7" s="313"/>
      <c r="J7" s="313"/>
      <c r="K7" s="313"/>
      <c r="L7" s="313"/>
      <c r="M7" s="314"/>
    </row>
    <row r="8" spans="1:13" x14ac:dyDescent="0.2">
      <c r="A8" s="159"/>
      <c r="B8" s="150"/>
      <c r="C8" s="313"/>
      <c r="D8" s="313"/>
      <c r="E8" s="313"/>
      <c r="F8" s="313"/>
      <c r="G8" s="313"/>
      <c r="H8" s="313"/>
      <c r="I8" s="313"/>
      <c r="J8" s="313"/>
      <c r="K8" s="313"/>
      <c r="L8" s="313"/>
      <c r="M8" s="314"/>
    </row>
    <row r="9" spans="1:13" x14ac:dyDescent="0.2">
      <c r="A9" s="159"/>
      <c r="B9" s="150"/>
      <c r="C9" s="313"/>
      <c r="D9" s="313"/>
      <c r="E9" s="313"/>
      <c r="F9" s="313"/>
      <c r="G9" s="313"/>
      <c r="H9" s="313"/>
      <c r="I9" s="313"/>
      <c r="J9" s="313"/>
      <c r="K9" s="313"/>
      <c r="L9" s="313"/>
      <c r="M9" s="314"/>
    </row>
    <row r="10" spans="1:13" x14ac:dyDescent="0.2">
      <c r="A10" s="159"/>
      <c r="B10" s="150"/>
      <c r="C10" s="313"/>
      <c r="D10" s="313"/>
      <c r="E10" s="313"/>
      <c r="F10" s="313"/>
      <c r="G10" s="313"/>
      <c r="H10" s="313"/>
      <c r="I10" s="313"/>
      <c r="J10" s="313"/>
      <c r="K10" s="313"/>
      <c r="L10" s="313"/>
      <c r="M10" s="314"/>
    </row>
    <row r="11" spans="1:13" x14ac:dyDescent="0.2">
      <c r="A11" s="159"/>
      <c r="B11" s="150"/>
      <c r="C11" s="313"/>
      <c r="D11" s="313"/>
      <c r="E11" s="313"/>
      <c r="F11" s="313"/>
      <c r="G11" s="313"/>
      <c r="H11" s="313"/>
      <c r="I11" s="313"/>
      <c r="J11" s="313"/>
      <c r="K11" s="313"/>
      <c r="L11" s="313"/>
      <c r="M11" s="314"/>
    </row>
    <row r="12" spans="1:13" x14ac:dyDescent="0.2">
      <c r="A12" s="159"/>
      <c r="B12" s="150"/>
      <c r="C12" s="313"/>
      <c r="D12" s="313"/>
      <c r="E12" s="313"/>
      <c r="F12" s="313"/>
      <c r="G12" s="313"/>
      <c r="H12" s="313"/>
      <c r="I12" s="313"/>
      <c r="J12" s="313"/>
      <c r="K12" s="313"/>
      <c r="L12" s="313"/>
      <c r="M12" s="314"/>
    </row>
    <row r="13" spans="1:13" x14ac:dyDescent="0.2">
      <c r="A13" s="159"/>
      <c r="B13" s="150"/>
      <c r="C13" s="313"/>
      <c r="D13" s="313"/>
      <c r="E13" s="313"/>
      <c r="F13" s="313"/>
      <c r="G13" s="313"/>
      <c r="H13" s="313"/>
      <c r="I13" s="313"/>
      <c r="J13" s="313"/>
      <c r="K13" s="313"/>
      <c r="L13" s="313"/>
      <c r="M13" s="314"/>
    </row>
    <row r="14" spans="1:13" x14ac:dyDescent="0.2">
      <c r="A14" s="159"/>
      <c r="B14" s="150"/>
      <c r="C14" s="313"/>
      <c r="D14" s="313"/>
      <c r="E14" s="313"/>
      <c r="F14" s="313"/>
      <c r="G14" s="313"/>
      <c r="H14" s="313"/>
      <c r="I14" s="313"/>
      <c r="J14" s="313"/>
      <c r="K14" s="313"/>
      <c r="L14" s="313"/>
      <c r="M14" s="314"/>
    </row>
    <row r="15" spans="1:13" x14ac:dyDescent="0.2">
      <c r="A15" s="159"/>
      <c r="B15" s="150"/>
      <c r="C15" s="313"/>
      <c r="D15" s="313"/>
      <c r="E15" s="313"/>
      <c r="F15" s="313"/>
      <c r="G15" s="313"/>
      <c r="H15" s="313"/>
      <c r="I15" s="313"/>
      <c r="J15" s="313"/>
      <c r="K15" s="313"/>
      <c r="L15" s="313"/>
      <c r="M15" s="314"/>
    </row>
    <row r="16" spans="1:13" x14ac:dyDescent="0.2">
      <c r="A16" s="159"/>
      <c r="B16" s="150"/>
      <c r="C16" s="313"/>
      <c r="D16" s="313"/>
      <c r="E16" s="313"/>
      <c r="F16" s="313"/>
      <c r="G16" s="313"/>
      <c r="H16" s="313"/>
      <c r="I16" s="313"/>
      <c r="J16" s="313"/>
      <c r="K16" s="313"/>
      <c r="L16" s="313"/>
      <c r="M16" s="314"/>
    </row>
    <row r="17" spans="1:256" x14ac:dyDescent="0.2">
      <c r="A17" s="159"/>
      <c r="B17" s="150"/>
      <c r="C17" s="313"/>
      <c r="D17" s="313"/>
      <c r="E17" s="313"/>
      <c r="F17" s="313"/>
      <c r="G17" s="313"/>
      <c r="H17" s="313"/>
      <c r="I17" s="313"/>
      <c r="J17" s="313"/>
      <c r="K17" s="313"/>
      <c r="L17" s="313"/>
      <c r="M17" s="314"/>
    </row>
    <row r="18" spans="1:256" x14ac:dyDescent="0.2">
      <c r="A18" s="159"/>
      <c r="B18" s="150"/>
      <c r="C18" s="313"/>
      <c r="D18" s="313"/>
      <c r="E18" s="313"/>
      <c r="F18" s="313"/>
      <c r="G18" s="313"/>
      <c r="H18" s="313"/>
      <c r="I18" s="313"/>
      <c r="J18" s="313"/>
      <c r="K18" s="313"/>
      <c r="L18" s="313"/>
      <c r="M18" s="314"/>
    </row>
    <row r="19" spans="1:256" x14ac:dyDescent="0.2">
      <c r="A19" s="159"/>
      <c r="B19" s="150"/>
      <c r="C19" s="313"/>
      <c r="D19" s="313"/>
      <c r="E19" s="313"/>
      <c r="F19" s="313"/>
      <c r="G19" s="313"/>
      <c r="H19" s="313"/>
      <c r="I19" s="313"/>
      <c r="J19" s="313"/>
      <c r="K19" s="313"/>
      <c r="L19" s="313"/>
      <c r="M19" s="314"/>
    </row>
    <row r="20" spans="1:256" x14ac:dyDescent="0.2">
      <c r="A20" s="159"/>
      <c r="B20" s="150"/>
      <c r="C20" s="313"/>
      <c r="D20" s="313"/>
      <c r="E20" s="313"/>
      <c r="F20" s="313"/>
      <c r="G20" s="313"/>
      <c r="H20" s="313"/>
      <c r="I20" s="313"/>
      <c r="J20" s="313"/>
      <c r="K20" s="313"/>
      <c r="L20" s="313"/>
      <c r="M20" s="314"/>
    </row>
    <row r="21" spans="1:256" x14ac:dyDescent="0.2">
      <c r="A21" s="159"/>
      <c r="B21" s="150"/>
      <c r="C21" s="313"/>
      <c r="D21" s="313"/>
      <c r="E21" s="313"/>
      <c r="F21" s="313"/>
      <c r="G21" s="313"/>
      <c r="H21" s="313"/>
      <c r="I21" s="313"/>
      <c r="J21" s="313"/>
      <c r="K21" s="313"/>
      <c r="L21" s="313"/>
      <c r="M21" s="314"/>
    </row>
    <row r="22" spans="1:256" x14ac:dyDescent="0.2">
      <c r="A22" s="159"/>
      <c r="B22" s="150"/>
      <c r="C22" s="313"/>
      <c r="D22" s="313"/>
      <c r="E22" s="313"/>
      <c r="F22" s="313"/>
      <c r="G22" s="313"/>
      <c r="H22" s="313"/>
      <c r="I22" s="313"/>
      <c r="J22" s="313"/>
      <c r="K22" s="313"/>
      <c r="L22" s="313"/>
      <c r="M22" s="314"/>
    </row>
    <row r="23" spans="1:256" x14ac:dyDescent="0.2">
      <c r="A23" s="159"/>
      <c r="B23" s="150"/>
      <c r="C23" s="313"/>
      <c r="D23" s="313"/>
      <c r="E23" s="313"/>
      <c r="F23" s="313"/>
      <c r="G23" s="313"/>
      <c r="H23" s="313"/>
      <c r="I23" s="313"/>
      <c r="J23" s="313"/>
      <c r="K23" s="313"/>
      <c r="L23" s="313"/>
      <c r="M23" s="314"/>
    </row>
    <row r="24" spans="1:256" x14ac:dyDescent="0.2">
      <c r="A24" s="159"/>
      <c r="B24" s="150"/>
      <c r="C24" s="313"/>
      <c r="D24" s="313"/>
      <c r="E24" s="313"/>
      <c r="F24" s="313"/>
      <c r="G24" s="313"/>
      <c r="H24" s="313"/>
      <c r="I24" s="313"/>
      <c r="J24" s="313"/>
      <c r="K24" s="313"/>
      <c r="L24" s="313"/>
      <c r="M24" s="314"/>
    </row>
    <row r="25" spans="1:256" x14ac:dyDescent="0.2">
      <c r="A25" s="159"/>
      <c r="B25" s="150"/>
      <c r="C25" s="313"/>
      <c r="D25" s="313"/>
      <c r="E25" s="313"/>
      <c r="F25" s="313"/>
      <c r="G25" s="313"/>
      <c r="H25" s="313"/>
      <c r="I25" s="313"/>
      <c r="J25" s="313"/>
      <c r="K25" s="313"/>
      <c r="L25" s="313"/>
      <c r="M25" s="314"/>
    </row>
    <row r="26" spans="1:256" x14ac:dyDescent="0.2">
      <c r="A26" s="159"/>
      <c r="B26" s="150"/>
      <c r="C26" s="313"/>
      <c r="D26" s="313"/>
      <c r="E26" s="313"/>
      <c r="F26" s="313"/>
      <c r="G26" s="313"/>
      <c r="H26" s="313"/>
      <c r="I26" s="313"/>
      <c r="J26" s="313"/>
      <c r="K26" s="313"/>
      <c r="L26" s="313"/>
      <c r="M26" s="314"/>
    </row>
    <row r="27" spans="1:256" x14ac:dyDescent="0.2">
      <c r="A27" s="159"/>
      <c r="B27" s="150"/>
      <c r="C27" s="313"/>
      <c r="D27" s="313"/>
      <c r="E27" s="313"/>
      <c r="F27" s="313"/>
      <c r="G27" s="313"/>
      <c r="H27" s="313"/>
      <c r="I27" s="313"/>
      <c r="J27" s="313"/>
      <c r="K27" s="313"/>
      <c r="L27" s="313"/>
      <c r="M27" s="314"/>
    </row>
    <row r="28" spans="1:256" x14ac:dyDescent="0.2">
      <c r="A28" s="159"/>
      <c r="B28" s="150"/>
      <c r="C28" s="313"/>
      <c r="D28" s="313"/>
      <c r="E28" s="313"/>
      <c r="F28" s="313"/>
      <c r="G28" s="313"/>
      <c r="H28" s="313"/>
      <c r="I28" s="313"/>
      <c r="J28" s="313"/>
      <c r="K28" s="313"/>
      <c r="L28" s="313"/>
      <c r="M28" s="314"/>
    </row>
    <row r="29" spans="1:256" x14ac:dyDescent="0.2">
      <c r="A29" s="159"/>
      <c r="B29" s="150"/>
      <c r="C29" s="313"/>
      <c r="D29" s="313"/>
      <c r="E29" s="313"/>
      <c r="F29" s="313"/>
      <c r="G29" s="313"/>
      <c r="H29" s="313"/>
      <c r="I29" s="313"/>
      <c r="J29" s="313"/>
      <c r="K29" s="313"/>
      <c r="L29" s="313"/>
      <c r="M29" s="314"/>
      <c r="N29" s="153"/>
      <c r="O29" s="153"/>
      <c r="P29" s="318"/>
      <c r="Q29" s="318"/>
      <c r="R29" s="318"/>
      <c r="S29" s="318"/>
      <c r="T29" s="318"/>
      <c r="U29" s="318"/>
      <c r="V29" s="318"/>
      <c r="W29" s="318"/>
      <c r="X29" s="318"/>
      <c r="Y29" s="318"/>
      <c r="Z29" s="318"/>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4"/>
      <c r="N30" s="153"/>
      <c r="O30" s="153"/>
      <c r="P30" s="318"/>
      <c r="Q30" s="318"/>
      <c r="R30" s="318"/>
      <c r="S30" s="318"/>
      <c r="T30" s="318"/>
      <c r="U30" s="318"/>
      <c r="V30" s="318"/>
      <c r="W30" s="318"/>
      <c r="X30" s="318"/>
      <c r="Y30" s="318"/>
      <c r="Z30" s="318"/>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4"/>
      <c r="N31" s="153"/>
      <c r="O31" s="153"/>
      <c r="P31" s="318"/>
      <c r="Q31" s="318"/>
      <c r="R31" s="318"/>
      <c r="S31" s="318"/>
      <c r="T31" s="318"/>
      <c r="U31" s="318"/>
      <c r="V31" s="318"/>
      <c r="W31" s="318"/>
      <c r="X31" s="318"/>
      <c r="Y31" s="318"/>
      <c r="Z31" s="318"/>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4"/>
      <c r="N32" s="153"/>
      <c r="O32" s="153"/>
      <c r="P32" s="318"/>
      <c r="Q32" s="318"/>
      <c r="R32" s="318"/>
      <c r="S32" s="318"/>
      <c r="T32" s="318"/>
      <c r="U32" s="318"/>
      <c r="V32" s="318"/>
      <c r="W32" s="318"/>
      <c r="X32" s="318"/>
      <c r="Y32" s="318"/>
      <c r="Z32" s="319"/>
      <c r="AA32" s="159"/>
      <c r="AB32" s="150"/>
      <c r="AC32" s="313"/>
      <c r="AD32" s="313"/>
      <c r="AE32" s="313"/>
      <c r="AF32" s="313"/>
      <c r="AG32" s="313"/>
      <c r="AH32" s="313"/>
      <c r="AI32" s="313"/>
      <c r="AJ32" s="313"/>
      <c r="AK32" s="313"/>
      <c r="AL32" s="313"/>
      <c r="AM32" s="314"/>
      <c r="AN32" s="159"/>
      <c r="AO32" s="150"/>
      <c r="AP32" s="313"/>
      <c r="AQ32" s="313"/>
      <c r="AR32" s="313"/>
      <c r="AS32" s="313"/>
      <c r="AT32" s="313"/>
      <c r="AU32" s="313"/>
      <c r="AV32" s="313"/>
      <c r="AW32" s="313"/>
      <c r="AX32" s="313"/>
      <c r="AY32" s="313"/>
      <c r="AZ32" s="314"/>
      <c r="BA32" s="159"/>
      <c r="BB32" s="150"/>
      <c r="BC32" s="313"/>
      <c r="BD32" s="313"/>
      <c r="BE32" s="313"/>
      <c r="BF32" s="313"/>
      <c r="BG32" s="313"/>
      <c r="BH32" s="313"/>
      <c r="BI32" s="313"/>
      <c r="BJ32" s="313"/>
      <c r="BK32" s="313"/>
      <c r="BL32" s="313"/>
      <c r="BM32" s="314"/>
      <c r="BN32" s="159"/>
      <c r="BO32" s="150"/>
      <c r="BP32" s="313"/>
      <c r="BQ32" s="313"/>
      <c r="BR32" s="313"/>
      <c r="BS32" s="313"/>
      <c r="BT32" s="313"/>
      <c r="BU32" s="313"/>
      <c r="BV32" s="313"/>
      <c r="BW32" s="313"/>
      <c r="BX32" s="313"/>
      <c r="BY32" s="313"/>
      <c r="BZ32" s="314"/>
      <c r="CA32" s="159"/>
      <c r="CB32" s="150"/>
      <c r="CC32" s="313"/>
      <c r="CD32" s="313"/>
      <c r="CE32" s="313"/>
      <c r="CF32" s="313"/>
      <c r="CG32" s="313"/>
      <c r="CH32" s="313"/>
      <c r="CI32" s="313"/>
      <c r="CJ32" s="313"/>
      <c r="CK32" s="313"/>
      <c r="CL32" s="313"/>
      <c r="CM32" s="314"/>
      <c r="CN32" s="159"/>
      <c r="CO32" s="150"/>
      <c r="CP32" s="313"/>
      <c r="CQ32" s="313"/>
      <c r="CR32" s="313"/>
      <c r="CS32" s="313"/>
      <c r="CT32" s="313"/>
      <c r="CU32" s="313"/>
      <c r="CV32" s="313"/>
      <c r="CW32" s="313"/>
      <c r="CX32" s="313"/>
      <c r="CY32" s="313"/>
      <c r="CZ32" s="314"/>
      <c r="DA32" s="159"/>
      <c r="DB32" s="150"/>
      <c r="DC32" s="313"/>
      <c r="DD32" s="313"/>
      <c r="DE32" s="313"/>
      <c r="DF32" s="313"/>
      <c r="DG32" s="313"/>
      <c r="DH32" s="313"/>
      <c r="DI32" s="313"/>
      <c r="DJ32" s="313"/>
      <c r="DK32" s="313"/>
      <c r="DL32" s="313"/>
      <c r="DM32" s="314"/>
      <c r="DN32" s="159"/>
      <c r="DO32" s="150"/>
      <c r="DP32" s="313"/>
      <c r="DQ32" s="313"/>
      <c r="DR32" s="313"/>
      <c r="DS32" s="313"/>
      <c r="DT32" s="313"/>
      <c r="DU32" s="313"/>
      <c r="DV32" s="313"/>
      <c r="DW32" s="313"/>
      <c r="DX32" s="313"/>
      <c r="DY32" s="313"/>
      <c r="DZ32" s="314"/>
      <c r="EA32" s="159"/>
      <c r="EB32" s="150"/>
      <c r="EC32" s="313"/>
      <c r="ED32" s="313"/>
      <c r="EE32" s="313"/>
      <c r="EF32" s="313"/>
      <c r="EG32" s="313"/>
      <c r="EH32" s="313"/>
      <c r="EI32" s="313"/>
      <c r="EJ32" s="313"/>
      <c r="EK32" s="313"/>
      <c r="EL32" s="313"/>
      <c r="EM32" s="314"/>
      <c r="EN32" s="159"/>
      <c r="EO32" s="150"/>
      <c r="EP32" s="313"/>
      <c r="EQ32" s="313"/>
      <c r="ER32" s="313"/>
      <c r="ES32" s="313"/>
      <c r="ET32" s="313"/>
      <c r="EU32" s="313"/>
      <c r="EV32" s="313"/>
      <c r="EW32" s="313"/>
      <c r="EX32" s="313"/>
      <c r="EY32" s="313"/>
      <c r="EZ32" s="314"/>
      <c r="FA32" s="159"/>
      <c r="FB32" s="150"/>
      <c r="FC32" s="313"/>
      <c r="FD32" s="313"/>
      <c r="FE32" s="313"/>
      <c r="FF32" s="313"/>
      <c r="FG32" s="313"/>
      <c r="FH32" s="313"/>
      <c r="FI32" s="313"/>
      <c r="FJ32" s="313"/>
      <c r="FK32" s="313"/>
      <c r="FL32" s="313"/>
      <c r="FM32" s="314"/>
      <c r="FN32" s="159"/>
      <c r="FO32" s="150"/>
      <c r="FP32" s="313"/>
      <c r="FQ32" s="313"/>
      <c r="FR32" s="313"/>
      <c r="FS32" s="313"/>
      <c r="FT32" s="313"/>
      <c r="FU32" s="313"/>
      <c r="FV32" s="313"/>
      <c r="FW32" s="313"/>
      <c r="FX32" s="313"/>
      <c r="FY32" s="313"/>
      <c r="FZ32" s="314"/>
      <c r="GA32" s="159"/>
      <c r="GB32" s="150"/>
      <c r="GC32" s="313"/>
      <c r="GD32" s="313"/>
      <c r="GE32" s="313"/>
      <c r="GF32" s="313"/>
      <c r="GG32" s="313"/>
      <c r="GH32" s="313"/>
      <c r="GI32" s="313"/>
      <c r="GJ32" s="313"/>
      <c r="GK32" s="313"/>
      <c r="GL32" s="313"/>
      <c r="GM32" s="314"/>
      <c r="GN32" s="159"/>
      <c r="GO32" s="150"/>
      <c r="GP32" s="313"/>
      <c r="GQ32" s="313"/>
      <c r="GR32" s="313"/>
      <c r="GS32" s="313"/>
      <c r="GT32" s="313"/>
      <c r="GU32" s="313"/>
      <c r="GV32" s="313"/>
      <c r="GW32" s="313"/>
      <c r="GX32" s="313"/>
      <c r="GY32" s="313"/>
      <c r="GZ32" s="314"/>
      <c r="HA32" s="159"/>
      <c r="HB32" s="150"/>
      <c r="HC32" s="313"/>
      <c r="HD32" s="313"/>
      <c r="HE32" s="313"/>
      <c r="HF32" s="313"/>
      <c r="HG32" s="313"/>
      <c r="HH32" s="313"/>
      <c r="HI32" s="313"/>
      <c r="HJ32" s="313"/>
      <c r="HK32" s="313"/>
      <c r="HL32" s="313"/>
      <c r="HM32" s="314"/>
      <c r="HN32" s="159"/>
      <c r="HO32" s="150"/>
      <c r="HP32" s="313"/>
      <c r="HQ32" s="313"/>
      <c r="HR32" s="313"/>
      <c r="HS32" s="313"/>
      <c r="HT32" s="313"/>
      <c r="HU32" s="313"/>
      <c r="HV32" s="313"/>
      <c r="HW32" s="313"/>
      <c r="HX32" s="313"/>
      <c r="HY32" s="313"/>
      <c r="HZ32" s="314"/>
      <c r="IA32" s="159"/>
      <c r="IB32" s="150"/>
      <c r="IC32" s="313"/>
      <c r="ID32" s="313"/>
      <c r="IE32" s="313"/>
      <c r="IF32" s="313"/>
      <c r="IG32" s="313"/>
      <c r="IH32" s="313"/>
      <c r="II32" s="313"/>
      <c r="IJ32" s="313"/>
      <c r="IK32" s="313"/>
      <c r="IL32" s="313"/>
      <c r="IM32" s="314"/>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4"/>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4"/>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4"/>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4"/>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4"/>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4"/>
      <c r="N38" s="153"/>
      <c r="O38" s="153"/>
      <c r="P38" s="318"/>
      <c r="Q38" s="318"/>
      <c r="R38" s="318"/>
      <c r="S38" s="318"/>
      <c r="T38" s="318"/>
      <c r="U38" s="318"/>
      <c r="V38" s="318"/>
      <c r="W38" s="318"/>
      <c r="X38" s="318"/>
      <c r="Y38" s="318"/>
      <c r="Z38" s="318"/>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4"/>
      <c r="N39" s="153"/>
      <c r="O39" s="153"/>
      <c r="P39" s="318"/>
      <c r="Q39" s="318"/>
      <c r="R39" s="318"/>
      <c r="S39" s="318"/>
      <c r="T39" s="318"/>
      <c r="U39" s="318"/>
      <c r="V39" s="318"/>
      <c r="W39" s="318"/>
      <c r="X39" s="318"/>
      <c r="Y39" s="318"/>
      <c r="Z39" s="318"/>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4"/>
      <c r="N40" s="153"/>
      <c r="O40" s="153"/>
      <c r="P40" s="318"/>
      <c r="Q40" s="318"/>
      <c r="R40" s="318"/>
      <c r="S40" s="318"/>
      <c r="T40" s="318"/>
      <c r="U40" s="318"/>
      <c r="V40" s="318"/>
      <c r="W40" s="318"/>
      <c r="X40" s="318"/>
      <c r="Y40" s="318"/>
      <c r="Z40" s="318"/>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4"/>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4"/>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4"/>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4"/>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4"/>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4"/>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4"/>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4"/>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4"/>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4"/>
    </row>
    <row r="51" spans="1:256" x14ac:dyDescent="0.2">
      <c r="A51" s="159"/>
      <c r="B51" s="150"/>
      <c r="C51" s="313"/>
      <c r="D51" s="313"/>
      <c r="E51" s="313"/>
      <c r="F51" s="313"/>
      <c r="G51" s="313"/>
      <c r="H51" s="313"/>
      <c r="I51" s="313"/>
      <c r="J51" s="313"/>
      <c r="K51" s="313"/>
      <c r="L51" s="313"/>
      <c r="M51" s="314"/>
    </row>
    <row r="52" spans="1:256" x14ac:dyDescent="0.2">
      <c r="A52" s="159"/>
      <c r="B52" s="150"/>
      <c r="C52" s="313"/>
      <c r="D52" s="313"/>
      <c r="E52" s="313"/>
      <c r="F52" s="313"/>
      <c r="G52" s="313"/>
      <c r="H52" s="313"/>
      <c r="I52" s="313"/>
      <c r="J52" s="313"/>
      <c r="K52" s="313"/>
      <c r="L52" s="313"/>
      <c r="M52" s="314"/>
    </row>
    <row r="53" spans="1:256" x14ac:dyDescent="0.2">
      <c r="A53" s="159"/>
      <c r="B53" s="150"/>
      <c r="C53" s="313"/>
      <c r="D53" s="313"/>
      <c r="E53" s="313"/>
      <c r="F53" s="313"/>
      <c r="G53" s="313"/>
      <c r="H53" s="313"/>
      <c r="I53" s="313"/>
      <c r="J53" s="313"/>
      <c r="K53" s="313"/>
      <c r="L53" s="313"/>
      <c r="M53" s="314"/>
    </row>
    <row r="54" spans="1:256" x14ac:dyDescent="0.2">
      <c r="A54" s="159"/>
      <c r="B54" s="150"/>
      <c r="C54" s="313"/>
      <c r="D54" s="313"/>
      <c r="E54" s="313"/>
      <c r="F54" s="313"/>
      <c r="G54" s="313"/>
      <c r="H54" s="313"/>
      <c r="I54" s="313"/>
      <c r="J54" s="313"/>
      <c r="K54" s="313"/>
      <c r="L54" s="313"/>
      <c r="M54" s="314"/>
    </row>
    <row r="55" spans="1:256" x14ac:dyDescent="0.2">
      <c r="A55" s="159"/>
      <c r="B55" s="150"/>
      <c r="C55" s="313"/>
      <c r="D55" s="313"/>
      <c r="E55" s="313"/>
      <c r="F55" s="313"/>
      <c r="G55" s="313"/>
      <c r="H55" s="313"/>
      <c r="I55" s="313"/>
      <c r="J55" s="313"/>
      <c r="K55" s="313"/>
      <c r="L55" s="313"/>
      <c r="M55" s="314"/>
    </row>
    <row r="56" spans="1:256" x14ac:dyDescent="0.2">
      <c r="A56" s="159"/>
      <c r="B56" s="150"/>
      <c r="C56" s="313"/>
      <c r="D56" s="313"/>
      <c r="E56" s="313"/>
      <c r="F56" s="313"/>
      <c r="G56" s="313"/>
      <c r="H56" s="313"/>
      <c r="I56" s="313"/>
      <c r="J56" s="313"/>
      <c r="K56" s="313"/>
      <c r="L56" s="313"/>
      <c r="M56" s="314"/>
    </row>
    <row r="57" spans="1:256" x14ac:dyDescent="0.2">
      <c r="A57" s="159"/>
      <c r="B57" s="150"/>
      <c r="C57" s="313"/>
      <c r="D57" s="313"/>
      <c r="E57" s="313"/>
      <c r="F57" s="313"/>
      <c r="G57" s="313"/>
      <c r="H57" s="313"/>
      <c r="I57" s="313"/>
      <c r="J57" s="313"/>
      <c r="K57" s="313"/>
      <c r="L57" s="313"/>
      <c r="M57" s="314"/>
    </row>
    <row r="58" spans="1:256" x14ac:dyDescent="0.2">
      <c r="A58" s="159"/>
      <c r="B58" s="150"/>
      <c r="C58" s="313"/>
      <c r="D58" s="313"/>
      <c r="E58" s="313"/>
      <c r="F58" s="313"/>
      <c r="G58" s="313"/>
      <c r="H58" s="313"/>
      <c r="I58" s="313"/>
      <c r="J58" s="313"/>
      <c r="K58" s="313"/>
      <c r="L58" s="313"/>
      <c r="M58" s="314"/>
    </row>
    <row r="59" spans="1:256" x14ac:dyDescent="0.2">
      <c r="A59" s="159"/>
      <c r="B59" s="150"/>
      <c r="C59" s="313"/>
      <c r="D59" s="313"/>
      <c r="E59" s="313"/>
      <c r="F59" s="313"/>
      <c r="G59" s="313"/>
      <c r="H59" s="313"/>
      <c r="I59" s="313"/>
      <c r="J59" s="313"/>
      <c r="K59" s="313"/>
      <c r="L59" s="313"/>
      <c r="M59" s="314"/>
    </row>
    <row r="60" spans="1:256" x14ac:dyDescent="0.2">
      <c r="A60" s="159"/>
      <c r="B60" s="150"/>
      <c r="C60" s="313"/>
      <c r="D60" s="313"/>
      <c r="E60" s="313"/>
      <c r="F60" s="313"/>
      <c r="G60" s="313"/>
      <c r="H60" s="313"/>
      <c r="I60" s="313"/>
      <c r="J60" s="313"/>
      <c r="K60" s="313"/>
      <c r="L60" s="313"/>
      <c r="M60" s="314"/>
    </row>
    <row r="61" spans="1:256" x14ac:dyDescent="0.2">
      <c r="A61" s="159"/>
      <c r="B61" s="150"/>
      <c r="C61" s="313"/>
      <c r="D61" s="313"/>
      <c r="E61" s="313"/>
      <c r="F61" s="313"/>
      <c r="G61" s="313"/>
      <c r="H61" s="313"/>
      <c r="I61" s="313"/>
      <c r="J61" s="313"/>
      <c r="K61" s="313"/>
      <c r="L61" s="313"/>
      <c r="M61" s="314"/>
    </row>
    <row r="62" spans="1:256" x14ac:dyDescent="0.2">
      <c r="A62" s="159"/>
      <c r="B62" s="150"/>
      <c r="C62" s="313"/>
      <c r="D62" s="313"/>
      <c r="E62" s="313"/>
      <c r="F62" s="313"/>
      <c r="G62" s="313"/>
      <c r="H62" s="313"/>
      <c r="I62" s="313"/>
      <c r="J62" s="313"/>
      <c r="K62" s="313"/>
      <c r="L62" s="313"/>
      <c r="M62" s="314"/>
    </row>
    <row r="63" spans="1:256" x14ac:dyDescent="0.2">
      <c r="A63" s="159"/>
      <c r="B63" s="150"/>
      <c r="C63" s="313"/>
      <c r="D63" s="313"/>
      <c r="E63" s="313"/>
      <c r="F63" s="313"/>
      <c r="G63" s="313"/>
      <c r="H63" s="313"/>
      <c r="I63" s="313"/>
      <c r="J63" s="313"/>
      <c r="K63" s="313"/>
      <c r="L63" s="313"/>
      <c r="M63" s="314"/>
    </row>
    <row r="64" spans="1:256" x14ac:dyDescent="0.2">
      <c r="A64" s="159"/>
      <c r="B64" s="150"/>
      <c r="C64" s="313"/>
      <c r="D64" s="313"/>
      <c r="E64" s="313"/>
      <c r="F64" s="313"/>
      <c r="G64" s="313"/>
      <c r="H64" s="313"/>
      <c r="I64" s="313"/>
      <c r="J64" s="313"/>
      <c r="K64" s="313"/>
      <c r="L64" s="313"/>
      <c r="M64" s="314"/>
    </row>
    <row r="65" spans="1:13" x14ac:dyDescent="0.2">
      <c r="A65" s="159"/>
      <c r="B65" s="150"/>
      <c r="C65" s="313"/>
      <c r="D65" s="313"/>
      <c r="E65" s="313"/>
      <c r="F65" s="313"/>
      <c r="G65" s="313"/>
      <c r="H65" s="313"/>
      <c r="I65" s="313"/>
      <c r="J65" s="313"/>
      <c r="K65" s="313"/>
      <c r="L65" s="313"/>
      <c r="M65" s="314"/>
    </row>
    <row r="66" spans="1:13" x14ac:dyDescent="0.2">
      <c r="A66" s="159"/>
      <c r="B66" s="150"/>
      <c r="C66" s="313"/>
      <c r="D66" s="313"/>
      <c r="E66" s="313"/>
      <c r="F66" s="313"/>
      <c r="G66" s="313"/>
      <c r="H66" s="313"/>
      <c r="I66" s="313"/>
      <c r="J66" s="313"/>
      <c r="K66" s="313"/>
      <c r="L66" s="313"/>
      <c r="M66" s="314"/>
    </row>
    <row r="67" spans="1:13" x14ac:dyDescent="0.2">
      <c r="A67" s="159"/>
      <c r="B67" s="150"/>
      <c r="C67" s="313"/>
      <c r="D67" s="313"/>
      <c r="E67" s="313"/>
      <c r="F67" s="313"/>
      <c r="G67" s="313"/>
      <c r="H67" s="313"/>
      <c r="I67" s="313"/>
      <c r="J67" s="313"/>
      <c r="K67" s="313"/>
      <c r="L67" s="313"/>
      <c r="M67" s="314"/>
    </row>
    <row r="68" spans="1:13" x14ac:dyDescent="0.2">
      <c r="A68" s="159"/>
      <c r="B68" s="150"/>
      <c r="C68" s="313"/>
      <c r="D68" s="313"/>
      <c r="E68" s="313"/>
      <c r="F68" s="313"/>
      <c r="G68" s="313"/>
      <c r="H68" s="313"/>
      <c r="I68" s="313"/>
      <c r="J68" s="313"/>
      <c r="K68" s="313"/>
      <c r="L68" s="313"/>
      <c r="M68" s="314"/>
    </row>
    <row r="69" spans="1:13" x14ac:dyDescent="0.2">
      <c r="A69" s="159"/>
      <c r="B69" s="150"/>
      <c r="C69" s="313"/>
      <c r="D69" s="313"/>
      <c r="E69" s="313"/>
      <c r="F69" s="313"/>
      <c r="G69" s="313"/>
      <c r="H69" s="313"/>
      <c r="I69" s="313"/>
      <c r="J69" s="313"/>
      <c r="K69" s="313"/>
      <c r="L69" s="313"/>
      <c r="M69" s="314"/>
    </row>
    <row r="70" spans="1:13" ht="12" thickBot="1" x14ac:dyDescent="0.25">
      <c r="A70" s="160"/>
      <c r="B70" s="161"/>
      <c r="C70" s="315"/>
      <c r="D70" s="315"/>
      <c r="E70" s="315"/>
      <c r="F70" s="315"/>
      <c r="G70" s="315"/>
      <c r="H70" s="315"/>
      <c r="I70" s="315"/>
      <c r="J70" s="315"/>
      <c r="K70" s="315"/>
      <c r="L70" s="315"/>
      <c r="M70" s="316"/>
    </row>
    <row r="71" spans="1:13" ht="12" thickTop="1" x14ac:dyDescent="0.2">
      <c r="A71" s="151"/>
      <c r="B71" s="151"/>
      <c r="C71" s="152"/>
      <c r="D71" s="152"/>
      <c r="E71" s="152"/>
      <c r="F71" s="152"/>
      <c r="G71" s="152"/>
      <c r="H71" s="152"/>
      <c r="I71" s="152"/>
      <c r="J71" s="152"/>
      <c r="K71" s="152"/>
      <c r="L71" s="152"/>
    </row>
    <row r="72" spans="1:13" ht="12.75" x14ac:dyDescent="0.2">
      <c r="A72" s="317" t="s">
        <v>832</v>
      </c>
      <c r="B72" s="317"/>
      <c r="C72" s="317"/>
      <c r="D72" s="317"/>
      <c r="E72" s="317"/>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61</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f>IFERROR(SMALL($T$4:$T$75,ROWS($T$4:T4)),"")</f>
        <v>16</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f>IFERROR(SMALL($I$4:$I$325,ROWS($I$4:I5)),"")</f>
        <v>62</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f>IFERROR(SMALL($T$4:$T$75,ROWS($T$4:T5)),"")</f>
        <v>68</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f>IFERROR(SMALL($I$4:$I$325,ROWS($I$4:I6)),"")</f>
        <v>71</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f>IFERROR(SMALL($I$4:$I$325,ROWS($I$4:I7)),"")</f>
        <v>81</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f>IFERROR(SMALL($I$4:$I$325,ROWS($I$4:I8)),"")</f>
        <v>108</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f>IFERROR(SMALL($I$4:$I$325,ROWS($I$4:I9)),"")</f>
        <v>274</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f>IF('School Level Expenditures'!$B$2='School Tables'!L19,'School Tables'!S19,"")</f>
        <v>16</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f>IF('School Level Expenditures'!$B$2=A64,'School Tables'!H64,"")</f>
        <v>61</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f>IF('School Level Expenditures'!$B$2=A65,'School Tables'!H65,"")</f>
        <v>62</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f>IF('School Level Expenditures'!$B$2='School Tables'!L71,'School Tables'!S71,"")</f>
        <v>68</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f>IF('School Level Expenditures'!$B$2=A74,'School Tables'!H74,"")</f>
        <v>71</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f>IF('School Level Expenditures'!$B$2=A84,'School Tables'!H84,"")</f>
        <v>81</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f>IF('School Level Expenditures'!$B$2=A111,'School Tables'!H111,"")</f>
        <v>108</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f>IF('School Level Expenditures'!$B$2=A277,'School Tables'!H277,"")</f>
        <v>274</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2022-09-23T15:34:11Z</cp:lastPrinted>
  <dcterms:created xsi:type="dcterms:W3CDTF">1997-12-04T19:04:30Z</dcterms:created>
  <dcterms:modified xsi:type="dcterms:W3CDTF">2022-12-19T14:58:23Z</dcterms:modified>
</cp:coreProperties>
</file>