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53EE6091-7ECE-4EE4-862F-0329F1CDDE6C}"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6" i="13" l="1"/>
  <c r="F15" i="13"/>
  <c r="F14" i="13"/>
  <c r="D11" i="13"/>
  <c r="H98" i="1"/>
  <c r="H138" i="2" l="1"/>
  <c r="H139" i="2"/>
  <c r="H140" i="2"/>
  <c r="H97" i="2"/>
  <c r="H98" i="2"/>
  <c r="H99" i="2"/>
  <c r="H100" i="2"/>
  <c r="H102" i="2"/>
  <c r="H94" i="2"/>
  <c r="H93" i="2"/>
  <c r="H90" i="2"/>
  <c r="H73" i="2"/>
  <c r="H74" i="2"/>
  <c r="H79" i="2"/>
  <c r="H80" i="2"/>
  <c r="H59" i="2"/>
  <c r="H49" i="2"/>
  <c r="H43" i="2"/>
  <c r="H44" i="2"/>
  <c r="H45" i="2"/>
  <c r="H42" i="2"/>
  <c r="H40" i="2"/>
  <c r="H39" i="2"/>
  <c r="H38" i="2"/>
  <c r="H36" i="2"/>
  <c r="H35" i="2"/>
  <c r="H34" i="2"/>
  <c r="H22" i="2"/>
  <c r="H23" i="2"/>
  <c r="H24" i="2"/>
  <c r="H25" i="2"/>
  <c r="H26" i="2"/>
  <c r="H27" i="2"/>
  <c r="H28" i="2"/>
  <c r="H29" i="2"/>
  <c r="H21" i="2"/>
  <c r="H9" i="2"/>
  <c r="H10" i="2"/>
  <c r="H11" i="2"/>
  <c r="H12" i="2"/>
  <c r="H13" i="2"/>
  <c r="H14" i="2"/>
  <c r="H15" i="2"/>
  <c r="H16" i="2"/>
  <c r="H8"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H48" i="2" s="1"/>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C85" i="2" s="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H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C59" i="2"/>
  <c r="D59" i="2"/>
  <c r="E59" i="2"/>
  <c r="F59" i="2"/>
  <c r="D60" i="2"/>
  <c r="H60" i="2" s="1"/>
  <c r="C61" i="2"/>
  <c r="D61" i="2"/>
  <c r="E61" i="2"/>
  <c r="H61" i="2" s="1"/>
  <c r="F61" i="2"/>
  <c r="C66" i="2"/>
  <c r="H66" i="2" s="1"/>
  <c r="C67" i="2"/>
  <c r="H67" i="2" s="1"/>
  <c r="C69" i="2"/>
  <c r="H69" i="2" s="1"/>
  <c r="D69" i="2"/>
  <c r="D70" i="2" s="1"/>
  <c r="E69" i="2"/>
  <c r="E70" i="2" s="1"/>
  <c r="F69" i="2"/>
  <c r="F70" i="2" s="1"/>
  <c r="G69" i="2"/>
  <c r="G70" i="2" s="1"/>
  <c r="C72" i="2"/>
  <c r="H72" i="2" s="1"/>
  <c r="F72" i="2"/>
  <c r="C73" i="2"/>
  <c r="F73" i="2"/>
  <c r="C74" i="2"/>
  <c r="C75" i="2"/>
  <c r="H75" i="2" s="1"/>
  <c r="C76" i="2"/>
  <c r="H76" i="2" s="1"/>
  <c r="E76" i="2"/>
  <c r="F76" i="2"/>
  <c r="C77" i="2"/>
  <c r="D77" i="2"/>
  <c r="E77" i="2"/>
  <c r="F77" i="2"/>
  <c r="G77" i="2"/>
  <c r="G78" i="2" s="1"/>
  <c r="C79" i="2"/>
  <c r="D79" i="2"/>
  <c r="E79" i="2"/>
  <c r="C80" i="2"/>
  <c r="E80" i="2"/>
  <c r="F85" i="2"/>
  <c r="C87" i="2"/>
  <c r="E87" i="2"/>
  <c r="H87" i="2" s="1"/>
  <c r="F87" i="2"/>
  <c r="C89" i="2"/>
  <c r="D89" i="2"/>
  <c r="E89" i="2"/>
  <c r="H89" i="2" s="1"/>
  <c r="F89" i="2"/>
  <c r="C90" i="2"/>
  <c r="C93" i="2"/>
  <c r="F93" i="2"/>
  <c r="C94" i="2"/>
  <c r="F94" i="2"/>
  <c r="D96" i="2"/>
  <c r="E96" i="2"/>
  <c r="F96" i="2"/>
  <c r="H96" i="2" s="1"/>
  <c r="G96" i="2"/>
  <c r="C97" i="2"/>
  <c r="D97" i="2"/>
  <c r="E97" i="2"/>
  <c r="F97" i="2"/>
  <c r="G97" i="2"/>
  <c r="C98" i="2"/>
  <c r="D98" i="2"/>
  <c r="E98" i="2"/>
  <c r="G98" i="2"/>
  <c r="C99" i="2"/>
  <c r="D99" i="2"/>
  <c r="E99" i="2"/>
  <c r="F99" i="2"/>
  <c r="C100" i="2"/>
  <c r="D100" i="2"/>
  <c r="E100" i="2"/>
  <c r="F100" i="2"/>
  <c r="C101" i="2"/>
  <c r="D101" i="2"/>
  <c r="H101" i="2" s="1"/>
  <c r="E101" i="2"/>
  <c r="F101" i="2"/>
  <c r="C102" i="2"/>
  <c r="D102" i="2"/>
  <c r="E102" i="2"/>
  <c r="F102" i="2"/>
  <c r="C110" i="2"/>
  <c r="E111" i="2"/>
  <c r="E112" i="2"/>
  <c r="D115" i="2"/>
  <c r="F115" i="2"/>
  <c r="G115" i="2"/>
  <c r="E124" i="2"/>
  <c r="E125" i="2"/>
  <c r="F128" i="2"/>
  <c r="G128" i="2"/>
  <c r="C130"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2" i="1"/>
  <c r="H653" i="1"/>
  <c r="G654" i="1"/>
  <c r="H654" i="1"/>
  <c r="H655" i="1"/>
  <c r="H656" i="1"/>
  <c r="I170" i="1"/>
  <c r="H47" i="2" l="1"/>
  <c r="H17" i="2"/>
  <c r="H477" i="1"/>
  <c r="H625" i="1" s="1"/>
  <c r="H58" i="2"/>
  <c r="J652" i="1"/>
  <c r="H85" i="2"/>
  <c r="D78" i="2"/>
  <c r="H77" i="2"/>
  <c r="F170" i="1"/>
  <c r="G477" i="1"/>
  <c r="H143" i="2"/>
  <c r="H137" i="2"/>
  <c r="H135" i="2"/>
  <c r="H132" i="2"/>
  <c r="H113" i="2"/>
  <c r="E120" i="2"/>
  <c r="E121" i="2"/>
  <c r="A40" i="12"/>
  <c r="C119" i="2"/>
  <c r="C125" i="2"/>
  <c r="H125" i="2" s="1"/>
  <c r="C13" i="10"/>
  <c r="C121" i="2"/>
  <c r="D6" i="13"/>
  <c r="C6" i="13" s="1"/>
  <c r="E13" i="13"/>
  <c r="C13" i="13" s="1"/>
  <c r="D15" i="13"/>
  <c r="C15" i="13" s="1"/>
  <c r="C120" i="2"/>
  <c r="C12" i="10"/>
  <c r="C112" i="2"/>
  <c r="H112" i="2" s="1"/>
  <c r="E119" i="2"/>
  <c r="H409" i="1"/>
  <c r="H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H109" i="2" s="1"/>
  <c r="L230" i="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8" i="2" l="1"/>
  <c r="H50" i="2"/>
  <c r="H62" i="2"/>
  <c r="H57" i="2"/>
  <c r="H103" i="2"/>
  <c r="H91" i="2"/>
  <c r="D128" i="2"/>
  <c r="D145" i="2" s="1"/>
  <c r="H127" i="2"/>
  <c r="H114" i="2"/>
  <c r="H120" i="2"/>
  <c r="H121" i="2"/>
  <c r="G24" i="14"/>
  <c r="H24" i="14" s="1"/>
  <c r="I24" i="14" s="1"/>
  <c r="H119" i="2"/>
  <c r="E128" i="2"/>
  <c r="E115" i="2"/>
  <c r="F661" i="1"/>
  <c r="F665" i="1" s="1"/>
  <c r="F668" i="1" s="1"/>
  <c r="I663" i="1"/>
  <c r="C81" i="2"/>
  <c r="H81" i="2" s="1"/>
  <c r="F194" i="1"/>
  <c r="G628" i="1" s="1"/>
  <c r="J62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G673" i="1" s="1"/>
  <c r="C5" i="10" s="1"/>
  <c r="C25" i="13"/>
  <c r="I33" i="13"/>
  <c r="K553" i="1"/>
  <c r="C51" i="2"/>
  <c r="H51" i="2" s="1"/>
  <c r="G632" i="1"/>
  <c r="J632" i="1" s="1"/>
  <c r="G194" i="1"/>
  <c r="G629" i="1" s="1"/>
  <c r="J629" i="1" s="1"/>
  <c r="G627" i="1"/>
  <c r="J627" i="1" s="1"/>
  <c r="J52" i="1"/>
  <c r="H622" i="1" s="1"/>
  <c r="J622" i="1" s="1"/>
  <c r="C38" i="10"/>
  <c r="E145" i="2" l="1"/>
  <c r="H115" i="2"/>
  <c r="C144" i="2"/>
  <c r="H144" i="2" s="1"/>
  <c r="H141" i="2"/>
  <c r="H673" i="1"/>
  <c r="C6" i="10" s="1"/>
  <c r="C104" i="2"/>
  <c r="H104" i="2" s="1"/>
  <c r="H63" i="2"/>
  <c r="F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<sst xmlns="http://schemas.openxmlformats.org/spreadsheetml/2006/main" count="6532" uniqueCount="1804">
  <si>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</si>
  <si>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</si>
  <si>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</si>
  <si>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</si>
  <si>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</si>
  <si>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</si>
  <si>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</si>
  <si>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</si>
  <si>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</si>
  <si>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</si>
  <si>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</si>
  <si>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</si>
  <si>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</si>
  <si>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</si>
  <si>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</si>
  <si>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</si>
  <si>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</si>
  <si>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</si>
  <si>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</si>
  <si>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</si>
  <si>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</si>
  <si>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</si>
  <si>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</si>
  <si>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</si>
  <si>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</si>
  <si>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</si>
  <si>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</si>
  <si>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</si>
  <si>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</si>
  <si>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</si>
  <si>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</si>
  <si>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</si>
  <si>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</si>
  <si>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</si>
  <si>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</si>
  <si>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</si>
  <si>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</si>
  <si>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</si>
  <si>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</si>
  <si>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</si>
  <si>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</si>
  <si>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</si>
  <si>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</si>
  <si>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</si>
  <si>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</si>
  <si>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</si>
  <si>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</si>
  <si>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</si>
  <si>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</si>
  <si>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</si>
  <si>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</si>
  <si>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</si>
  <si>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</si>
  <si>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</si>
  <si>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</si>
  <si>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</si>
  <si>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</si>
  <si>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</si>
  <si>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</si>
  <si>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</si>
  <si>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</si>
  <si>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</si>
  <si>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</si>
  <si>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</si>
  <si>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</si>
  <si>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</si>
  <si>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</si>
  <si>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</si>
  <si>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</si>
  <si>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</si>
  <si>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</si>
  <si>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</si>
  <si>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</si>
  <si>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</si>
  <si>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</si>
  <si>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</si>
  <si>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</si>
  <si>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</si>
  <si>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</si>
  <si>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</si>
  <si>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</si>
  <si>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</si>
  <si>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</si>
  <si>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</si>
  <si>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</si>
  <si>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</si>
  <si>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</si>
  <si>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</si>
  <si>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</si>
  <si>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</si>
  <si>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</si>
  <si>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</si>
  <si>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</si>
  <si>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</si>
  <si>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</si>
  <si>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</si>
  <si>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</si>
  <si>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</si>
  <si>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</si>
  <si>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</si>
  <si>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</si>
  <si>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</si>
  <si>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</si>
  <si>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</si>
  <si>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</si>
  <si>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</si>
  <si>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</si>
  <si>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</si>
  <si>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</si>
  <si>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</si>
  <si>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</si>
  <si>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</si>
  <si>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</si>
  <si>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</si>
  <si>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</si>
  <si>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</si>
  <si>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</si>
  <si>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</si>
  <si>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</si>
  <si>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</si>
  <si>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</si>
  <si>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</si>
  <si>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</si>
  <si>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</si>
  <si>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</si>
  <si>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</si>
  <si>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</si>
  <si>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</si>
  <si>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</si>
  <si>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</si>
  <si>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</si>
  <si>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</si>
  <si>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</si>
  <si>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</si>
  <si>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</si>
  <si>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</si>
  <si>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</si>
  <si>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</si>
  <si>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</si>
  <si>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</si>
  <si>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</si>
  <si>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</si>
  <si>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</si>
  <si>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</si>
  <si>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</si>
  <si>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</si>
  <si>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</si>
  <si>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</si>
  <si>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</si>
  <si>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</si>
  <si>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</si>
  <si>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</si>
  <si>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</si>
  <si>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</si>
  <si>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</si>
  <si>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</si>
  <si>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</si>
  <si>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</si>
  <si>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</si>
  <si>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</si>
  <si>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</si>
  <si>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</si>
  <si>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</si>
  <si>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</si>
  <si>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</si>
  <si>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</si>
  <si>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</si>
  <si>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</si>
  <si>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</si>
  <si>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</si>
  <si>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</si>
  <si>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</si>
  <si>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</si>
  <si>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</si>
  <si>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</si>
  <si>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</si>
  <si>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</si>
  <si>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</si>
  <si>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</si>
  <si>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</si>
  <si>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</si>
  <si>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</si>
  <si>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</si>
  <si>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</si>
  <si>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</si>
  <si>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</si>
  <si>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</si>
  <si>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</si>
  <si>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</si>
  <si>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</si>
  <si>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</si>
  <si>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</si>
  <si>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</si>
  <si>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</si>
  <si>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</si>
  <si>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</si>
  <si>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</si>
  <si>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</si>
  <si>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</si>
  <si>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</si>
  <si>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</si>
  <si>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</si>
  <si>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</si>
  <si>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</si>
  <si>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</si>
  <si>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</si>
  <si>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</si>
  <si>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</si>
  <si>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</si>
  <si>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</si>
  <si>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</si>
  <si>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</si>
  <si>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</si>
  <si>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</si>
  <si>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</si>
  <si>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</si>
  <si>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</si>
  <si>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</si>
  <si>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</si>
  <si>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</si>
  <si>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</si>
  <si>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</si>
  <si>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</si>
  <si>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</si>
  <si>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</si>
  <si>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</si>
  <si>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</si>
  <si>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</si>
  <si>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</si>
  <si>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</si>
  <si>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</si>
  <si>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</si>
  <si>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</si>
  <si>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</si>
  <si>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</si>
  <si>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</si>
  <si>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</si>
  <si>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</si>
  <si>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</si>
  <si>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</si>
  <si>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</si>
  <si>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</si>
  <si>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</si>
  <si>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</si>
  <si>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</si>
  <si>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</si>
  <si>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</si>
  <si>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</si>
  <si>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</si>
  <si>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</si>
  <si>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</si>
  <si>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</si>
  <si>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</si>
  <si>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</si>
  <si>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</si>
  <si>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</si>
  <si>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</si>
  <si>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</si>
  <si>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</si>
  <si>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</si>
  <si>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</si>
  <si>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</si>
  <si>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</si>
  <si>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</si>
  <si>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</si>
  <si>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</si>
  <si>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</si>
  <si>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</si>
  <si>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</si>
  <si>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</si>
  <si>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</si>
  <si>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</si>
  <si>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</si>
  <si>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</si>
  <si>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</si>
  <si>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</si>
  <si>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</si>
  <si>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</si>
  <si>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</si>
  <si>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</si>
  <si>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</si>
  <si>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</si>
  <si>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</si>
  <si>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</si>
  <si>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</si>
  <si>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</si>
  <si>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</si>
  <si>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</si>
  <si>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</si>
  <si>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</si>
  <si>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</si>
  <si>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</si>
  <si>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</si>
  <si>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</si>
  <si>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</si>
  <si>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</si>
  <si>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</si>
  <si>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</si>
  <si>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</si>
  <si>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</si>
  <si>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</si>
  <si>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</si>
  <si>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</si>
  <si>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</si>
  <si>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</si>
  <si>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</si>
  <si>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</si>
  <si>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</si>
  <si>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</si>
  <si>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</si>
  <si>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</si>
  <si>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</si>
  <si>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</si>
  <si>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</si>
  <si>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</si>
  <si>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</si>
  <si>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</si>
  <si>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</si>
  <si>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</si>
  <si>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</si>
  <si>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</si>
  <si>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</si>
  <si>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</si>
  <si>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</si>
  <si>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</si>
  <si>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</si>
  <si>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</si>
  <si>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</si>
  <si>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</si>
  <si>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</si>
  <si>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</si>
  <si>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</si>
  <si>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</si>
  <si>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</si>
  <si>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</si>
  <si>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</si>
  <si>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</si>
  <si>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</si>
  <si>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</si>
  <si>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</si>
  <si>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</si>
  <si>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</si>
  <si>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</si>
  <si>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</si>
  <si>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</si>
  <si>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</si>
  <si>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</si>
  <si>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</si>
  <si>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</si>
  <si>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</si>
  <si>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</si>
  <si>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</si>
  <si>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</si>
  <si>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</si>
  <si>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</si>
  <si>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</si>
  <si>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</si>
  <si>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</si>
  <si>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</si>
  <si>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</si>
  <si>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</si>
  <si>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</si>
  <si>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</si>
  <si>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</si>
  <si>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</si>
  <si>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</si>
  <si>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</si>
  <si>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</si>
  <si>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</si>
  <si>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</si>
  <si>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</si>
  <si>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</si>
  <si>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</si>
  <si>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</si>
  <si>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</si>
  <si>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</si>
  <si>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</si>
  <si>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</si>
  <si>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</si>
  <si>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</si>
  <si>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</si>
  <si>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</si>
  <si>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</si>
  <si>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</si>
  <si>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</si>
  <si>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</si>
  <si>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</si>
  <si>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</si>
  <si>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</si>
  <si>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</si>
  <si>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</si>
  <si>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</si>
  <si>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</si>
  <si>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</si>
  <si>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</si>
  <si>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</si>
  <si>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</si>
  <si>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</si>
  <si>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</si>
  <si>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</si>
  <si>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</si>
  <si>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</si>
  <si>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</si>
  <si>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</si>
  <si>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</si>
  <si>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</si>
  <si>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</si>
  <si>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</si>
  <si>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</si>
  <si>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</si>
  <si>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</si>
  <si>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</si>
  <si>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</si>
  <si>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</si>
  <si>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</si>
  <si>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</si>
  <si>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</si>
  <si>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</si>
  <si>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</si>
  <si>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</si>
  <si>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</si>
  <si>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</si>
  <si>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</si>
  <si>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</si>
  <si>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</si>
  <si>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</si>
  <si>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</si>
  <si>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</si>
  <si>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</si>
  <si>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</si>
  <si>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</si>
  <si>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</si>
  <si>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</si>
  <si>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</si>
  <si>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</si>
  <si>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</si>
  <si>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</si>
  <si>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</si>
  <si>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</si>
  <si>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</si>
  <si>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</si>
  <si>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</si>
  <si>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</si>
  <si>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</si>
  <si>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</si>
  <si>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</si>
  <si>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</si>
  <si>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</si>
  <si>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</si>
  <si>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</si>
  <si>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</si>
  <si>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</si>
  <si>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</si>
  <si>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</si>
  <si>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</si>
  <si>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</si>
  <si>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</si>
  <si>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</si>
  <si>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</si>
  <si>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</si>
  <si>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</si>
  <si>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</si>
  <si>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</si>
  <si>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</si>
  <si>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</si>
  <si>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</si>
  <si>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</si>
  <si>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</si>
  <si>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</si>
  <si>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</si>
  <si>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</si>
  <si>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</si>
  <si>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</si>
  <si>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</si>
  <si>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</si>
  <si>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</si>
  <si>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</si>
  <si>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</si>
  <si>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</si>
  <si>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</si>
  <si>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</si>
  <si>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</si>
  <si>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</si>
  <si>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</si>
  <si>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</si>
  <si>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</si>
  <si>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</si>
  <si>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</si>
  <si>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</si>
  <si>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</si>
  <si>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</si>
  <si>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</si>
  <si>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</si>
  <si>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</si>
  <si>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</si>
  <si>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</si>
  <si>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</si>
  <si>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</si>
  <si>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</si>
  <si>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</si>
  <si>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</si>
  <si>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</si>
  <si>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</si>
  <si>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</si>
  <si>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</si>
  <si>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</si>
  <si>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</si>
  <si>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</si>
  <si>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</si>
  <si>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</si>
  <si>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</si>
  <si>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</si>
  <si>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</si>
  <si>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</si>
  <si>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</si>
  <si>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</si>
  <si>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</si>
  <si>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</si>
  <si>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</si>
  <si>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</si>
  <si>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</si>
  <si>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</si>
  <si>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</si>
  <si>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</si>
  <si>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</si>
  <si>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</si>
  <si>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</si>
  <si>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</si>
  <si>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</si>
  <si>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</si>
  <si>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</si>
  <si>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</si>
  <si>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</si>
  <si>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</si>
  <si>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</si>
  <si>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</si>
  <si>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</si>
  <si>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</si>
  <si>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</si>
  <si>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</si>
  <si>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</si>
  <si>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</si>
  <si>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</si>
  <si>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</si>
  <si>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</si>
  <si>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</si>
  <si>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</si>
  <si>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</si>
  <si>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</si>
  <si>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</si>
  <si>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</si>
  <si>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</si>
  <si>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</si>
  <si>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</si>
  <si>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</si>
  <si>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</si>
  <si>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</si>
  <si>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</si>
  <si>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</si>
  <si>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</si>
  <si>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</si>
  <si>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</si>
  <si>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</si>
  <si>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</si>
  <si>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</si>
  <si>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</si>
  <si>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</si>
  <si>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</si>
  <si>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</si>
  <si>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</si>
  <si>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</si>
  <si>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</si>
  <si>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</si>
  <si>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</si>
  <si>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</si>
  <si>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</si>
  <si>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</si>
  <si>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</si>
  <si>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</si>
  <si>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</si>
  <si>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</si>
  <si>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</si>
  <si>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</si>
  <si>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</si>
  <si>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</si>
  <si>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</si>
  <si>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</si>
  <si>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</si>
  <si>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</si>
  <si>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</si>
  <si>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</si>
  <si>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</si>
  <si>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</si>
  <si>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</si>
  <si>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</si>
  <si>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</si>
  <si>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</si>
  <si>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</si>
  <si>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</si>
  <si>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</si>
  <si>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</si>
  <si>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</si>
  <si>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</si>
  <si>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</si>
  <si>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</si>
  <si>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</si>
  <si>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</si>
  <si>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</si>
  <si>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</si>
  <si>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</si>
  <si>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</si>
  <si>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</si>
  <si>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</si>
  <si>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</si>
  <si>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</si>
  <si>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</si>
  <si>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</si>
  <si>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</si>
  <si>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</si>
  <si>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</si>
  <si>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</si>
  <si>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</si>
  <si>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</si>
  <si>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</si>
  <si>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</si>
  <si>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</si>
  <si>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</si>
  <si>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</si>
  <si>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</si>
  <si>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</si>
  <si>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</si>
  <si>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</si>
  <si>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</si>
  <si>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</si>
  <si>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</si>
  <si>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</si>
  <si>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</si>
  <si>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</si>
  <si>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</si>
  <si>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</si>
  <si>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</si>
  <si>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</si>
  <si>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</si>
  <si>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</si>
  <si>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</si>
  <si>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</si>
  <si>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</si>
  <si>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</si>
  <si>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</si>
  <si>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</si>
  <si>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</si>
  <si>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</si>
  <si>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</si>
  <si>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</si>
  <si>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</si>
  <si>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</si>
  <si>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</si>
  <si>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</si>
  <si>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</si>
  <si>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</si>
  <si>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</si>
  <si>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</si>
  <si>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</si>
  <si>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</si>
  <si>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</si>
  <si>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</si>
  <si>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</si>
  <si>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</si>
  <si>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</si>
  <si>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</si>
  <si>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</si>
  <si>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</si>
  <si>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</si>
  <si>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</si>
  <si>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</si>
  <si>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</si>
  <si>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</si>
  <si>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</si>
  <si>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</si>
  <si>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</si>
  <si>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</si>
  <si>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</si>
  <si>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</si>
  <si>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</si>
  <si>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</si>
  <si>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</si>
  <si>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</si>
  <si>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</si>
  <si>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</si>
  <si>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</si>
  <si>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</si>
  <si>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</si>
  <si>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</si>
  <si>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</si>
  <si>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</si>
  <si>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</si>
  <si>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</si>
  <si>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</si>
  <si>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</si>
  <si>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</si>
  <si>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</si>
  <si>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</si>
  <si>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</si>
  <si>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</si>
  <si>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</si>
  <si>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</si>
  <si>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</si>
  <si>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</si>
  <si>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</si>
  <si>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</si>
  <si>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</si>
  <si>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</si>
  <si>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</si>
  <si>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</si>
  <si>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</si>
  <si>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</si>
  <si>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</si>
  <si>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</si>
  <si>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</si>
  <si>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</si>
  <si>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</si>
  <si>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</si>
  <si>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</si>
  <si>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</si>
  <si>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</si>
  <si>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</si>
  <si>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</si>
  <si>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</si>
  <si>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</si>
  <si>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</si>
  <si>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</si>
  <si>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</si>
  <si>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</si>
  <si>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</si>
  <si>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</si>
  <si>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</si>
  <si>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</si>
  <si>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</si>
  <si>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</si>
  <si>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</si>
  <si>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</si>
  <si>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</si>
  <si>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</si>
  <si>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</si>
  <si>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</si>
  <si>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</si>
  <si>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</si>
  <si>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</si>
  <si>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</si>
  <si>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</si>
  <si>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</si>
  <si>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</si>
  <si>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</si>
  <si>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</si>
  <si>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</si>
  <si>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</si>
  <si>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</si>
  <si>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</si>
  <si>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</si>
  <si>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</si>
  <si>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</si>
  <si>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</si>
  <si>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</si>
  <si>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</si>
  <si>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</si>
  <si>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</si>
  <si>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</si>
  <si>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</si>
  <si>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</si>
  <si>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</si>
  <si>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</si>
  <si>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</si>
  <si>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</si>
  <si>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</si>
  <si>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</si>
  <si>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</si>
  <si>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</si>
  <si>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</si>
  <si>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</si>
  <si>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</si>
  <si>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</si>
  <si>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</si>
  <si>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</si>
  <si>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</si>
  <si>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</si>
  <si>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</si>
  <si>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</si>
  <si>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</si>
  <si>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</si>
  <si>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</si>
  <si>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</si>
  <si>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</si>
  <si>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</si>
  <si>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</si>
  <si>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</si>
  <si>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</si>
  <si>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</si>
  <si>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</si>
  <si>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</si>
  <si>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</si>
  <si>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</si>
  <si>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</si>
  <si>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</si>
  <si>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</si>
  <si>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</si>
  <si>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</si>
  <si>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</si>
  <si>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</si>
  <si>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</si>
  <si>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</si>
  <si>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</si>
  <si>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</si>
  <si>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</si>
  <si>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</si>
  <si>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</si>
  <si>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</si>
  <si>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</si>
  <si>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</si>
  <si>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</si>
  <si>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</si>
  <si>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</si>
  <si>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</si>
  <si>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</si>
  <si>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</si>
  <si>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</si>
  <si>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</si>
  <si>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</si>
  <si>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</si>
  <si>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</si>
  <si>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</si>
  <si>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</si>
  <si>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</si>
  <si>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</si>
  <si>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</si>
  <si>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</si>
  <si>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</si>
  <si>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</si>
  <si>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</si>
  <si>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</si>
  <si>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</si>
  <si>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</si>
  <si>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</si>
  <si>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</si>
  <si>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</si>
  <si>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</si>
  <si>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</si>
  <si>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</si>
  <si>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</si>
  <si>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</si>
  <si>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</si>
  <si>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</si>
  <si>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</si>
  <si>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</si>
  <si>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</si>
  <si>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</si>
  <si>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</si>
  <si>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</si>
  <si>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</si>
  <si>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</si>
  <si>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</si>
  <si>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</si>
  <si>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</si>
  <si>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</si>
  <si>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</si>
  <si>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</si>
  <si>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</si>
  <si>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</si>
  <si>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</si>
  <si>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</si>
  <si>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</si>
  <si>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</si>
  <si>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</si>
  <si>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</si>
  <si>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</si>
  <si>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</si>
  <si>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</si>
  <si>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</si>
  <si>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</si>
  <si>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</si>
  <si>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</si>
  <si>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</si>
  <si>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</si>
  <si>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</si>
  <si>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</si>
  <si>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</si>
  <si>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</si>
  <si>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</si>
  <si>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</si>
  <si>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</si>
  <si>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</si>
  <si>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</si>
  <si>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</si>
  <si>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</si>
  <si>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</si>
  <si>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</si>
  <si>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</si>
  <si>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</si>
  <si>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</si>
  <si>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</si>
  <si>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</si>
  <si>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</si>
  <si>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</si>
  <si>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</si>
  <si>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</si>
  <si>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</si>
  <si>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</si>
  <si>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</si>
  <si>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</si>
  <si>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</si>
  <si>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</si>
  <si>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</si>
  <si>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</si>
  <si>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</si>
  <si>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</si>
  <si>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</si>
  <si>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</si>
  <si>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</si>
  <si>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</si>
  <si>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</si>
  <si>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</si>
  <si>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</si>
  <si>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</si>
  <si>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</si>
  <si>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</si>
  <si>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</si>
  <si>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</si>
  <si>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</si>
  <si>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</si>
  <si>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</si>
  <si>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</si>
  <si>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</si>
  <si>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</si>
  <si>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</si>
  <si>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</si>
  <si>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</si>
  <si>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</si>
  <si>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</si>
  <si>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</si>
  <si>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</si>
  <si>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</si>
  <si>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</si>
  <si>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</si>
  <si>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</si>
  <si>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</si>
  <si>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</si>
  <si>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</si>
  <si>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</si>
  <si>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</si>
  <si>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</si>
  <si>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</si>
  <si>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</si>
  <si>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</si>
  <si>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</si>
  <si>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</si>
  <si>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</si>
  <si>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</si>
  <si>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</si>
  <si>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</si>
  <si>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</si>
  <si>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</si>
  <si>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</si>
  <si>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</si>
  <si>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</si>
  <si>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</si>
  <si>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</si>
  <si>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</si>
  <si>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</si>
  <si>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</si>
  <si>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</si>
  <si>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</si>
  <si>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</si>
  <si>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</si>
  <si>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</si>
  <si>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</si>
  <si>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</si>
  <si>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</si>
  <si>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</si>
  <si>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</si>
  <si>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</si>
  <si>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</si>
  <si>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</si>
  <si>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</si>
  <si>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</si>
  <si>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</si>
  <si>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</si>
  <si>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</si>
  <si>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</si>
  <si>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</si>
  <si>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</si>
  <si>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</si>
  <si>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</si>
  <si>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</si>
  <si>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</si>
  <si>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</si>
  <si>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</si>
  <si>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</si>
  <si>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</si>
  <si>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</si>
  <si>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</si>
  <si>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</si>
  <si>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</si>
  <si>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</si>
  <si>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</si>
  <si>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</si>
  <si>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</si>
  <si>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</si>
  <si>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</si>
  <si>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</si>
  <si>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</si>
  <si>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</si>
  <si>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</si>
  <si>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</si>
  <si>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</si>
  <si>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</si>
  <si>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</si>
  <si>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</si>
  <si>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</si>
  <si>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</si>
  <si>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</si>
  <si>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</si>
  <si>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</si>
  <si>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</si>
  <si>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</si>
  <si>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</si>
  <si>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</si>
  <si>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</si>
  <si>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</si>
  <si>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</si>
  <si>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</si>
  <si>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</si>
  <si>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</si>
  <si>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</si>
  <si>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</si>
  <si>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</si>
  <si>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</si>
  <si>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</si>
  <si>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</si>
  <si>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</si>
  <si>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</si>
  <si>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</si>
  <si>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</si>
  <si>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</si>
  <si>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</si>
  <si>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</si>
  <si>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</si>
  <si>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</si>
  <si>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</si>
  <si>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</si>
  <si>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</si>
  <si>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</si>
  <si>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</si>
  <si>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</si>
  <si>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</si>
  <si>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</si>
  <si>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</si>
  <si>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</si>
  <si>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</si>
  <si>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</si>
  <si>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</si>
  <si>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</si>
  <si>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</si>
  <si>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</si>
  <si>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</si>
  <si>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</si>
  <si>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</si>
  <si>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</si>
  <si>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</si>
  <si>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</si>
  <si>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</si>
  <si>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</si>
  <si>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</si>
  <si>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</si>
  <si>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</si>
  <si>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</si>
  <si>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</si>
  <si>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</si>
  <si>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</si>
  <si>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</si>
  <si>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</si>
  <si>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</si>
  <si>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</si>
  <si>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</si>
  <si>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</si>
  <si>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</si>
  <si>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</si>
  <si>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</si>
  <si>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</si>
  <si>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</si>
  <si>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</si>
  <si>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</si>
  <si>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</si>
  <si>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</si>
  <si>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</si>
  <si>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</si>
  <si>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</si>
  <si>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</si>
  <si>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</si>
  <si>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</si>
  <si>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</si>
  <si>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</si>
  <si>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</si>
  <si>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</si>
  <si>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</si>
  <si>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</si>
  <si>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</si>
  <si>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</si>
  <si>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</si>
  <si>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</si>
  <si>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</si>
  <si>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</si>
  <si>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</si>
  <si>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</si>
  <si>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</si>
  <si>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</si>
  <si>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</si>
  <si>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</si>
  <si>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</si>
  <si>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</si>
  <si>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</si>
  <si>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</si>
  <si>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</si>
  <si>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</si>
  <si>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</si>
  <si>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</si>
  <si>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</si>
  <si>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</si>
  <si>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</si>
  <si>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</si>
  <si>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</si>
  <si>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</si>
  <si>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</si>
  <si>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</si>
  <si>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</si>
  <si>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</si>
  <si>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</si>
  <si>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</si>
  <si>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</si>
  <si>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</si>
  <si>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</si>
  <si>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</si>
  <si>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</si>
  <si>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</si>
  <si>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</si>
  <si>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</si>
  <si>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</si>
  <si>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</si>
  <si>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</si>
  <si>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</si>
  <si>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</si>
  <si>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</si>
  <si>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</si>
  <si>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</si>
  <si>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</si>
  <si>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</si>
  <si>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</si>
  <si>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</si>
  <si>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</si>
  <si>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</si>
  <si>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</si>
  <si>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</si>
  <si>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</si>
  <si>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</si>
  <si>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</si>
  <si>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</si>
  <si>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</si>
  <si>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</si>
  <si>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</si>
  <si>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</si>
  <si>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</si>
  <si>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</si>
  <si>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</si>
  <si>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</si>
  <si>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</si>
  <si>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</si>
  <si>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</si>
  <si>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</si>
  <si>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</si>
  <si>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</si>
  <si>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</si>
  <si>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</si>
  <si>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</si>
  <si>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</si>
  <si>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</si>
  <si>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</si>
  <si>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</si>
  <si>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</si>
  <si>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</si>
  <si>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</si>
  <si>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</si>
  <si>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</si>
  <si>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</si>
  <si>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</si>
  <si>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</si>
  <si>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</si>
  <si>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</si>
  <si>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</si>
  <si>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</si>
  <si>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</si>
  <si>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</si>
  <si>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</si>
  <si>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</si>
  <si>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</si>
  <si>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</si>
  <si>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</si>
  <si>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</si>
  <si>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</si>
  <si>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</si>
  <si>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</si>
  <si>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</si>
  <si>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</si>
  <si>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</si>
  <si>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</si>
  <si>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</si>
  <si>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</si>
  <si>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</si>
  <si>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</si>
  <si>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</si>
  <si>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</si>
  <si>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</si>
  <si>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</si>
  <si>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</si>
  <si>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</si>
  <si>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</si>
  <si>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</si>
  <si>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</si>
  <si>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</si>
  <si>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</si>
  <si>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</si>
  <si>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</si>
  <si>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</si>
  <si>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</si>
  <si>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</si>
  <si>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</si>
  <si>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</si>
  <si>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</si>
  <si>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</si>
  <si>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</si>
  <si>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</si>
  <si>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</si>
  <si>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</si>
  <si>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</si>
  <si>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</si>
  <si>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</si>
  <si>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</si>
  <si>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</si>
  <si>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</si>
  <si>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</si>
  <si>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</si>
  <si>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</si>
  <si>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</si>
  <si>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</si>
  <si>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</si>
  <si>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</si>
  <si>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</si>
  <si>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</si>
  <si>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</si>
  <si>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</si>
  <si>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</si>
  <si>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</si>
  <si>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</si>
  <si>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</si>
  <si>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</si>
  <si>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</si>
  <si>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</si>
  <si>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</si>
  <si>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</si>
  <si>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</si>
  <si>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</si>
  <si>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</si>
  <si>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</si>
  <si>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</si>
  <si>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</si>
  <si>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</si>
  <si>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</si>
  <si>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</si>
  <si>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</si>
  <si>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</si>
  <si>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</si>
  <si>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</si>
  <si>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</si>
  <si>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</si>
  <si>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</si>
  <si>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</si>
  <si>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</si>
  <si>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</si>
  <si>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</si>
  <si>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</si>
  <si>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</si>
  <si>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</si>
  <si>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</si>
  <si>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</si>
  <si>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</si>
  <si>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</si>
  <si>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</si>
  <si>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</si>
  <si>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</si>
  <si>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</si>
  <si>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</si>
  <si>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</si>
  <si>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</si>
  <si>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</si>
  <si>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</si>
  <si>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</si>
  <si>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</si>
  <si>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</si>
  <si>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</si>
  <si>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</si>
  <si>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</si>
  <si>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</si>
  <si>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</si>
  <si>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</si>
  <si>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</si>
  <si>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</si>
  <si>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</si>
  <si>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</si>
  <si>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</si>
  <si>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</si>
  <si>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</si>
  <si>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</si>
  <si>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</si>
  <si>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</si>
  <si>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</si>
  <si>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</si>
  <si>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</si>
  <si>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</si>
  <si>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</si>
  <si>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</si>
  <si>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</si>
  <si>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</si>
  <si>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</si>
  <si>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</si>
  <si>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</si>
  <si>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</si>
  <si>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</si>
  <si>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</si>
  <si>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</si>
  <si>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</si>
  <si>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</si>
  <si>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</si>
  <si>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</si>
  <si>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</si>
  <si>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</si>
  <si>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</si>
  <si>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</si>
  <si>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</si>
  <si>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</si>
  <si>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</si>
  <si>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</si>
  <si>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</si>
  <si>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</si>
  <si>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</si>
  <si>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</si>
  <si>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</si>
  <si>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</si>
  <si>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</si>
  <si>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</si>
  <si>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</si>
  <si>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</si>
  <si>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</si>
  <si>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</si>
  <si>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</si>
  <si>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</si>
  <si>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</si>
  <si>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</si>
  <si>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</si>
  <si>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</si>
  <si>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</si>
  <si>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</si>
  <si>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</si>
  <si>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</si>
  <si>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</si>
  <si>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</si>
  <si>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</si>
  <si>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</si>
  <si>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</si>
  <si>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</si>
  <si>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</si>
  <si>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</si>
  <si>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</si>
  <si>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</si>
  <si>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</si>
  <si>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</si>
  <si>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</si>
  <si>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</si>
  <si>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</si>
  <si>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</si>
  <si>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</si>
  <si>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</si>
  <si>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</si>
  <si>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</si>
  <si>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</si>
  <si>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</si>
  <si>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</si>
  <si>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</si>
  <si>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</si>
  <si>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</si>
  <si>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</si>
  <si>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</si>
  <si>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</si>
  <si>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</si>
  <si>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</si>
  <si>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</si>
  <si>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</si>
  <si>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</si>
  <si>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</si>
  <si>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</si>
  <si>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</si>
  <si>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</si>
  <si>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</si>
  <si>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</si>
  <si>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</si>
  <si>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</si>
  <si>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</si>
  <si>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</si>
  <si>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</si>
  <si>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</si>
  <si>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</si>
  <si>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</si>
  <si>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</si>
  <si>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</si>
  <si>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</si>
  <si>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</si>
  <si>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</si>
  <si>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</si>
  <si>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</si>
  <si>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</si>
  <si>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</si>
  <si>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</si>
  <si>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</si>
  <si>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</si>
  <si>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</si>
  <si>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</si>
  <si>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</si>
  <si>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</si>
  <si>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</si>
  <si>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</si>
  <si>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</si>
  <si>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</si>
  <si>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</si>
  <si>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</si>
  <si>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</si>
  <si>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</si>
  <si>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</si>
  <si>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</si>
  <si>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</si>
  <si>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</si>
  <si>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</si>
  <si>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</si>
  <si>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</si>
  <si>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</si>
  <si>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</si>
  <si>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</si>
  <si>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</si>
  <si>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</si>
  <si>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</si>
  <si>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</si>
  <si>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</si>
  <si>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</si>
  <si>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</si>
  <si>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</si>
  <si>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</si>
  <si>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</si>
  <si>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</si>
  <si>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</si>
  <si>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</si>
  <si>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</si>
  <si>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</si>
  <si>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</si>
  <si>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</si>
  <si>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</si>
  <si>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</si>
  <si>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</si>
  <si>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</si>
  <si>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</si>
  <si>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</si>
  <si>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</si>
  <si>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</si>
  <si>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</si>
  <si>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</si>
  <si>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</si>
  <si>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</si>
  <si>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</si>
  <si>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</si>
  <si>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</si>
  <si>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</si>
  <si>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</si>
  <si>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</si>
  <si>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</si>
  <si>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</si>
  <si>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</si>
  <si>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</si>
  <si>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</si>
  <si>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</si>
  <si>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</si>
  <si>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</si>
  <si>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</si>
  <si>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</si>
  <si>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</si>
  <si>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</si>
  <si>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</si>
  <si>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</si>
  <si>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</si>
  <si>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</si>
  <si>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</si>
  <si>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</si>
  <si>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</si>
  <si>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</si>
  <si>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</si>
  <si>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</si>
  <si>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</si>
  <si>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</si>
  <si>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</si>
  <si>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</si>
  <si>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</si>
  <si>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</si>
  <si>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</si>
  <si>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</si>
  <si>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</si>
  <si>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</si>
  <si>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</si>
  <si>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</si>
  <si>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</si>
  <si>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</si>
  <si>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</si>
  <si>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</si>
  <si>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</si>
  <si>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</si>
  <si>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</si>
  <si>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</si>
  <si>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</si>
  <si>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</si>
  <si>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</si>
  <si>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</si>
  <si>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</si>
  <si>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</si>
  <si>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</si>
  <si>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</si>
  <si>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</si>
  <si>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</si>
  <si>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</si>
  <si>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</si>
  <si>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</si>
  <si>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</si>
  <si>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</si>
  <si>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</si>
  <si>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</si>
  <si>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</si>
  <si>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</si>
  <si>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</si>
  <si>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</si>
  <si>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</si>
  <si>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</si>
  <si>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</si>
  <si>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</si>
  <si>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</si>
  <si>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</si>
  <si>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</si>
  <si>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</si>
  <si>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</si>
  <si>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</si>
  <si>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</si>
  <si>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</si>
  <si>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</si>
  <si>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</si>
  <si>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</si>
  <si>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</si>
  <si>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</si>
  <si>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</si>
  <si>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</si>
  <si>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</si>
  <si>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</si>
  <si>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</si>
  <si>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</si>
  <si>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</si>
  <si>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</si>
  <si>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</si>
  <si>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</si>
  <si>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</si>
  <si>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</si>
  <si>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</si>
  <si>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</si>
  <si>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</si>
  <si>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</si>
  <si>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</si>
  <si>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</si>
  <si>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</si>
  <si>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</si>
  <si>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</si>
  <si>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</si>
  <si>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</si>
  <si>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</si>
  <si>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</si>
  <si>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</si>
  <si>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</si>
  <si>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</si>
  <si>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</si>
  <si>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</si>
  <si>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</si>
  <si>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</si>
  <si>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</si>
  <si>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</si>
  <si>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</si>
  <si>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</si>
  <si>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</si>
  <si>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</si>
  <si>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</si>
  <si>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</si>
  <si>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</si>
  <si>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</si>
  <si>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</si>
  <si>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</si>
  <si>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</si>
  <si>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</si>
  <si>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</si>
  <si>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</si>
  <si>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</si>
  <si>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</si>
  <si>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</si>
  <si>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</si>
  <si>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</si>
  <si>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</si>
  <si>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</si>
  <si>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</si>
  <si>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</si>
  <si>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</si>
  <si>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</si>
  <si>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</si>
  <si>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</si>
  <si>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</si>
  <si>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</si>
  <si>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</si>
  <si>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</si>
  <si>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</si>
  <si>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</si>
  <si>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</si>
  <si>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</si>
  <si>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</si>
  <si>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</si>
  <si>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</si>
  <si>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</si>
  <si>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</si>
  <si>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</si>
  <si>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</si>
  <si>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</si>
  <si>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</si>
  <si>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</si>
  <si>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</si>
  <si>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</si>
  <si>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</si>
  <si>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</si>
  <si>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</si>
  <si>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</si>
  <si>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</si>
  <si>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</si>
  <si>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</si>
  <si>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</si>
  <si>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</si>
  <si>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</si>
  <si>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</si>
  <si>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</si>
  <si>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</si>
  <si>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</si>
  <si>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</si>
  <si>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</si>
  <si>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</si>
  <si>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</si>
  <si>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</si>
  <si>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</si>
  <si>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</si>
  <si>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</si>
  <si>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</si>
  <si>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</si>
  <si>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</si>
  <si>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</si>
  <si>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</si>
  <si>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</si>
  <si>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</si>
  <si>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</si>
  <si>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</si>
  <si>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</si>
  <si>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</si>
  <si>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</si>
  <si>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</si>
  <si>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</si>
  <si>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</si>
  <si>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</si>
  <si>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</si>
  <si>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</si>
  <si>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</si>
  <si>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</si>
  <si>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</si>
  <si>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</si>
  <si>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</si>
  <si>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</si>
  <si>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</si>
  <si>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</si>
  <si>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</si>
  <si>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</si>
  <si>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</si>
  <si>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</si>
  <si>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</si>
  <si>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</si>
  <si>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</si>
  <si>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</si>
  <si>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</si>
  <si>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</si>
  <si>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</si>
  <si>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</si>
  <si>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</si>
  <si>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</si>
  <si>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</si>
  <si>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</si>
  <si>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</si>
  <si>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</si>
  <si>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</si>
  <si>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</si>
  <si>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</si>
  <si>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</si>
  <si>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</si>
  <si>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</si>
  <si>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</si>
  <si>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</si>
  <si>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</si>
  <si>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</si>
  <si>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</si>
  <si>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</si>
  <si>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</si>
  <si>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</si>
  <si>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</si>
  <si>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</si>
  <si>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</si>
  <si>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</si>
  <si>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</si>
  <si>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</si>
  <si>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</si>
  <si>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</si>
  <si>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</si>
  <si>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</si>
  <si>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</si>
  <si>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</si>
  <si>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</si>
  <si>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</si>
  <si>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</si>
  <si>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</si>
  <si>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</si>
  <si>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</si>
  <si>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</si>
  <si>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</si>
  <si>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</si>
  <si>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</si>
  <si>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</si>
  <si>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</si>
  <si>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</si>
  <si>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</si>
  <si>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</si>
  <si>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</si>
  <si>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</si>
  <si>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</si>
  <si>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</si>
  <si>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</si>
  <si>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</si>
  <si>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</si>
  <si>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</si>
  <si>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</si>
  <si>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</si>
  <si>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</si>
  <si>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</si>
  <si>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</si>
  <si>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</si>
  <si>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</si>
  <si>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</si>
  <si>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</si>
  <si>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</si>
  <si>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</si>
  <si>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</si>
  <si>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</si>
  <si>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</si>
  <si>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</si>
  <si>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</si>
  <si>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</si>
  <si>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</si>
  <si>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</si>
  <si>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</si>
  <si>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</si>
  <si>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</si>
  <si>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</si>
  <si>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</si>
  <si>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</si>
  <si>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</si>
  <si>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</si>
  <si>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</si>
  <si>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</si>
  <si>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</si>
  <si>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</si>
  <si>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</si>
  <si>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</si>
  <si>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</si>
  <si>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</si>
  <si>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</si>
  <si>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</si>
  <si>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</si>
  <si>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</si>
  <si>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F474 Reserved for encumbrances &amp; UFB remaing to City</t>
  </si>
  <si>
    <t>I474 Transfer to City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</si>
</sst>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1008</v>
      </c>
      <c r="B2" s="126">
        <f>INDEX('School Tables'!$AH$3:$AH$208,MATCH('DOE25'!A2,'School Tables'!$AJ$3:$AJ$208,0))</f>
        <v>141</v>
      </c>
      <c r="C2" s="126">
        <f>INDEX('School Tables'!$AI$3:$AI$208,MATCH('DOE25'!A2,'School Tables'!$AJ$3:$AJ$208,0))</f>
        <v>141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v>1249977.8399999999</v>
      </c>
      <c r="H18" s="145">
        <v>1551547.7699999977</v>
      </c>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0</v>
      </c>
      <c r="G19" s="41">
        <f>SUM(G9:G18)</f>
        <v>1249977.8399999999</v>
      </c>
      <c r="H19" s="41">
        <f>SUM(H9:H18)</f>
        <v>1551547.7699999977</v>
      </c>
      <c r="I19" s="41">
        <f>SUM(I9:I18)</f>
        <v>0</v>
      </c>
      <c r="J19" s="41">
        <f>SUM(J9:J18)</f>
        <v>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1249977.8399999999</v>
      </c>
      <c r="H48" s="18">
        <v>1551547.7699999977</v>
      </c>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0</v>
      </c>
      <c r="G51" s="41">
        <f>SUM(G35:G50)</f>
        <v>1249977.8399999999</v>
      </c>
      <c r="H51" s="41">
        <f>SUM(H35:H50)</f>
        <v>1551547.7699999977</v>
      </c>
      <c r="I51" s="41">
        <f>SUM(I35:I50)</f>
        <v>0</v>
      </c>
      <c r="J51" s="41">
        <f>SUM(J35:J50)</f>
        <v>0</v>
      </c>
      <c r="K51" s="45" t="s">
        <v>288</v>
      </c>
      <c r="L51" s="45" t="s">
        <v>288</v>
      </c>
      <c r="N51" s="263"/>
    </row>
    <row r="52" spans="1:14" s="3" customFormat="1" ht="12.2" customHeight="1" thickTop="1" x14ac:dyDescent="0.15">
      <c r="A52" s="38" t="s">
        <v>455</v>
      </c>
      <c r="B52" s="39" t="s">
        <v>289</v>
      </c>
      <c r="C52" s="6">
        <v>37</v>
      </c>
      <c r="D52" s="39" t="s">
        <v>653</v>
      </c>
      <c r="E52" s="39"/>
      <c r="F52" s="41">
        <f>F51+F32</f>
        <v>0</v>
      </c>
      <c r="G52" s="41">
        <f>G51+G32</f>
        <v>1249977.8399999999</v>
      </c>
      <c r="H52" s="41">
        <f>H51+H32</f>
        <v>1551547.7699999977</v>
      </c>
      <c r="I52" s="41">
        <f>I51+I32</f>
        <v>0</v>
      </c>
      <c r="J52" s="41">
        <f>J51+J32</f>
        <v>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44409622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44409622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7524.8</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v>76338.05</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4622262.16</v>
      </c>
      <c r="G68" s="24" t="s">
        <v>288</v>
      </c>
      <c r="H68" s="18">
        <v>182155.55</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297624.96000000002</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127528.74</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39749.9</v>
      </c>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5094690.5600000005</v>
      </c>
      <c r="G79" s="45" t="s">
        <v>288</v>
      </c>
      <c r="H79" s="41">
        <f>SUM(H63:H78)</f>
        <v>258493.59999999998</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130095.79000000001</v>
      </c>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v>950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130095.79000000001</v>
      </c>
      <c r="G94" s="45" t="s">
        <v>288</v>
      </c>
      <c r="H94" s="41">
        <f>SUM(H83:H93)</f>
        <v>950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v>78401.219999999987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f>20891+3250</f>
        <v>24141</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v>79600.81</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11351.3</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v>67888.5</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v>9016.76</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0</v>
      </c>
      <c r="G111" s="41">
        <f>SUM(G96:G110)</f>
        <v>78401.219999999987</v>
      </c>
      <c r="H111" s="41">
        <f>SUM(H96:H110)</f>
        <v>191998.37</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49634408.350000001</v>
      </c>
      <c r="G112" s="41">
        <f>G60+G111</f>
        <v>78401.219999999987</v>
      </c>
      <c r="H112" s="41">
        <f>H60+H79+H94+H111</f>
        <v>451441.97</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10750740.390000001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7093652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40200.29</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17884592.68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389462.17</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1251337.53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478838.66</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4373.2</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19098.080000000002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2124011.56</v>
      </c>
      <c r="G136" s="41">
        <f>SUM(G123:G135)</f>
        <v>19098.080000000002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20008604.239999998</v>
      </c>
      <c r="G140" s="41">
        <f>G121+SUM(G136:G137)</f>
        <v>19098.080000000002</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v>126669.27</v>
      </c>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203083.55</v>
      </c>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203083.55</v>
      </c>
      <c r="G147" s="41">
        <f>SUM(G145:G146)</f>
        <v>126669.27</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714326.11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91508.45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155442.60999999999</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672782.87</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2362844.79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1268449.71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241547.06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75568.7</v>
      </c>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1505720.01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241547.06</v>
      </c>
      <c r="G163" s="41">
        <f>SUM(G150:G162)</f>
        <v>2438413.4900000002</v>
      </c>
      <c r="H163" s="41">
        <f>SUM(H150:H162)</f>
        <v>4408229.76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v>48807.05</v>
      </c>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444630.61</v>
      </c>
      <c r="G170" s="41">
        <f>G147+G163+SUM(G164:G169)</f>
        <v>2565082.7600000002</v>
      </c>
      <c r="H170" s="41">
        <f>H147+H163+SUM(H164:H169)</f>
        <v>4457036.8099999996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v>800000</v>
      </c>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800000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v>1028.72</v>
      </c>
      <c r="H190" s="18">
        <v>4258</v>
      </c>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1028.72</v>
      </c>
      <c r="H193" s="41">
        <f>+H184+SUM(H189:H192)</f>
        <v>4258</v>
      </c>
      <c r="I193" s="41">
        <f>I178+I184+SUM(I189:I192)</f>
        <v>800000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70087643.200000003</v>
      </c>
      <c r="G194" s="47">
        <f>G112+G140+G170+G193</f>
        <v>2663610.7800000003</v>
      </c>
      <c r="H194" s="47">
        <f>H112+H140+H170+H193</f>
        <v>4912736.7799999993</v>
      </c>
      <c r="I194" s="47">
        <f>I112+I140+I170+I193</f>
        <v>800000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5683413.4759128112</v>
      </c>
      <c r="G198" s="18">
        <v>3461551.4829245145</v>
      </c>
      <c r="H198" s="18">
        <v>0</v>
      </c>
      <c r="I198" s="18">
        <v>286525.66079181363</v>
      </c>
      <c r="J198" s="18">
        <v>75563.59</v>
      </c>
      <c r="K198" s="18">
        <v>0</v>
      </c>
      <c r="L198" s="19">
        <f>SUM(F198:K198)</f>
        <v>9507054.2096291408</v>
      </c>
      <c r="M198" s="8"/>
      <c r="N198" s="265"/>
    </row>
    <row r="199" spans="1:14" s="3" customFormat="1" ht="12.2" customHeight="1" x14ac:dyDescent="0.15">
      <c r="A199" s="1" t="s">
        <v>439</v>
      </c>
      <c r="B199" s="2" t="s">
        <v>341</v>
      </c>
      <c r="C199" s="2" t="s">
        <v>291</v>
      </c>
      <c r="D199" s="2" t="s">
        <v>431</v>
      </c>
      <c r="E199" s="6">
        <v>1200</v>
      </c>
      <c r="F199" s="18">
        <v>3012691.9089343948</v>
      </c>
      <c r="G199" s="18">
        <v>990688.78481245227</v>
      </c>
      <c r="H199" s="18">
        <v>1219854.0313643494</v>
      </c>
      <c r="I199" s="18">
        <v>11855.825252233661</v>
      </c>
      <c r="J199" s="18">
        <v>754.04990799057271</v>
      </c>
      <c r="K199" s="18">
        <v>10060.181942743773</v>
      </c>
      <c r="L199" s="19">
        <f>SUM(F199:K199)</f>
        <v>5245904.7822141657</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5750.8148685636679</v>
      </c>
      <c r="G201" s="18">
        <v>1104.1591742852959</v>
      </c>
      <c r="H201" s="18">
        <v>545.48157814143622</v>
      </c>
      <c r="I201" s="18">
        <v>34025.237928842493</v>
      </c>
      <c r="J201" s="18">
        <v>0</v>
      </c>
      <c r="K201" s="18">
        <v>0</v>
      </c>
      <c r="L201" s="19">
        <f>SUM(F201:K201)</f>
        <v>41425.693549832897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1174728.1111750575</v>
      </c>
      <c r="G203" s="18">
        <v>782434.48566985782</v>
      </c>
      <c r="H203" s="18">
        <v>107884.3169829696</v>
      </c>
      <c r="I203" s="18">
        <v>4809.78</v>
      </c>
      <c r="J203" s="18">
        <v>898</v>
      </c>
      <c r="K203" s="18">
        <v>0</v>
      </c>
      <c r="L203" s="19">
        <f t="shared" ref="L203:L209" si="0">SUM(F203:K203)</f>
        <v>2070754.693827885</v>
      </c>
      <c r="M203" s="8"/>
      <c r="N203" s="265"/>
    </row>
    <row r="204" spans="1:14" s="3" customFormat="1" ht="12.2" customHeight="1" x14ac:dyDescent="0.15">
      <c r="A204" s="1" t="s">
        <v>443</v>
      </c>
      <c r="B204" s="2" t="s">
        <v>341</v>
      </c>
      <c r="C204" s="2" t="s">
        <v>295</v>
      </c>
      <c r="D204" s="2" t="s">
        <v>431</v>
      </c>
      <c r="E204" s="6">
        <v>2200</v>
      </c>
      <c r="F204" s="18">
        <v>280751.91670294671</v>
      </c>
      <c r="G204" s="18">
        <v>173444.81696611232</v>
      </c>
      <c r="H204" s="18">
        <v>20325.533083447626</v>
      </c>
      <c r="I204" s="18">
        <v>91668.260865714183</v>
      </c>
      <c r="J204" s="18">
        <v>0</v>
      </c>
      <c r="K204" s="18">
        <v>145.46175417104968</v>
      </c>
      <c r="L204" s="19">
        <f t="shared" si="0"/>
        <v>566335.98937239184</v>
      </c>
      <c r="M204" s="8"/>
      <c r="N204" s="265"/>
    </row>
    <row r="205" spans="1:14" s="3" customFormat="1" ht="12.2" customHeight="1" x14ac:dyDescent="0.15">
      <c r="A205" s="1" t="s">
        <v>444</v>
      </c>
      <c r="B205" s="2" t="s">
        <v>341</v>
      </c>
      <c r="C205" s="2" t="s">
        <v>296</v>
      </c>
      <c r="D205" s="2" t="s">
        <v>431</v>
      </c>
      <c r="E205" s="6">
        <v>2300</v>
      </c>
      <c r="F205" s="18">
        <v>163235.42182290516</v>
      </c>
      <c r="G205" s="18">
        <v>97585.422293524753</v>
      </c>
      <c r="H205" s="18">
        <v>168844.71498925445</v>
      </c>
      <c r="I205" s="18">
        <v>3333.8768172461087</v>
      </c>
      <c r="J205" s="18">
        <v>0</v>
      </c>
      <c r="K205" s="18">
        <v>3923.6145071037668</v>
      </c>
      <c r="L205" s="19">
        <f t="shared" si="0"/>
        <v>436923.05043003423</v>
      </c>
      <c r="M205" s="8"/>
      <c r="N205" s="265"/>
    </row>
    <row r="206" spans="1:14" s="3" customFormat="1" ht="12.2" customHeight="1" x14ac:dyDescent="0.15">
      <c r="A206" s="1" t="s">
        <v>445</v>
      </c>
      <c r="B206" s="2" t="s">
        <v>341</v>
      </c>
      <c r="C206" s="2" t="s">
        <v>297</v>
      </c>
      <c r="D206" s="2" t="s">
        <v>431</v>
      </c>
      <c r="E206" s="6">
        <v>2400</v>
      </c>
      <c r="F206" s="18">
        <v>798814.83000000007</v>
      </c>
      <c r="G206" s="18">
        <v>428377.32000000007</v>
      </c>
      <c r="H206" s="18">
        <v>5405.1200000000008</v>
      </c>
      <c r="I206" s="18">
        <v>486.43</v>
      </c>
      <c r="J206" s="18">
        <v>954</v>
      </c>
      <c r="K206" s="18">
        <v>3827</v>
      </c>
      <c r="L206" s="19">
        <f t="shared" si="0"/>
        <v>1237864.7000000002</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0</v>
      </c>
      <c r="G208" s="18">
        <v>0</v>
      </c>
      <c r="H208" s="18">
        <v>1654832.8257612814</v>
      </c>
      <c r="I208" s="18">
        <v>348391.13607643038</v>
      </c>
      <c r="J208" s="18">
        <v>0</v>
      </c>
      <c r="K208" s="18">
        <v>0</v>
      </c>
      <c r="L208" s="19">
        <f t="shared" si="0"/>
        <v>2003223.9618377117</v>
      </c>
      <c r="M208" s="8"/>
      <c r="N208" s="265"/>
    </row>
    <row r="209" spans="1:14" s="3" customFormat="1" ht="12.2" customHeight="1" x14ac:dyDescent="0.15">
      <c r="A209" s="1" t="s">
        <v>448</v>
      </c>
      <c r="B209" s="2" t="s">
        <v>341</v>
      </c>
      <c r="C209" s="2" t="s">
        <v>300</v>
      </c>
      <c r="D209" s="2" t="s">
        <v>431</v>
      </c>
      <c r="E209" s="6">
        <v>2700</v>
      </c>
      <c r="F209" s="18">
        <v>1565.9083234577438</v>
      </c>
      <c r="G209" s="18">
        <v>119.80217533721256</v>
      </c>
      <c r="H209" s="18">
        <v>983339.71059844748</v>
      </c>
      <c r="I209" s="18">
        <v>0</v>
      </c>
      <c r="J209" s="18">
        <v>0</v>
      </c>
      <c r="K209" s="18">
        <v>0</v>
      </c>
      <c r="L209" s="19">
        <f t="shared" si="0"/>
        <v>985025.42109724239</v>
      </c>
      <c r="M209" s="8"/>
      <c r="N209" s="265"/>
    </row>
    <row r="210" spans="1:14" s="3" customFormat="1" ht="12.2" customHeight="1" x14ac:dyDescent="0.15">
      <c r="A210" s="1" t="s">
        <v>449</v>
      </c>
      <c r="B210" s="2" t="s">
        <v>341</v>
      </c>
      <c r="C210" s="2" t="s">
        <v>343</v>
      </c>
      <c r="D210" s="2" t="s">
        <v>431</v>
      </c>
      <c r="E210" s="6">
        <v>2800</v>
      </c>
      <c r="F210" s="18">
        <v>111541.36783337107</v>
      </c>
      <c r="G210" s="18">
        <v>92411.500198745693</v>
      </c>
      <c r="H210" s="18">
        <v>51738.47311873344</v>
      </c>
      <c r="I210" s="18">
        <v>104020.15184074781</v>
      </c>
      <c r="J210" s="18">
        <v>28634.814053261609</v>
      </c>
      <c r="K210" s="18">
        <v>1464.8845081956299</v>
      </c>
      <c r="L210" s="19">
        <f>SUM(F210:K210)</f>
        <v>389811.19155305525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11232493.755573507</v>
      </c>
      <c r="G212" s="41">
        <f t="shared" si="1"/>
        <v>6027717.7742148312</v>
      </c>
      <c r="H212" s="41">
        <f t="shared" si="1"/>
        <v>4212770.2074766252</v>
      </c>
      <c r="I212" s="41">
        <f t="shared" si="1"/>
        <v>885116.35957302828</v>
      </c>
      <c r="J212" s="41">
        <f t="shared" si="1"/>
        <v>106804.45396125218</v>
      </c>
      <c r="K212" s="41">
        <f t="shared" si="1"/>
        <v>19421.14271221422</v>
      </c>
      <c r="L212" s="41">
        <f t="shared" si="1"/>
        <v>22484323.693511456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4133020.8906336273</v>
      </c>
      <c r="G216" s="18">
        <v>2356247.7869917578</v>
      </c>
      <c r="H216" s="18">
        <v>2142.12</v>
      </c>
      <c r="I216" s="18">
        <v>155159.87813267467</v>
      </c>
      <c r="J216" s="18">
        <v>7319.08</v>
      </c>
      <c r="K216" s="18">
        <v>0</v>
      </c>
      <c r="L216" s="19">
        <f>SUM(F216:K216)</f>
        <v>6653889.7557580601</v>
      </c>
      <c r="M216" s="8"/>
      <c r="N216" s="265"/>
    </row>
    <row r="217" spans="1:14" s="3" customFormat="1" ht="12.2" customHeight="1" x14ac:dyDescent="0.15">
      <c r="A217" s="1" t="s">
        <v>439</v>
      </c>
      <c r="B217" s="2" t="s">
        <v>346</v>
      </c>
      <c r="C217" s="2" t="s">
        <v>291</v>
      </c>
      <c r="D217" s="2" t="s">
        <v>431</v>
      </c>
      <c r="E217" s="6">
        <v>1200</v>
      </c>
      <c r="F217" s="18">
        <v>1827236.711107495</v>
      </c>
      <c r="G217" s="18">
        <v>673699.28456851444</v>
      </c>
      <c r="H217" s="18">
        <v>1395943.2569096019</v>
      </c>
      <c r="I217" s="18">
        <v>10519.817019427172</v>
      </c>
      <c r="J217" s="18">
        <v>682.36587635317755</v>
      </c>
      <c r="K217" s="18">
        <v>9103.8070489607326</v>
      </c>
      <c r="L217" s="19">
        <f>SUM(F217:K217)</f>
        <v>3917185.2425303524</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33750.679980532877</v>
      </c>
      <c r="G219" s="18">
        <v>6380.5481656169695</v>
      </c>
      <c r="H219" s="18">
        <v>4405.6251714357995</v>
      </c>
      <c r="I219" s="18">
        <v>33124.836179917707</v>
      </c>
      <c r="J219" s="18">
        <v>4029.31</v>
      </c>
      <c r="K219" s="18">
        <v>440</v>
      </c>
      <c r="L219" s="19">
        <f>SUM(F219:K219)</f>
        <v>82130.999497503362</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746182.79343611933</v>
      </c>
      <c r="G221" s="18">
        <v>433982.11922696105</v>
      </c>
      <c r="H221" s="18">
        <v>102492.28494874902</v>
      </c>
      <c r="I221" s="18">
        <v>1701.6200000000001</v>
      </c>
      <c r="J221" s="18">
        <v>0</v>
      </c>
      <c r="K221" s="18">
        <v>0</v>
      </c>
      <c r="L221" s="19">
        <f t="shared" ref="L221:L227" si="2">SUM(F221:K221)</f>
        <v>1284358.8176118294</v>
      </c>
      <c r="M221" s="8"/>
      <c r="N221" s="265"/>
    </row>
    <row r="222" spans="1:14" s="3" customFormat="1" ht="12.2" customHeight="1" x14ac:dyDescent="0.15">
      <c r="A222" s="1" t="s">
        <v>443</v>
      </c>
      <c r="B222" s="2" t="s">
        <v>346</v>
      </c>
      <c r="C222" s="2" t="s">
        <v>295</v>
      </c>
      <c r="D222" s="2" t="s">
        <v>431</v>
      </c>
      <c r="E222" s="6">
        <v>2200</v>
      </c>
      <c r="F222" s="18">
        <v>147854.76255796861</v>
      </c>
      <c r="G222" s="18">
        <v>84627.650665024426</v>
      </c>
      <c r="H222" s="18">
        <v>23508.474314456529</v>
      </c>
      <c r="I222" s="18">
        <v>73464.583499713714</v>
      </c>
      <c r="J222" s="18">
        <v>0</v>
      </c>
      <c r="K222" s="18">
        <v>131.63337904954659</v>
      </c>
      <c r="L222" s="19">
        <f t="shared" si="2"/>
        <v>329587.10441621282</v>
      </c>
      <c r="M222" s="8"/>
      <c r="N222" s="265"/>
    </row>
    <row r="223" spans="1:14" s="3" customFormat="1" ht="12.2" customHeight="1" x14ac:dyDescent="0.15">
      <c r="A223" s="1" t="s">
        <v>444</v>
      </c>
      <c r="B223" s="2" t="s">
        <v>346</v>
      </c>
      <c r="C223" s="2" t="s">
        <v>296</v>
      </c>
      <c r="D223" s="2" t="s">
        <v>431</v>
      </c>
      <c r="E223" s="6">
        <v>2300</v>
      </c>
      <c r="F223" s="18">
        <v>147717.38645376224</v>
      </c>
      <c r="G223" s="18">
        <v>88308.428257839449</v>
      </c>
      <c r="H223" s="18">
        <v>151640.97404663049</v>
      </c>
      <c r="I223" s="18">
        <v>3016.9405923223389</v>
      </c>
      <c r="J223" s="18">
        <v>0</v>
      </c>
      <c r="K223" s="18">
        <v>3550.6146519487083</v>
      </c>
      <c r="L223" s="19">
        <f t="shared" si="2"/>
        <v>394234.3440025032</v>
      </c>
      <c r="M223" s="8"/>
      <c r="N223" s="265"/>
    </row>
    <row r="224" spans="1:14" s="3" customFormat="1" ht="12.2" customHeight="1" x14ac:dyDescent="0.15">
      <c r="A224" s="1" t="s">
        <v>445</v>
      </c>
      <c r="B224" s="2" t="s">
        <v>346</v>
      </c>
      <c r="C224" s="2" t="s">
        <v>297</v>
      </c>
      <c r="D224" s="2" t="s">
        <v>431</v>
      </c>
      <c r="E224" s="6">
        <v>2400</v>
      </c>
      <c r="F224" s="18">
        <v>444145.32</v>
      </c>
      <c r="G224" s="18">
        <v>234071.98</v>
      </c>
      <c r="H224" s="18">
        <v>2341.5499999999997</v>
      </c>
      <c r="I224" s="18">
        <v>2232.81</v>
      </c>
      <c r="J224" s="18">
        <v>0</v>
      </c>
      <c r="K224" s="18">
        <v>1458.99</v>
      </c>
      <c r="L224" s="19">
        <f t="shared" si="2"/>
        <v>684250.65000000014</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0</v>
      </c>
      <c r="G226" s="18">
        <v>0</v>
      </c>
      <c r="H226" s="18">
        <v>1154800.1072143645</v>
      </c>
      <c r="I226" s="18">
        <v>295758.45704627107</v>
      </c>
      <c r="J226" s="18">
        <v>0</v>
      </c>
      <c r="K226" s="18">
        <v>0</v>
      </c>
      <c r="L226" s="19">
        <f t="shared" si="2"/>
        <v>1450558.5642606355</v>
      </c>
      <c r="M226" s="8"/>
      <c r="N226" s="265"/>
    </row>
    <row r="227" spans="1:14" s="3" customFormat="1" ht="12.2" customHeight="1" x14ac:dyDescent="0.15">
      <c r="A227" s="1" t="s">
        <v>448</v>
      </c>
      <c r="B227" s="2" t="s">
        <v>346</v>
      </c>
      <c r="C227" s="2" t="s">
        <v>300</v>
      </c>
      <c r="D227" s="2" t="s">
        <v>431</v>
      </c>
      <c r="E227" s="6">
        <v>2700</v>
      </c>
      <c r="F227" s="18">
        <v>1417.0446731734596</v>
      </c>
      <c r="G227" s="18">
        <v>108.41313750815567</v>
      </c>
      <c r="H227" s="18">
        <v>908537.27243895549</v>
      </c>
      <c r="I227" s="18">
        <v>0</v>
      </c>
      <c r="J227" s="18">
        <v>0</v>
      </c>
      <c r="K227" s="18">
        <v>0</v>
      </c>
      <c r="L227" s="19">
        <f t="shared" si="2"/>
        <v>910062.73024963716</v>
      </c>
      <c r="M227" s="8"/>
      <c r="N227" s="265"/>
    </row>
    <row r="228" spans="1:14" s="3" customFormat="1" ht="12.2" customHeight="1" x14ac:dyDescent="0.15">
      <c r="A228" s="1" t="s">
        <v>449</v>
      </c>
      <c r="B228" s="2" t="s">
        <v>346</v>
      </c>
      <c r="C228" s="2" t="s">
        <v>343</v>
      </c>
      <c r="D228" s="2" t="s">
        <v>431</v>
      </c>
      <c r="E228" s="6">
        <v>2800</v>
      </c>
      <c r="F228" s="18">
        <v>101337.64670574293</v>
      </c>
      <c r="G228" s="18">
        <v>85872.043853770243</v>
      </c>
      <c r="H228" s="18">
        <v>46819.936156376076</v>
      </c>
      <c r="I228" s="18">
        <v>94131.437875714037</v>
      </c>
      <c r="J228" s="18">
        <v>25912.634931199314</v>
      </c>
      <c r="K228" s="18">
        <v>1325.624724038295</v>
      </c>
      <c r="L228" s="19">
        <f>SUM(F228:K228)</f>
        <v>355399.3242468409</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7582663.2355484227</v>
      </c>
      <c r="G230" s="41">
        <f>SUM(G216:G229)</f>
        <v>3963298.2548669921</v>
      </c>
      <c r="H230" s="41">
        <f>SUM(H216:H229)</f>
        <v>3792631.6012005704</v>
      </c>
      <c r="I230" s="41">
        <f>SUM(I216:I229)</f>
        <v>669110.38034604071</v>
      </c>
      <c r="J230" s="41">
        <f>SUM(J216:J229)</f>
        <v>37943.390807552496</v>
      </c>
      <c r="K230" s="41">
        <f t="shared" si="3"/>
        <v>16010.669803997282</v>
      </c>
      <c r="L230" s="41">
        <f t="shared" si="3"/>
        <v>16061657.532573573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4939841.8734535612</v>
      </c>
      <c r="G234" s="18">
        <v>2864577.8000837276</v>
      </c>
      <c r="H234" s="18">
        <v>4216.32</v>
      </c>
      <c r="I234" s="18">
        <v>111997.67107551165</v>
      </c>
      <c r="J234" s="18">
        <v>5191.5599999999995</v>
      </c>
      <c r="K234" s="18">
        <v>0</v>
      </c>
      <c r="L234" s="19">
        <f>SUM(F234:K234)</f>
        <v>7925825.2246128004</v>
      </c>
      <c r="M234" s="8"/>
      <c r="N234" s="265"/>
    </row>
    <row r="235" spans="1:14" s="3" customFormat="1" ht="12.2" customHeight="1" x14ac:dyDescent="0.15">
      <c r="A235" s="1" t="s">
        <v>439</v>
      </c>
      <c r="B235" s="2" t="s">
        <v>350</v>
      </c>
      <c r="C235" s="2" t="s">
        <v>291</v>
      </c>
      <c r="D235" s="2" t="s">
        <v>431</v>
      </c>
      <c r="E235" s="6">
        <v>1200</v>
      </c>
      <c r="F235" s="18">
        <v>2148618.9299581097</v>
      </c>
      <c r="G235" s="18">
        <v>934250.620619033</v>
      </c>
      <c r="H235" s="18">
        <v>2019133.7217260487</v>
      </c>
      <c r="I235" s="18">
        <v>21044.45772833917</v>
      </c>
      <c r="J235" s="18">
        <v>16342.534215656249</v>
      </c>
      <c r="K235" s="18">
        <v>12926.401008295494</v>
      </c>
      <c r="L235" s="19">
        <f>SUM(F235:K235)</f>
        <v>5152316.6652554832</v>
      </c>
      <c r="M235" s="8"/>
      <c r="N235" s="265"/>
    </row>
    <row r="236" spans="1:14" s="3" customFormat="1" ht="12.2" customHeight="1" x14ac:dyDescent="0.15">
      <c r="A236" s="1" t="s">
        <v>440</v>
      </c>
      <c r="B236" s="2" t="s">
        <v>350</v>
      </c>
      <c r="C236" s="2" t="s">
        <v>292</v>
      </c>
      <c r="D236" s="2" t="s">
        <v>431</v>
      </c>
      <c r="E236" s="6">
        <v>1300</v>
      </c>
      <c r="F236" s="18">
        <v>1138355.8400000001</v>
      </c>
      <c r="G236" s="18">
        <v>663376.36999999988</v>
      </c>
      <c r="H236" s="18">
        <v>40742.36</v>
      </c>
      <c r="I236" s="18">
        <v>131874.26</v>
      </c>
      <c r="J236" s="18">
        <v>11149.76</v>
      </c>
      <c r="K236" s="18">
        <v>8388</v>
      </c>
      <c r="L236" s="19">
        <f>SUM(F236:K236)</f>
        <v>1993886.59</v>
      </c>
      <c r="M236" s="8"/>
      <c r="N236" s="265"/>
    </row>
    <row r="237" spans="1:14" s="3" customFormat="1" ht="12.2" customHeight="1" x14ac:dyDescent="0.15">
      <c r="A237" s="1" t="s">
        <v>441</v>
      </c>
      <c r="B237" s="2" t="s">
        <v>350</v>
      </c>
      <c r="C237" s="2" t="s">
        <v>293</v>
      </c>
      <c r="D237" s="2" t="s">
        <v>431</v>
      </c>
      <c r="E237" s="6">
        <v>1400</v>
      </c>
      <c r="F237" s="18">
        <v>340420.1451509035</v>
      </c>
      <c r="G237" s="18">
        <v>124801.88266009775</v>
      </c>
      <c r="H237" s="18">
        <v>55658.593250422768</v>
      </c>
      <c r="I237" s="18">
        <v>65230.495891239785</v>
      </c>
      <c r="J237" s="18">
        <v>26636.15</v>
      </c>
      <c r="K237" s="18">
        <v>42730.74</v>
      </c>
      <c r="L237" s="19">
        <f>SUM(F237:K237)</f>
        <v>655478.00695266377</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769660.85538882308</v>
      </c>
      <c r="G239" s="18">
        <v>469492.38510318106</v>
      </c>
      <c r="H239" s="18">
        <v>136301.49806828139</v>
      </c>
      <c r="I239" s="18">
        <v>3035.25</v>
      </c>
      <c r="J239" s="18">
        <v>1069</v>
      </c>
      <c r="K239" s="18">
        <v>0</v>
      </c>
      <c r="L239" s="19">
        <f t="shared" ref="L239:L245" si="4">SUM(F239:K239)</f>
        <v>1379558.9885602857</v>
      </c>
      <c r="M239" s="8"/>
      <c r="N239" s="265"/>
    </row>
    <row r="240" spans="1:14" s="3" customFormat="1" ht="12.2" customHeight="1" x14ac:dyDescent="0.15">
      <c r="A240" s="1" t="s">
        <v>443</v>
      </c>
      <c r="B240" s="2" t="s">
        <v>350</v>
      </c>
      <c r="C240" s="2" t="s">
        <v>295</v>
      </c>
      <c r="D240" s="2" t="s">
        <v>431</v>
      </c>
      <c r="E240" s="6">
        <v>2200</v>
      </c>
      <c r="F240" s="18">
        <v>211923.74073908466</v>
      </c>
      <c r="G240" s="18">
        <v>92049.402368863259</v>
      </c>
      <c r="H240" s="18">
        <v>23514.282602095842</v>
      </c>
      <c r="I240" s="18">
        <v>47596.485634572105</v>
      </c>
      <c r="J240" s="18">
        <v>0</v>
      </c>
      <c r="K240" s="18">
        <v>186.9048667794037</v>
      </c>
      <c r="L240" s="19">
        <f t="shared" si="4"/>
        <v>375270.81621139526</v>
      </c>
      <c r="M240" s="8"/>
      <c r="N240" s="265"/>
    </row>
    <row r="241" spans="1:14" s="3" customFormat="1" ht="12.2" customHeight="1" x14ac:dyDescent="0.15">
      <c r="A241" s="1" t="s">
        <v>444</v>
      </c>
      <c r="B241" s="2" t="s">
        <v>350</v>
      </c>
      <c r="C241" s="2" t="s">
        <v>296</v>
      </c>
      <c r="D241" s="2" t="s">
        <v>431</v>
      </c>
      <c r="E241" s="6">
        <v>2300</v>
      </c>
      <c r="F241" s="18">
        <v>209742.38172333254</v>
      </c>
      <c r="G241" s="18">
        <v>125388.21944863585</v>
      </c>
      <c r="H241" s="18">
        <v>215605.91096411494</v>
      </c>
      <c r="I241" s="18">
        <v>4283.722590431551</v>
      </c>
      <c r="J241" s="18">
        <v>0</v>
      </c>
      <c r="K241" s="18">
        <v>5041.4808409475227</v>
      </c>
      <c r="L241" s="19">
        <f t="shared" si="4"/>
        <v>560061.71556746238</v>
      </c>
      <c r="M241" s="8"/>
      <c r="N241" s="265"/>
    </row>
    <row r="242" spans="1:14" s="3" customFormat="1" ht="12.2" customHeight="1" x14ac:dyDescent="0.15">
      <c r="A242" s="1" t="s">
        <v>445</v>
      </c>
      <c r="B242" s="2" t="s">
        <v>350</v>
      </c>
      <c r="C242" s="2" t="s">
        <v>297</v>
      </c>
      <c r="D242" s="2" t="s">
        <v>431</v>
      </c>
      <c r="E242" s="6">
        <v>2400</v>
      </c>
      <c r="F242" s="18">
        <v>682564.88000000012</v>
      </c>
      <c r="G242" s="18">
        <v>401909.55000000005</v>
      </c>
      <c r="H242" s="18">
        <v>19095.68</v>
      </c>
      <c r="I242" s="18">
        <v>5376.03</v>
      </c>
      <c r="J242" s="18">
        <v>0</v>
      </c>
      <c r="K242" s="18">
        <v>5783</v>
      </c>
      <c r="L242" s="19">
        <f t="shared" si="4"/>
        <v>1114729.1400000001</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1492738.5570243536</v>
      </c>
      <c r="I244" s="18">
        <v>552589.82687729853</v>
      </c>
      <c r="J244" s="18">
        <v>0</v>
      </c>
      <c r="K244" s="18">
        <v>0</v>
      </c>
      <c r="L244" s="19">
        <f t="shared" si="4"/>
        <v>2045328.3839016522</v>
      </c>
      <c r="M244" s="8"/>
      <c r="N244" s="265"/>
    </row>
    <row r="245" spans="1:14" s="3" customFormat="1" ht="12.2" customHeight="1" x14ac:dyDescent="0.15">
      <c r="A245" s="1" t="s">
        <v>448</v>
      </c>
      <c r="B245" s="2" t="s">
        <v>350</v>
      </c>
      <c r="C245" s="2" t="s">
        <v>300</v>
      </c>
      <c r="D245" s="2" t="s">
        <v>431</v>
      </c>
      <c r="E245" s="6">
        <v>2700</v>
      </c>
      <c r="F245" s="18">
        <v>2012.0470033687964</v>
      </c>
      <c r="G245" s="18">
        <v>153.93468715463172</v>
      </c>
      <c r="H245" s="18">
        <v>1872953.6169625965</v>
      </c>
      <c r="I245" s="18">
        <v>137.36000000000001</v>
      </c>
      <c r="J245" s="18">
        <v>0</v>
      </c>
      <c r="K245" s="18">
        <v>0</v>
      </c>
      <c r="L245" s="19">
        <f t="shared" si="4"/>
        <v>1875256.9586531201</v>
      </c>
      <c r="M245" s="8"/>
      <c r="N245" s="265"/>
    </row>
    <row r="246" spans="1:14" s="3" customFormat="1" ht="12.2" customHeight="1" x14ac:dyDescent="0.15">
      <c r="A246" s="1" t="s">
        <v>449</v>
      </c>
      <c r="B246" s="2" t="s">
        <v>350</v>
      </c>
      <c r="C246" s="2" t="s">
        <v>343</v>
      </c>
      <c r="D246" s="2" t="s">
        <v>431</v>
      </c>
      <c r="E246" s="6">
        <v>2800</v>
      </c>
      <c r="F246" s="18">
        <v>198752.34546088599</v>
      </c>
      <c r="G246" s="18">
        <v>158603.88594748403</v>
      </c>
      <c r="H246" s="18">
        <v>66479.140724890472</v>
      </c>
      <c r="I246" s="18">
        <v>133656.25028353816</v>
      </c>
      <c r="J246" s="18">
        <v>36793.081015539072</v>
      </c>
      <c r="K246" s="18">
        <v>1882.2407677660747</v>
      </c>
      <c r="L246" s="19">
        <f>SUM(F246:K246)</f>
        <v>596166.94420010375</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10641893.03887807</v>
      </c>
      <c r="G248" s="41">
        <f t="shared" si="5"/>
        <v>5834604.0509181758</v>
      </c>
      <c r="H248" s="41">
        <f t="shared" si="5"/>
        <v>5946439.6813228056</v>
      </c>
      <c r="I248" s="41">
        <f t="shared" si="5"/>
        <v>1076821.8100809311</v>
      </c>
      <c r="J248" s="41">
        <f t="shared" si="5"/>
        <v>97182.08523119532</v>
      </c>
      <c r="K248" s="41">
        <f t="shared" si="5"/>
        <v>76938.767483788499</v>
      </c>
      <c r="L248" s="41">
        <f t="shared" si="5"/>
        <v>23673879.433914963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128852.36</v>
      </c>
      <c r="G252" s="18">
        <v>75366.37</v>
      </c>
      <c r="H252" s="18">
        <v>0</v>
      </c>
      <c r="I252" s="18">
        <v>0</v>
      </c>
      <c r="J252" s="18">
        <v>0</v>
      </c>
      <c r="K252" s="18">
        <v>0</v>
      </c>
      <c r="L252" s="19">
        <f t="shared" si="6"/>
        <v>204218.72999999998</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2806.54</v>
      </c>
      <c r="G255" s="18">
        <v>1360.23</v>
      </c>
      <c r="H255" s="18">
        <v>0</v>
      </c>
      <c r="I255" s="18">
        <v>0</v>
      </c>
      <c r="J255" s="18">
        <v>0</v>
      </c>
      <c r="K255" s="18">
        <v>0</v>
      </c>
      <c r="L255" s="19">
        <f t="shared" si="6"/>
        <v>4166.7700000000004</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131658.9</v>
      </c>
      <c r="G257" s="41">
        <f t="shared" si="7"/>
        <v>76726.599999999991</v>
      </c>
      <c r="H257" s="41">
        <f t="shared" si="7"/>
        <v>0</v>
      </c>
      <c r="I257" s="41">
        <f t="shared" si="7"/>
        <v>0</v>
      </c>
      <c r="J257" s="41">
        <f t="shared" si="7"/>
        <v>0</v>
      </c>
      <c r="K257" s="41">
        <f t="shared" si="7"/>
        <v>0</v>
      </c>
      <c r="L257" s="41">
        <f>SUM(F257:K257)</f>
        <v>208385.5</v>
      </c>
      <c r="M257" s="8"/>
      <c r="N257" s="265"/>
    </row>
    <row r="258" spans="1:14" s="3" customFormat="1" ht="12.2" customHeight="1" thickTop="1" x14ac:dyDescent="0.15">
      <c r="A258" s="38" t="s">
        <v>462</v>
      </c>
      <c r="B258" s="40">
        <v>10</v>
      </c>
      <c r="C258" s="40">
        <v>8</v>
      </c>
      <c r="D258" s="39" t="s">
        <v>431</v>
      </c>
      <c r="E258" s="40"/>
      <c r="F258" s="41">
        <f t="shared" ref="F258:L258" si="8">F212+F230+F248+F257</f>
        <v>29588708.93</v>
      </c>
      <c r="G258" s="41">
        <f t="shared" si="8"/>
        <v>15902346.679999998</v>
      </c>
      <c r="H258" s="41">
        <f t="shared" si="8"/>
        <v>13951841.490000002</v>
      </c>
      <c r="I258" s="41">
        <f t="shared" si="8"/>
        <v>2631048.5499999998</v>
      </c>
      <c r="J258" s="41">
        <f t="shared" si="8"/>
        <v>241929.93</v>
      </c>
      <c r="K258" s="41">
        <f t="shared" si="8"/>
        <v>112370.58</v>
      </c>
      <c r="L258" s="41">
        <f t="shared" si="8"/>
        <v>62428246.159999996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3224673.84</v>
      </c>
      <c r="L261" s="19">
        <f>SUM(F261:K261)</f>
        <v>3224673.84</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3168921.3</v>
      </c>
      <c r="L262" s="19">
        <f>SUM(F262:K262)</f>
        <v>3168921.3</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800000</v>
      </c>
      <c r="L266" s="19">
        <f t="shared" si="9"/>
        <v>800000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7193595.1399999997</v>
      </c>
      <c r="L271" s="41">
        <f t="shared" si="9"/>
        <v>7193595.1399999997</v>
      </c>
      <c r="M271" s="8"/>
      <c r="N271" s="265"/>
    </row>
    <row r="272" spans="1:14" s="34" customFormat="1" ht="12.2" customHeight="1" thickTop="1" x14ac:dyDescent="0.2">
      <c r="A272" s="43" t="s">
        <v>464</v>
      </c>
      <c r="B272" s="40">
        <v>10</v>
      </c>
      <c r="C272" s="40">
        <v>18</v>
      </c>
      <c r="D272" s="39" t="s">
        <v>431</v>
      </c>
      <c r="E272" s="40"/>
      <c r="F272" s="42">
        <f t="shared" ref="F272:L272" si="11">F258+F271</f>
        <v>29588708.93</v>
      </c>
      <c r="G272" s="42">
        <f t="shared" si="11"/>
        <v>15902346.679999998</v>
      </c>
      <c r="H272" s="42">
        <f t="shared" si="11"/>
        <v>13951841.490000002</v>
      </c>
      <c r="I272" s="42">
        <f t="shared" si="11"/>
        <v>2631048.5499999998</v>
      </c>
      <c r="J272" s="42">
        <f t="shared" si="11"/>
        <v>241929.93</v>
      </c>
      <c r="K272" s="42">
        <f t="shared" si="11"/>
        <v>7305965.7199999997</v>
      </c>
      <c r="L272" s="42">
        <f t="shared" si="11"/>
        <v>69621841.299999997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519979.31196537992</v>
      </c>
      <c r="G277" s="18">
        <v>185972.85786751175</v>
      </c>
      <c r="H277" s="18">
        <v>28805.293977443711</v>
      </c>
      <c r="I277" s="18">
        <v>31259.486357305497</v>
      </c>
      <c r="J277" s="18">
        <v>163657.95373430449</v>
      </c>
      <c r="K277" s="18">
        <v>0</v>
      </c>
      <c r="L277" s="19">
        <f>SUM(F277:K277)</f>
        <v>929674.90390194545</v>
      </c>
      <c r="M277" s="8"/>
      <c r="N277" s="265"/>
    </row>
    <row r="278" spans="1:14" s="3" customFormat="1" ht="12.2" customHeight="1" x14ac:dyDescent="0.15">
      <c r="A278" s="1" t="s">
        <v>439</v>
      </c>
      <c r="B278" s="2" t="s">
        <v>357</v>
      </c>
      <c r="C278" s="2" t="s">
        <v>291</v>
      </c>
      <c r="D278" s="2" t="s">
        <v>431</v>
      </c>
      <c r="E278" s="6">
        <v>1200</v>
      </c>
      <c r="F278" s="18">
        <v>274231.21803754941</v>
      </c>
      <c r="G278" s="18">
        <v>126220.57158977912</v>
      </c>
      <c r="H278" s="18">
        <v>6279.6918815994468</v>
      </c>
      <c r="I278" s="18">
        <v>4886.6002033261875</v>
      </c>
      <c r="J278" s="18">
        <v>5308.3997972330599</v>
      </c>
      <c r="K278" s="18">
        <v>14.442722014354004</v>
      </c>
      <c r="L278" s="19">
        <f>SUM(F278:K278)</f>
        <v>416940.92423150153</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6667.9950257653027</v>
      </c>
      <c r="G282" s="18">
        <v>6321.6101965619637</v>
      </c>
      <c r="H282" s="18">
        <v>0</v>
      </c>
      <c r="I282" s="18">
        <v>0</v>
      </c>
      <c r="J282" s="18">
        <v>149695.42479610126</v>
      </c>
      <c r="K282" s="18">
        <v>0</v>
      </c>
      <c r="L282" s="19">
        <f t="shared" ref="L282:L288" si="12">SUM(F282:K282)</f>
        <v>162685.03001842852</v>
      </c>
      <c r="M282" s="8"/>
      <c r="N282" s="265"/>
    </row>
    <row r="283" spans="1:14" s="3" customFormat="1" ht="12.2" customHeight="1" x14ac:dyDescent="0.15">
      <c r="A283" s="1" t="s">
        <v>443</v>
      </c>
      <c r="B283" s="2" t="s">
        <v>357</v>
      </c>
      <c r="C283" s="2" t="s">
        <v>295</v>
      </c>
      <c r="D283" s="2" t="s">
        <v>431</v>
      </c>
      <c r="E283" s="6">
        <v>2200</v>
      </c>
      <c r="F283" s="18">
        <v>62583.612457277544</v>
      </c>
      <c r="G283" s="18">
        <v>46080.449252393453</v>
      </c>
      <c r="H283" s="18">
        <v>14726.121638859669</v>
      </c>
      <c r="I283" s="18">
        <v>0</v>
      </c>
      <c r="J283" s="18">
        <v>3663.4103894755067</v>
      </c>
      <c r="K283" s="18">
        <v>0</v>
      </c>
      <c r="L283" s="19">
        <f t="shared" si="12"/>
        <v>127053.59373800617</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520.92999999999995</v>
      </c>
      <c r="J284" s="18">
        <v>0</v>
      </c>
      <c r="K284" s="18">
        <v>0</v>
      </c>
      <c r="L284" s="19">
        <f t="shared" si="12"/>
        <v>520.92999999999995</v>
      </c>
      <c r="M284" s="8"/>
      <c r="N284" s="265"/>
    </row>
    <row r="285" spans="1:14" s="3" customFormat="1" ht="12.2" customHeight="1" x14ac:dyDescent="0.15">
      <c r="A285" s="1" t="s">
        <v>445</v>
      </c>
      <c r="B285" s="2" t="s">
        <v>357</v>
      </c>
      <c r="C285" s="2" t="s">
        <v>297</v>
      </c>
      <c r="D285" s="2" t="s">
        <v>431</v>
      </c>
      <c r="E285" s="6">
        <v>2400</v>
      </c>
      <c r="F285" s="18">
        <v>28019.930916632275</v>
      </c>
      <c r="G285" s="18">
        <v>7214.0471650976697</v>
      </c>
      <c r="H285" s="18">
        <v>0</v>
      </c>
      <c r="I285" s="18">
        <v>0</v>
      </c>
      <c r="J285" s="18">
        <v>0</v>
      </c>
      <c r="K285" s="18">
        <v>0</v>
      </c>
      <c r="L285" s="19">
        <f t="shared" si="12"/>
        <v>35233.978081729947</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12997.581431325816</v>
      </c>
      <c r="G287" s="18">
        <v>6253.8365700856175</v>
      </c>
      <c r="H287" s="18">
        <v>16902.718533707943</v>
      </c>
      <c r="I287" s="18">
        <v>3901.1306342392254</v>
      </c>
      <c r="J287" s="18">
        <v>0</v>
      </c>
      <c r="K287" s="18">
        <v>0</v>
      </c>
      <c r="L287" s="19">
        <f t="shared" si="12"/>
        <v>40055.267169358602</v>
      </c>
      <c r="M287" s="8"/>
      <c r="N287" s="265"/>
    </row>
    <row r="288" spans="1:14" s="3" customFormat="1" ht="12.2" customHeight="1" x14ac:dyDescent="0.15">
      <c r="A288" s="1" t="s">
        <v>448</v>
      </c>
      <c r="B288" s="2" t="s">
        <v>357</v>
      </c>
      <c r="C288" s="2" t="s">
        <v>300</v>
      </c>
      <c r="D288" s="2" t="s">
        <v>431</v>
      </c>
      <c r="E288" s="6">
        <v>2700</v>
      </c>
      <c r="F288" s="18">
        <v>0</v>
      </c>
      <c r="G288" s="18">
        <v>0</v>
      </c>
      <c r="H288" s="18">
        <v>737.24970237413629</v>
      </c>
      <c r="I288" s="18">
        <v>31.537613081050853</v>
      </c>
      <c r="J288" s="18">
        <v>0</v>
      </c>
      <c r="K288" s="18">
        <v>0</v>
      </c>
      <c r="L288" s="19">
        <f t="shared" si="12"/>
        <v>768.78731545518713</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904479.64983393019</v>
      </c>
      <c r="G291" s="42">
        <f t="shared" si="13"/>
        <v>378063.37264142954</v>
      </c>
      <c r="H291" s="42">
        <f t="shared" si="13"/>
        <v>67451.075733984893</v>
      </c>
      <c r="I291" s="42">
        <f t="shared" si="13"/>
        <v>40599.684807951962</v>
      </c>
      <c r="J291" s="42">
        <f t="shared" si="13"/>
        <v>322325.18871711433</v>
      </c>
      <c r="K291" s="42">
        <f t="shared" si="13"/>
        <v>14.442722014354004</v>
      </c>
      <c r="L291" s="41">
        <f t="shared" si="13"/>
        <v>1712933.4144564257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230527.43049472044</v>
      </c>
      <c r="G296" s="18">
        <v>75683.827008641703</v>
      </c>
      <c r="H296" s="18">
        <v>25116.726754637086</v>
      </c>
      <c r="I296" s="18">
        <v>19802.012907950626</v>
      </c>
      <c r="J296" s="18">
        <v>148099.75021371219</v>
      </c>
      <c r="K296" s="18">
        <v>0</v>
      </c>
      <c r="L296" s="19">
        <f>SUM(F296:K296)</f>
        <v>499229.747379662</v>
      </c>
      <c r="M296" s="8"/>
      <c r="N296" s="265"/>
    </row>
    <row r="297" spans="1:14" s="3" customFormat="1" ht="12.2" customHeight="1" x14ac:dyDescent="0.15">
      <c r="A297" s="1" t="s">
        <v>439</v>
      </c>
      <c r="B297" s="2" t="s">
        <v>358</v>
      </c>
      <c r="C297" s="2" t="s">
        <v>291</v>
      </c>
      <c r="D297" s="2" t="s">
        <v>431</v>
      </c>
      <c r="E297" s="6">
        <v>1200</v>
      </c>
      <c r="F297" s="18">
        <v>234189.83018649547</v>
      </c>
      <c r="G297" s="18">
        <v>111201.90569590285</v>
      </c>
      <c r="H297" s="18">
        <v>2673.8030119439154</v>
      </c>
      <c r="I297" s="18">
        <v>3668.940009853397</v>
      </c>
      <c r="J297" s="18">
        <v>1842.9353929241952</v>
      </c>
      <c r="K297" s="18">
        <v>13.069719337958215</v>
      </c>
      <c r="L297" s="19">
        <f>SUM(F297:K297)</f>
        <v>353590.48401645781</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6034.0996279676692</v>
      </c>
      <c r="G301" s="18">
        <v>4527.1637095910846</v>
      </c>
      <c r="H301" s="18">
        <v>0</v>
      </c>
      <c r="I301" s="18">
        <v>0</v>
      </c>
      <c r="J301" s="18">
        <v>135464.57422063619</v>
      </c>
      <c r="K301" s="18">
        <v>0</v>
      </c>
      <c r="L301" s="19">
        <f t="shared" ref="L301:L307" si="14">SUM(F301:K301)</f>
        <v>146025.83755819494</v>
      </c>
      <c r="M301" s="8"/>
      <c r="N301" s="265"/>
    </row>
    <row r="302" spans="1:14" s="3" customFormat="1" ht="12.2" customHeight="1" x14ac:dyDescent="0.15">
      <c r="A302" s="1" t="s">
        <v>443</v>
      </c>
      <c r="B302" s="2" t="s">
        <v>358</v>
      </c>
      <c r="C302" s="2" t="s">
        <v>295</v>
      </c>
      <c r="D302" s="2" t="s">
        <v>431</v>
      </c>
      <c r="E302" s="6">
        <v>2200</v>
      </c>
      <c r="F302" s="18">
        <v>56634.078337811748</v>
      </c>
      <c r="G302" s="18">
        <v>39375.949420220772</v>
      </c>
      <c r="H302" s="18">
        <v>13326.177473003021</v>
      </c>
      <c r="I302" s="18">
        <v>0</v>
      </c>
      <c r="J302" s="18">
        <v>3315.1469343950148</v>
      </c>
      <c r="K302" s="18">
        <v>0</v>
      </c>
      <c r="L302" s="19">
        <f t="shared" si="14"/>
        <v>112651.35216543055</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25356.205885940268</v>
      </c>
      <c r="G304" s="18">
        <v>6528.2411199850867</v>
      </c>
      <c r="H304" s="18">
        <v>0</v>
      </c>
      <c r="I304" s="18">
        <v>0</v>
      </c>
      <c r="J304" s="18">
        <v>0</v>
      </c>
      <c r="K304" s="18">
        <v>0</v>
      </c>
      <c r="L304" s="19">
        <f t="shared" si="14"/>
        <v>31884.447005925354</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11761.961575584879</v>
      </c>
      <c r="G306" s="18">
        <v>5659.3132980919017</v>
      </c>
      <c r="H306" s="18">
        <v>15295.855384082768</v>
      </c>
      <c r="I306" s="18">
        <v>3530.2682167214821</v>
      </c>
      <c r="J306" s="18">
        <v>0</v>
      </c>
      <c r="K306" s="18">
        <v>0</v>
      </c>
      <c r="L306" s="19">
        <f t="shared" si="14"/>
        <v>36247.39847448103</v>
      </c>
      <c r="M306" s="8"/>
      <c r="N306" s="265"/>
    </row>
    <row r="307" spans="1:14" s="3" customFormat="1" ht="12.2" customHeight="1" x14ac:dyDescent="0.15">
      <c r="A307" s="1" t="s">
        <v>448</v>
      </c>
      <c r="B307" s="2" t="s">
        <v>358</v>
      </c>
      <c r="C307" s="2" t="s">
        <v>300</v>
      </c>
      <c r="D307" s="2" t="s">
        <v>431</v>
      </c>
      <c r="E307" s="6">
        <v>2700</v>
      </c>
      <c r="F307" s="18">
        <v>0</v>
      </c>
      <c r="G307" s="18">
        <v>0</v>
      </c>
      <c r="H307" s="18">
        <v>667.16278845820955</v>
      </c>
      <c r="I307" s="18">
        <v>28.53947830255256</v>
      </c>
      <c r="J307" s="18">
        <v>0</v>
      </c>
      <c r="K307" s="18">
        <v>0</v>
      </c>
      <c r="L307" s="19">
        <f t="shared" si="14"/>
        <v>695.70226676076209</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564503.60610852041</v>
      </c>
      <c r="G310" s="42">
        <f t="shared" si="15"/>
        <v>242976.40025243341</v>
      </c>
      <c r="H310" s="42">
        <f t="shared" si="15"/>
        <v>57079.725412125001</v>
      </c>
      <c r="I310" s="42">
        <f t="shared" si="15"/>
        <v>27029.760612828057</v>
      </c>
      <c r="J310" s="42">
        <f t="shared" si="15"/>
        <v>288722.40676166763</v>
      </c>
      <c r="K310" s="42">
        <f t="shared" si="15"/>
        <v>13.069719337958215</v>
      </c>
      <c r="L310" s="41">
        <f t="shared" si="15"/>
        <v>1180324.9688669126</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197964.85753989959</v>
      </c>
      <c r="G315" s="18">
        <v>72316.095123846564</v>
      </c>
      <c r="H315" s="18">
        <v>35662.979267919196</v>
      </c>
      <c r="I315" s="18">
        <v>7233.5607347438781</v>
      </c>
      <c r="J315" s="18">
        <v>210285.29605198328</v>
      </c>
      <c r="K315" s="18">
        <v>0</v>
      </c>
      <c r="L315" s="19">
        <f>SUM(F315:K315)</f>
        <v>523462.78871839249</v>
      </c>
      <c r="M315" s="8"/>
      <c r="N315" s="265"/>
    </row>
    <row r="316" spans="1:14" s="3" customFormat="1" ht="12.2" customHeight="1" x14ac:dyDescent="0.15">
      <c r="A316" s="1" t="s">
        <v>439</v>
      </c>
      <c r="B316" s="2" t="s">
        <v>359</v>
      </c>
      <c r="C316" s="2" t="s">
        <v>291</v>
      </c>
      <c r="D316" s="2" t="s">
        <v>431</v>
      </c>
      <c r="E316" s="6">
        <v>1200</v>
      </c>
      <c r="F316" s="18">
        <v>309729.67177595501</v>
      </c>
      <c r="G316" s="18">
        <v>153534.48271431806</v>
      </c>
      <c r="H316" s="18">
        <v>3796.5051064566378</v>
      </c>
      <c r="I316" s="18">
        <v>5209.4897868204143</v>
      </c>
      <c r="J316" s="18">
        <v>2616.7648098427449</v>
      </c>
      <c r="K316" s="18">
        <v>18.557558647687777</v>
      </c>
      <c r="L316" s="19">
        <f>SUM(F316:K316)</f>
        <v>474905.47175204061</v>
      </c>
      <c r="M316" s="8"/>
      <c r="N316" s="265"/>
    </row>
    <row r="317" spans="1:14" s="3" customFormat="1" ht="12.2" customHeight="1" x14ac:dyDescent="0.15">
      <c r="A317" s="1" t="s">
        <v>440</v>
      </c>
      <c r="B317" s="2" t="s">
        <v>359</v>
      </c>
      <c r="C317" s="2" t="s">
        <v>292</v>
      </c>
      <c r="D317" s="2" t="s">
        <v>431</v>
      </c>
      <c r="E317" s="6">
        <v>1300</v>
      </c>
      <c r="F317" s="18">
        <v>38928</v>
      </c>
      <c r="G317" s="18">
        <v>4716.16</v>
      </c>
      <c r="H317" s="18">
        <v>0</v>
      </c>
      <c r="I317" s="18">
        <v>128189.69999999998</v>
      </c>
      <c r="J317" s="18">
        <v>39494</v>
      </c>
      <c r="K317" s="18">
        <v>11054</v>
      </c>
      <c r="L317" s="19">
        <f>SUM(F317:K317)</f>
        <v>222381.86</v>
      </c>
      <c r="M317" s="8"/>
      <c r="N317" s="265"/>
    </row>
    <row r="318" spans="1:14" s="3" customFormat="1" ht="12.2" customHeight="1" x14ac:dyDescent="0.15">
      <c r="A318" s="1" t="s">
        <v>441</v>
      </c>
      <c r="B318" s="2" t="s">
        <v>359</v>
      </c>
      <c r="C318" s="2" t="s">
        <v>293</v>
      </c>
      <c r="D318" s="2" t="s">
        <v>431</v>
      </c>
      <c r="E318" s="6">
        <v>1400</v>
      </c>
      <c r="F318" s="18">
        <v>5125</v>
      </c>
      <c r="G318" s="18">
        <v>1195.93</v>
      </c>
      <c r="H318" s="18">
        <v>11691</v>
      </c>
      <c r="I318" s="18">
        <v>9381</v>
      </c>
      <c r="J318" s="18">
        <v>551</v>
      </c>
      <c r="K318" s="18">
        <v>0</v>
      </c>
      <c r="L318" s="19">
        <f>SUM(F318:K318)</f>
        <v>27943.93</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8567.7553462670257</v>
      </c>
      <c r="G320" s="18">
        <v>3752.8160938469528</v>
      </c>
      <c r="H320" s="18">
        <v>0</v>
      </c>
      <c r="I320" s="18">
        <v>0</v>
      </c>
      <c r="J320" s="18">
        <v>192344.74098326251</v>
      </c>
      <c r="K320" s="18">
        <v>0</v>
      </c>
      <c r="L320" s="19">
        <f t="shared" ref="L320:L326" si="16">SUM(F320:K320)</f>
        <v>204665.31242337648</v>
      </c>
      <c r="M320" s="8"/>
      <c r="N320" s="265"/>
    </row>
    <row r="321" spans="1:14" s="3" customFormat="1" ht="12.2" customHeight="1" x14ac:dyDescent="0.15">
      <c r="A321" s="1" t="s">
        <v>443</v>
      </c>
      <c r="B321" s="2" t="s">
        <v>359</v>
      </c>
      <c r="C321" s="2" t="s">
        <v>295</v>
      </c>
      <c r="D321" s="2" t="s">
        <v>431</v>
      </c>
      <c r="E321" s="6">
        <v>2200</v>
      </c>
      <c r="F321" s="18">
        <v>83492.139204910709</v>
      </c>
      <c r="G321" s="18">
        <v>56496.03132738579</v>
      </c>
      <c r="H321" s="18">
        <v>37577.2908881373</v>
      </c>
      <c r="I321" s="18">
        <v>1943</v>
      </c>
      <c r="J321" s="18">
        <v>4707.1426761294788</v>
      </c>
      <c r="K321" s="18">
        <v>11286.61</v>
      </c>
      <c r="L321" s="19">
        <f t="shared" si="16"/>
        <v>195502.21409656329</v>
      </c>
      <c r="M321" s="8"/>
      <c r="N321" s="265"/>
    </row>
    <row r="322" spans="1:14" s="3" customFormat="1" ht="12.2" customHeight="1" x14ac:dyDescent="0.15">
      <c r="A322" s="1" t="s">
        <v>444</v>
      </c>
      <c r="B322" s="2" t="s">
        <v>359</v>
      </c>
      <c r="C322" s="2" t="s">
        <v>296</v>
      </c>
      <c r="D322" s="2" t="s">
        <v>431</v>
      </c>
      <c r="E322" s="6">
        <v>2300</v>
      </c>
      <c r="F322" s="18">
        <v>0</v>
      </c>
      <c r="G322" s="18">
        <v>0</v>
      </c>
      <c r="H322" s="18">
        <v>710.47</v>
      </c>
      <c r="I322" s="18">
        <v>922.35</v>
      </c>
      <c r="J322" s="18">
        <v>0</v>
      </c>
      <c r="K322" s="18">
        <v>0</v>
      </c>
      <c r="L322" s="19">
        <f t="shared" si="16"/>
        <v>1632.8200000000002</v>
      </c>
      <c r="M322" s="8"/>
      <c r="N322" s="265"/>
    </row>
    <row r="323" spans="1:14" s="3" customFormat="1" ht="12.2" customHeight="1" x14ac:dyDescent="0.15">
      <c r="A323" s="1" t="s">
        <v>445</v>
      </c>
      <c r="B323" s="2" t="s">
        <v>359</v>
      </c>
      <c r="C323" s="2" t="s">
        <v>297</v>
      </c>
      <c r="D323" s="2" t="s">
        <v>431</v>
      </c>
      <c r="E323" s="6">
        <v>2400</v>
      </c>
      <c r="F323" s="18">
        <v>36003.013197427463</v>
      </c>
      <c r="G323" s="18">
        <v>9269.3817149172446</v>
      </c>
      <c r="H323" s="18">
        <v>0</v>
      </c>
      <c r="I323" s="18">
        <v>0</v>
      </c>
      <c r="J323" s="18">
        <v>0</v>
      </c>
      <c r="K323" s="18">
        <v>0</v>
      </c>
      <c r="L323" s="19">
        <f t="shared" si="16"/>
        <v>45272.394912344709</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24684.186993089304</v>
      </c>
      <c r="G325" s="18">
        <v>8646.3501318224771</v>
      </c>
      <c r="H325" s="18">
        <v>22434.166082209289</v>
      </c>
      <c r="I325" s="18">
        <v>5481.4311490392938</v>
      </c>
      <c r="J325" s="18">
        <v>0</v>
      </c>
      <c r="K325" s="18">
        <v>0</v>
      </c>
      <c r="L325" s="19">
        <f t="shared" si="16"/>
        <v>61246.134356160364</v>
      </c>
      <c r="M325" s="8"/>
      <c r="N325" s="265"/>
    </row>
    <row r="326" spans="1:14" s="3" customFormat="1" ht="12.2" customHeight="1" x14ac:dyDescent="0.15">
      <c r="A326" s="1" t="s">
        <v>448</v>
      </c>
      <c r="B326" s="2" t="s">
        <v>359</v>
      </c>
      <c r="C326" s="2" t="s">
        <v>300</v>
      </c>
      <c r="D326" s="2" t="s">
        <v>431</v>
      </c>
      <c r="E326" s="6">
        <v>2700</v>
      </c>
      <c r="F326" s="18">
        <v>0</v>
      </c>
      <c r="G326" s="18">
        <v>0</v>
      </c>
      <c r="H326" s="18">
        <v>947.29750916765408</v>
      </c>
      <c r="I326" s="18">
        <v>40.522908616396577</v>
      </c>
      <c r="J326" s="18">
        <v>0</v>
      </c>
      <c r="K326" s="18">
        <v>0</v>
      </c>
      <c r="L326" s="19">
        <f t="shared" si="16"/>
        <v>987.82041778405062</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704494.62405754917</v>
      </c>
      <c r="G329" s="42">
        <f t="shared" si="17"/>
        <v>309927.2471061371</v>
      </c>
      <c r="H329" s="42">
        <f t="shared" si="17"/>
        <v>112819.70885389009</v>
      </c>
      <c r="I329" s="42">
        <f t="shared" si="17"/>
        <v>158401.05457921998</v>
      </c>
      <c r="J329" s="42">
        <f t="shared" si="17"/>
        <v>449998.94452121801</v>
      </c>
      <c r="K329" s="42">
        <f t="shared" si="17"/>
        <v>22359.167558647689</v>
      </c>
      <c r="L329" s="41">
        <f t="shared" si="17"/>
        <v>1758000.7466766622</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168134.52000000002</v>
      </c>
      <c r="G334" s="18">
        <v>13397.46</v>
      </c>
      <c r="H334" s="18">
        <v>102609.34</v>
      </c>
      <c r="I334" s="18">
        <v>8385.84</v>
      </c>
      <c r="J334" s="18">
        <v>45350.2</v>
      </c>
      <c r="K334" s="18">
        <v>0</v>
      </c>
      <c r="L334" s="19">
        <f t="shared" si="18"/>
        <v>337877.36000000004</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168134.52000000002</v>
      </c>
      <c r="G338" s="41">
        <f t="shared" si="19"/>
        <v>13397.46</v>
      </c>
      <c r="H338" s="41">
        <f t="shared" si="19"/>
        <v>102609.34</v>
      </c>
      <c r="I338" s="41">
        <f t="shared" si="19"/>
        <v>8385.84</v>
      </c>
      <c r="J338" s="41">
        <f t="shared" si="19"/>
        <v>45350.2</v>
      </c>
      <c r="K338" s="41">
        <f t="shared" si="19"/>
        <v>0</v>
      </c>
      <c r="L338" s="41">
        <f t="shared" si="18"/>
        <v>337877.36000000004</v>
      </c>
      <c r="M338" s="8"/>
      <c r="N338" s="265"/>
    </row>
    <row r="339" spans="1:43" s="3" customFormat="1" ht="12.2" customHeight="1" thickTop="1" x14ac:dyDescent="0.15">
      <c r="A339" s="38" t="s">
        <v>468</v>
      </c>
      <c r="B339" s="40">
        <v>14</v>
      </c>
      <c r="C339" s="40">
        <v>7</v>
      </c>
      <c r="D339" s="39" t="s">
        <v>431</v>
      </c>
      <c r="E339" s="40"/>
      <c r="F339" s="41">
        <f t="shared" ref="F339:L339" si="20">F291+F310+F329+F338</f>
        <v>2341612.4</v>
      </c>
      <c r="G339" s="41">
        <f t="shared" si="20"/>
        <v>944364.48</v>
      </c>
      <c r="H339" s="41">
        <f t="shared" si="20"/>
        <v>339959.85</v>
      </c>
      <c r="I339" s="41">
        <f t="shared" si="20"/>
        <v>234416.34</v>
      </c>
      <c r="J339" s="41">
        <f t="shared" si="20"/>
        <v>1106396.74</v>
      </c>
      <c r="K339" s="41">
        <f t="shared" si="20"/>
        <v>22386.68</v>
      </c>
      <c r="L339" s="41">
        <f t="shared" si="20"/>
        <v>4989136.4900000012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136171.19</v>
      </c>
      <c r="L345" s="19">
        <f t="shared" ref="L345:L351" si="21">SUM(F345:K345)</f>
        <v>136171.19</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136171.19</v>
      </c>
      <c r="L352" s="41">
        <f>SUM(L342:L351)</f>
        <v>136171.19</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2341612.4</v>
      </c>
      <c r="G353" s="41">
        <f>G339</f>
        <v>944364.48</v>
      </c>
      <c r="H353" s="41">
        <f>H339</f>
        <v>339959.85</v>
      </c>
      <c r="I353" s="41">
        <f>I339</f>
        <v>234416.34</v>
      </c>
      <c r="J353" s="41">
        <f>J339</f>
        <v>1106396.74</v>
      </c>
      <c r="K353" s="47">
        <f>K339+K352</f>
        <v>158557.87</v>
      </c>
      <c r="L353" s="41">
        <f>L339+L352</f>
        <v>5125307.6800000016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10001.997241075353</v>
      </c>
      <c r="G359" s="18">
        <v>4367.5424631629412</v>
      </c>
      <c r="H359" s="18">
        <v>471702.11304038571</v>
      </c>
      <c r="I359" s="18">
        <v>37961.718277306565</v>
      </c>
      <c r="J359" s="18">
        <v>7884.0897751028624</v>
      </c>
      <c r="K359" s="18">
        <v>824.14742573334581</v>
      </c>
      <c r="L359" s="13">
        <f>SUM(F359:K359)</f>
        <v>532741.6082227669</v>
      </c>
      <c r="M359" s="8"/>
      <c r="N359" s="265"/>
    </row>
    <row r="360" spans="1:22" s="3" customFormat="1" ht="12.2" customHeight="1" x14ac:dyDescent="0.15">
      <c r="A360" s="1" t="s">
        <v>542</v>
      </c>
      <c r="B360" s="2" t="s">
        <v>366</v>
      </c>
      <c r="C360" s="6">
        <v>2</v>
      </c>
      <c r="D360" s="2" t="s">
        <v>431</v>
      </c>
      <c r="E360" s="6"/>
      <c r="F360" s="18">
        <v>9051.1536973409129</v>
      </c>
      <c r="G360" s="18">
        <v>3952.3404337092711</v>
      </c>
      <c r="H360" s="18">
        <v>426859.5783005819</v>
      </c>
      <c r="I360" s="18">
        <v>34352.873577289247</v>
      </c>
      <c r="J360" s="18">
        <v>7134.5858830108782</v>
      </c>
      <c r="K360" s="18">
        <v>745.79954780895059</v>
      </c>
      <c r="L360" s="19">
        <f>SUM(F360:K360)</f>
        <v>482096.33143974113</v>
      </c>
      <c r="M360" s="8"/>
      <c r="N360" s="265"/>
    </row>
    <row r="361" spans="1:22" s="3" customFormat="1" ht="12.2" customHeight="1" x14ac:dyDescent="0.15">
      <c r="A361" s="3" t="s">
        <v>543</v>
      </c>
      <c r="B361" s="2" t="s">
        <v>366</v>
      </c>
      <c r="C361" s="6">
        <v>3</v>
      </c>
      <c r="D361" s="2" t="s">
        <v>431</v>
      </c>
      <c r="E361" s="6"/>
      <c r="F361" s="18">
        <v>12851.639061583732</v>
      </c>
      <c r="G361" s="18">
        <v>5611.8871031277877</v>
      </c>
      <c r="H361" s="18">
        <v>606093.47865903249</v>
      </c>
      <c r="I361" s="18">
        <v>48777.288145404185</v>
      </c>
      <c r="J361" s="18">
        <v>10130.324341886258</v>
      </c>
      <c r="K361" s="18">
        <v>1058.9530264577036</v>
      </c>
      <c r="L361" s="19">
        <f>SUM(F361:K361)</f>
        <v>684523.57033749216</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31904.789999999994</v>
      </c>
      <c r="G363" s="47">
        <f t="shared" si="22"/>
        <v>13931.77</v>
      </c>
      <c r="H363" s="47">
        <f t="shared" si="22"/>
        <v>1504655.17</v>
      </c>
      <c r="I363" s="47">
        <f t="shared" si="22"/>
        <v>121091.88</v>
      </c>
      <c r="J363" s="47">
        <f t="shared" si="22"/>
        <v>25149</v>
      </c>
      <c r="K363" s="47">
        <f t="shared" si="22"/>
        <v>2628.8999999999996</v>
      </c>
      <c r="L363" s="47">
        <f t="shared" si="22"/>
        <v>1699361.5100000002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37544.139376256193</v>
      </c>
      <c r="G368" s="18">
        <v>33974.991967939066</v>
      </c>
      <c r="H368" s="18">
        <v>48240.737975804739</v>
      </c>
      <c r="I368" s="56">
        <f>SUM(F368:H368)</f>
        <v>119759.86932</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417.57890105037217</v>
      </c>
      <c r="G369" s="63">
        <v>377.88160935018169</v>
      </c>
      <c r="H369" s="63">
        <v>536.55016959944601</v>
      </c>
      <c r="I369" s="56">
        <f>SUM(F369:H369)</f>
        <v>1332.0106799999999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37961.718277306565</v>
      </c>
      <c r="G370" s="47">
        <f>SUM(G368:G369)</f>
        <v>34352.873577289247</v>
      </c>
      <c r="H370" s="47">
        <f>SUM(H368:H369)</f>
        <v>48777.288145404185</v>
      </c>
      <c r="I370" s="47">
        <f>SUM(I368:I369)</f>
        <v>121091.88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196297.90000000002</v>
      </c>
      <c r="I379" s="18">
        <v>0</v>
      </c>
      <c r="J379" s="18">
        <v>0</v>
      </c>
      <c r="K379" s="18">
        <v>0</v>
      </c>
      <c r="L379" s="13">
        <f t="shared" si="23"/>
        <v>196297.90000000002</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196297.90000000002</v>
      </c>
      <c r="I383" s="41">
        <f t="shared" si="24"/>
        <v>0</v>
      </c>
      <c r="J383" s="47">
        <f t="shared" si="24"/>
        <v>0</v>
      </c>
      <c r="K383" s="47">
        <f t="shared" si="24"/>
        <v>0</v>
      </c>
      <c r="L383" s="47">
        <f t="shared" si="24"/>
        <v>196297.90000000002</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0</v>
      </c>
      <c r="G466" s="18">
        <v>285728.56999999995</v>
      </c>
      <c r="H466" s="18">
        <v>1764118.6699999995</v>
      </c>
      <c r="I466" s="18">
        <v>0</v>
      </c>
      <c r="J466" s="18">
        <v>0</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70087643.200000003</v>
      </c>
      <c r="G469" s="18">
        <v>2663610.7800000003</v>
      </c>
      <c r="H469" s="18">
        <v>4912736.7799999993</v>
      </c>
      <c r="I469" s="18">
        <v>800000</v>
      </c>
      <c r="J469" s="18"/>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70087643.200000003</v>
      </c>
      <c r="G471" s="53">
        <f>SUM(G469:G470)</f>
        <v>2663610.7800000003</v>
      </c>
      <c r="H471" s="53">
        <f>SUM(H469:H470)</f>
        <v>4912736.7799999993</v>
      </c>
      <c r="I471" s="53">
        <f>SUM(I469:I470)</f>
        <v>800000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69621841.299999997</v>
      </c>
      <c r="G473" s="18">
        <v>1699361.5100000002</v>
      </c>
      <c r="H473" s="18">
        <v>5125307.6800000016</v>
      </c>
      <c r="I473" s="18">
        <v>196297.90000000002</v>
      </c>
      <c r="J473" s="18"/>
      <c r="K473" s="24" t="s">
        <v>288</v>
      </c>
      <c r="L473" s="24" t="s">
        <v>288</v>
      </c>
      <c r="N473" s="264"/>
    </row>
    <row r="474" spans="1:14" s="52" customFormat="1" ht="12.2" customHeight="1" x14ac:dyDescent="0.2">
      <c r="A474" s="93" t="s">
        <v>613</v>
      </c>
      <c r="B474" s="75">
        <v>19</v>
      </c>
      <c r="C474" s="80">
        <v>6</v>
      </c>
      <c r="D474" s="2" t="s">
        <v>432</v>
      </c>
      <c r="E474" s="80"/>
      <c r="F474" s="18">
        <v>465801.90000000596</v>
      </c>
      <c r="G474" s="18"/>
      <c r="H474" s="18"/>
      <c r="I474" s="18">
        <v>603702.1</v>
      </c>
      <c r="J474" s="18"/>
      <c r="K474" s="24" t="s">
        <v>288</v>
      </c>
      <c r="L474" s="24" t="s">
        <v>288</v>
      </c>
      <c r="N474" s="264"/>
    </row>
    <row r="475" spans="1:14" s="52" customFormat="1" ht="12.2" customHeight="1" x14ac:dyDescent="0.2">
      <c r="A475" s="92" t="s">
        <v>426</v>
      </c>
      <c r="B475" s="75">
        <v>19</v>
      </c>
      <c r="C475" s="80">
        <v>7</v>
      </c>
      <c r="D475" s="2" t="s">
        <v>432</v>
      </c>
      <c r="E475" s="80"/>
      <c r="F475" s="53">
        <f>SUM(F473:F474)</f>
        <v>70087643.200000003</v>
      </c>
      <c r="G475" s="53">
        <f>SUM(G473:G474)</f>
        <v>1699361.5100000002</v>
      </c>
      <c r="H475" s="53">
        <f>SUM(H473:H474)</f>
        <v>5125307.6800000016</v>
      </c>
      <c r="I475" s="53">
        <f>SUM(I473:I474)</f>
        <v>800000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0</v>
      </c>
      <c r="G477" s="53">
        <f>(G466+G471)- G475</f>
        <v>1249977.8399999999</v>
      </c>
      <c r="H477" s="53">
        <f>(H466+H471)- H475</f>
        <v>1551547.7699999977</v>
      </c>
      <c r="I477" s="53">
        <f>(I466+I471)- I475</f>
        <v>0</v>
      </c>
      <c r="J477" s="53">
        <f>(J466+J471)- J475</f>
        <v>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1802</v>
      </c>
      <c r="B484" s="112"/>
      <c r="C484" s="112"/>
      <c r="D484" s="112"/>
      <c r="E484" s="112"/>
      <c r="F484" s="112"/>
      <c r="G484" s="112"/>
      <c r="H484" s="112"/>
      <c r="I484" s="112" t="s">
        <v>18</v>
      </c>
      <c r="J484" s="112"/>
      <c r="K484" s="95"/>
      <c r="L484" s="95"/>
      <c r="N484" s="264"/>
    </row>
    <row r="485" spans="1:14" s="52" customFormat="1" ht="12.2" customHeight="1" x14ac:dyDescent="0.2">
      <c r="A485" s="174" t="s">
        <v>1803</v>
      </c>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85543305.599999994</v>
      </c>
      <c r="G496" s="18"/>
      <c r="H496" s="18"/>
      <c r="I496" s="18"/>
      <c r="J496" s="18"/>
      <c r="K496" s="53">
        <f>SUM(F496:J496)</f>
        <v>85543305.599999994</v>
      </c>
      <c r="L496" s="24" t="s">
        <v>288</v>
      </c>
      <c r="N496" s="264"/>
    </row>
    <row r="497" spans="1:14" s="52" customFormat="1" ht="12.2" customHeight="1" x14ac:dyDescent="0.2">
      <c r="A497" s="22" t="s">
        <v>620</v>
      </c>
      <c r="B497" s="75">
        <v>20</v>
      </c>
      <c r="C497" s="115">
        <v>7</v>
      </c>
      <c r="D497" s="2" t="s">
        <v>432</v>
      </c>
      <c r="E497" s="115"/>
      <c r="F497" s="18">
        <v>465500</v>
      </c>
      <c r="G497" s="18"/>
      <c r="H497" s="18"/>
      <c r="I497" s="18"/>
      <c r="J497" s="18"/>
      <c r="K497" s="53">
        <f t="shared" ref="K497:K504" si="35">SUM(F497:J497)</f>
        <v>465500</v>
      </c>
      <c r="L497" s="24" t="s">
        <v>288</v>
      </c>
      <c r="N497" s="264"/>
    </row>
    <row r="498" spans="1:14" s="52" customFormat="1" ht="12.2" customHeight="1" x14ac:dyDescent="0.2">
      <c r="A498" s="22" t="s">
        <v>621</v>
      </c>
      <c r="B498" s="75">
        <v>20</v>
      </c>
      <c r="C498" s="115">
        <v>8</v>
      </c>
      <c r="D498" s="2" t="s">
        <v>432</v>
      </c>
      <c r="E498" s="115"/>
      <c r="F498" s="18">
        <v>3224673.84</v>
      </c>
      <c r="G498" s="18"/>
      <c r="H498" s="18"/>
      <c r="I498" s="18"/>
      <c r="J498" s="18"/>
      <c r="K498" s="53">
        <f t="shared" si="35"/>
        <v>3224673.84</v>
      </c>
      <c r="L498" s="24" t="s">
        <v>288</v>
      </c>
      <c r="N498" s="264"/>
    </row>
    <row r="499" spans="1:14" s="52" customFormat="1" ht="12.2" customHeight="1" x14ac:dyDescent="0.2">
      <c r="A499" s="199" t="s">
        <v>622</v>
      </c>
      <c r="B499" s="200">
        <v>20</v>
      </c>
      <c r="C499" s="201">
        <v>9</v>
      </c>
      <c r="D499" s="202" t="s">
        <v>432</v>
      </c>
      <c r="E499" s="201"/>
      <c r="F499" s="203">
        <v>82784131.760000005</v>
      </c>
      <c r="G499" s="203"/>
      <c r="H499" s="203"/>
      <c r="I499" s="203"/>
      <c r="J499" s="203"/>
      <c r="K499" s="204">
        <f t="shared" si="35"/>
        <v>82784131.760000005</v>
      </c>
      <c r="L499" s="205" t="s">
        <v>288</v>
      </c>
      <c r="N499" s="264"/>
    </row>
    <row r="500" spans="1:14" s="52" customFormat="1" ht="12.2" customHeight="1" thickBot="1" x14ac:dyDescent="0.25">
      <c r="A500" s="22" t="s">
        <v>623</v>
      </c>
      <c r="B500" s="75">
        <v>20</v>
      </c>
      <c r="C500" s="115">
        <v>10</v>
      </c>
      <c r="D500" s="2" t="s">
        <v>432</v>
      </c>
      <c r="E500" s="115"/>
      <c r="F500" s="18">
        <v>29993089.010000002</v>
      </c>
      <c r="G500" s="18"/>
      <c r="H500" s="18"/>
      <c r="I500" s="18"/>
      <c r="J500" s="18"/>
      <c r="K500" s="53">
        <f t="shared" si="35"/>
        <v>29993089.010000002</v>
      </c>
      <c r="L500" s="24" t="s">
        <v>288</v>
      </c>
      <c r="N500" s="264"/>
    </row>
    <row r="501" spans="1:14" s="52" customFormat="1" ht="12.2" customHeight="1" thickTop="1" x14ac:dyDescent="0.2">
      <c r="A501" s="139" t="s">
        <v>624</v>
      </c>
      <c r="B501" s="44">
        <v>20</v>
      </c>
      <c r="C501" s="194">
        <v>11</v>
      </c>
      <c r="D501" s="39" t="s">
        <v>432</v>
      </c>
      <c r="E501" s="194"/>
      <c r="F501" s="42">
        <f>SUM(F499:F500)</f>
        <v>112777220.77000001</v>
      </c>
      <c r="G501" s="42">
        <f>SUM(G499:G500)</f>
        <v>0</v>
      </c>
      <c r="H501" s="42">
        <f>SUM(H499:H500)</f>
        <v>0</v>
      </c>
      <c r="I501" s="42">
        <f>SUM(I499:I500)</f>
        <v>0</v>
      </c>
      <c r="J501" s="42">
        <f>SUM(J499:J500)</f>
        <v>0</v>
      </c>
      <c r="K501" s="42">
        <f t="shared" si="35"/>
        <v>112777220.77000001</v>
      </c>
      <c r="L501" s="45" t="s">
        <v>288</v>
      </c>
      <c r="N501" s="264"/>
    </row>
    <row r="502" spans="1:14" s="52" customFormat="1" ht="12.2" customHeight="1" x14ac:dyDescent="0.2">
      <c r="A502" s="199" t="s">
        <v>651</v>
      </c>
      <c r="B502" s="200">
        <v>20</v>
      </c>
      <c r="C502" s="201">
        <v>12</v>
      </c>
      <c r="D502" s="202" t="s">
        <v>432</v>
      </c>
      <c r="E502" s="201"/>
      <c r="F502" s="203">
        <v>3344745.53</v>
      </c>
      <c r="G502" s="203"/>
      <c r="H502" s="203"/>
      <c r="I502" s="203"/>
      <c r="J502" s="203"/>
      <c r="K502" s="204">
        <f t="shared" si="35"/>
        <v>3344745.53</v>
      </c>
      <c r="L502" s="205" t="s">
        <v>288</v>
      </c>
      <c r="N502" s="264"/>
    </row>
    <row r="503" spans="1:14" s="52" customFormat="1" ht="12.2" customHeight="1" thickBot="1" x14ac:dyDescent="0.25">
      <c r="A503" s="22" t="s">
        <v>625</v>
      </c>
      <c r="B503" s="75">
        <v>20</v>
      </c>
      <c r="C503" s="115">
        <v>13</v>
      </c>
      <c r="D503" s="2" t="s">
        <v>432</v>
      </c>
      <c r="E503" s="115"/>
      <c r="F503" s="18">
        <v>3017575.57</v>
      </c>
      <c r="G503" s="18"/>
      <c r="H503" s="18"/>
      <c r="I503" s="18"/>
      <c r="J503" s="18"/>
      <c r="K503" s="53">
        <f t="shared" si="35"/>
        <v>3017575.57</v>
      </c>
      <c r="L503" s="24" t="s">
        <v>288</v>
      </c>
      <c r="N503" s="264"/>
    </row>
    <row r="504" spans="1:14" s="52" customFormat="1" ht="12.2" customHeight="1" thickTop="1" x14ac:dyDescent="0.2">
      <c r="A504" s="139" t="s">
        <v>626</v>
      </c>
      <c r="B504" s="44">
        <v>20</v>
      </c>
      <c r="C504" s="194">
        <v>14</v>
      </c>
      <c r="D504" s="39" t="s">
        <v>432</v>
      </c>
      <c r="E504" s="194"/>
      <c r="F504" s="42">
        <f>SUM(F502:F503)</f>
        <v>6362321.0999999996</v>
      </c>
      <c r="G504" s="42">
        <f>SUM(G502:G503)</f>
        <v>0</v>
      </c>
      <c r="H504" s="42">
        <f>SUM(H502:H503)</f>
        <v>0</v>
      </c>
      <c r="I504" s="42">
        <f>SUM(I502:I503)</f>
        <v>0</v>
      </c>
      <c r="J504" s="42">
        <f>SUM(J502:J503)</f>
        <v>0</v>
      </c>
      <c r="K504" s="42">
        <f t="shared" si="35"/>
        <v>6362321.0999999996</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3218023.9131281869</v>
      </c>
      <c r="G522" s="18">
        <v>1077290.9196585128</v>
      </c>
      <c r="H522" s="18">
        <v>1226133.723245949</v>
      </c>
      <c r="I522" s="18">
        <v>16742.425455559845</v>
      </c>
      <c r="J522" s="18">
        <v>6062.449705223632</v>
      </c>
      <c r="K522" s="18">
        <v>10074.624664758127</v>
      </c>
      <c r="L522" s="88">
        <f>SUM(F522:K522)</f>
        <v>5554328.0558581902</v>
      </c>
      <c r="N522" s="264"/>
    </row>
    <row r="523" spans="1:14" s="52" customFormat="1" ht="12.2" customHeight="1" x14ac:dyDescent="0.2">
      <c r="A523" s="22" t="s">
        <v>634</v>
      </c>
      <c r="B523" s="105">
        <v>21</v>
      </c>
      <c r="C523" s="115">
        <v>2</v>
      </c>
      <c r="D523" s="2" t="s">
        <v>432</v>
      </c>
      <c r="E523" s="115"/>
      <c r="F523" s="18">
        <v>1999077.2565366637</v>
      </c>
      <c r="G523" s="18">
        <v>749049.09477061545</v>
      </c>
      <c r="H523" s="18">
        <v>1398617.0599215457</v>
      </c>
      <c r="I523" s="18">
        <v>14188.757029280567</v>
      </c>
      <c r="J523" s="18">
        <v>2525.3012692773727</v>
      </c>
      <c r="K523" s="18">
        <v>9116.8767682986909</v>
      </c>
      <c r="L523" s="88">
        <f>SUM(F523:K523)</f>
        <v>4172574.3462956822</v>
      </c>
      <c r="N523" s="264"/>
    </row>
    <row r="524" spans="1:14" s="52" customFormat="1" ht="12.2" customHeight="1" thickBot="1" x14ac:dyDescent="0.25">
      <c r="A524" s="22" t="s">
        <v>635</v>
      </c>
      <c r="B524" s="105">
        <v>21</v>
      </c>
      <c r="C524" s="115">
        <v>3</v>
      </c>
      <c r="D524" s="2" t="s">
        <v>432</v>
      </c>
      <c r="E524" s="115"/>
      <c r="F524" s="18">
        <v>2286771.0603351486</v>
      </c>
      <c r="G524" s="18">
        <v>993277.65557087096</v>
      </c>
      <c r="H524" s="18">
        <v>2022930.2268325053</v>
      </c>
      <c r="I524" s="18">
        <v>26253.947515159583</v>
      </c>
      <c r="J524" s="18">
        <v>18959.299025498993</v>
      </c>
      <c r="K524" s="18">
        <v>12944.958566943182</v>
      </c>
      <c r="L524" s="88">
        <f>SUM(F524:K524)</f>
        <v>5361137.1478461269</v>
      </c>
      <c r="N524" s="264"/>
    </row>
    <row r="525" spans="1:14" s="52" customFormat="1" ht="12.2" customHeight="1" thickTop="1" x14ac:dyDescent="0.2">
      <c r="A525" s="139" t="s">
        <v>63</v>
      </c>
      <c r="B525" s="107">
        <v>21</v>
      </c>
      <c r="C525" s="194">
        <v>4</v>
      </c>
      <c r="D525" s="195" t="s">
        <v>432</v>
      </c>
      <c r="E525" s="194"/>
      <c r="F525" s="108">
        <f>SUM(F522:F524)</f>
        <v>7503872.2299999986</v>
      </c>
      <c r="G525" s="108">
        <f t="shared" ref="G525:L525" si="36">SUM(G522:G524)</f>
        <v>2819617.669999999</v>
      </c>
      <c r="H525" s="108">
        <f t="shared" si="36"/>
        <v>4647681.01</v>
      </c>
      <c r="I525" s="108">
        <f t="shared" si="36"/>
        <v>57185.13</v>
      </c>
      <c r="J525" s="108">
        <f t="shared" si="36"/>
        <v>27547.049999999996</v>
      </c>
      <c r="K525" s="108">
        <f t="shared" si="36"/>
        <v>32136.46</v>
      </c>
      <c r="L525" s="89">
        <f t="shared" si="36"/>
        <v>15088039.549999999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473837.07515383279</v>
      </c>
      <c r="G527" s="18">
        <v>315526.6684618314</v>
      </c>
      <c r="H527" s="18">
        <v>90403.436982969608</v>
      </c>
      <c r="I527" s="18">
        <v>0</v>
      </c>
      <c r="J527" s="18">
        <v>0</v>
      </c>
      <c r="K527" s="18">
        <v>0</v>
      </c>
      <c r="L527" s="88">
        <f>SUM(F527:K527)</f>
        <v>879767.18059863383</v>
      </c>
      <c r="M527" s="8"/>
      <c r="N527" s="265"/>
    </row>
    <row r="528" spans="1:14" s="3" customFormat="1" ht="12.2" customHeight="1" x14ac:dyDescent="0.15">
      <c r="A528" s="22" t="s">
        <v>634</v>
      </c>
      <c r="B528" s="105">
        <v>21</v>
      </c>
      <c r="C528" s="115">
        <v>6</v>
      </c>
      <c r="D528" s="2" t="s">
        <v>432</v>
      </c>
      <c r="E528" s="115"/>
      <c r="F528" s="18">
        <v>218958.48686403641</v>
      </c>
      <c r="G528" s="18">
        <v>126373.80576042928</v>
      </c>
      <c r="H528" s="18">
        <v>42554.584948749012</v>
      </c>
      <c r="I528" s="18">
        <v>0</v>
      </c>
      <c r="J528" s="18">
        <v>0</v>
      </c>
      <c r="K528" s="18">
        <v>0</v>
      </c>
      <c r="L528" s="88">
        <f>SUM(F528:K528)</f>
        <v>387886.8775732147</v>
      </c>
      <c r="M528" s="8"/>
      <c r="N528" s="265"/>
    </row>
    <row r="529" spans="1:14" s="3" customFormat="1" ht="12.2" customHeight="1" thickBot="1" x14ac:dyDescent="0.2">
      <c r="A529" s="22" t="s">
        <v>635</v>
      </c>
      <c r="B529" s="118">
        <v>21</v>
      </c>
      <c r="C529" s="118">
        <v>7</v>
      </c>
      <c r="D529" s="2" t="s">
        <v>432</v>
      </c>
      <c r="E529" s="118"/>
      <c r="F529" s="18">
        <v>220598.2779821307</v>
      </c>
      <c r="G529" s="18">
        <v>128858.14577773931</v>
      </c>
      <c r="H529" s="18">
        <v>88061.498068281377</v>
      </c>
      <c r="I529" s="18">
        <v>0</v>
      </c>
      <c r="J529" s="18">
        <v>0</v>
      </c>
      <c r="K529" s="18">
        <v>0</v>
      </c>
      <c r="L529" s="88">
        <f>SUM(F529:K529)</f>
        <v>437517.92182815139</v>
      </c>
      <c r="M529" s="8"/>
      <c r="N529" s="265"/>
    </row>
    <row r="530" spans="1:14" s="3" customFormat="1" ht="12.2" customHeight="1" thickTop="1" x14ac:dyDescent="0.15">
      <c r="A530" s="139" t="s">
        <v>65</v>
      </c>
      <c r="B530" s="107">
        <v>21</v>
      </c>
      <c r="C530" s="107">
        <v>8</v>
      </c>
      <c r="D530" s="158" t="s">
        <v>432</v>
      </c>
      <c r="E530" s="107"/>
      <c r="F530" s="89">
        <f>SUM(F527:F529)</f>
        <v>913393.83999999985</v>
      </c>
      <c r="G530" s="89">
        <f t="shared" ref="G530:L530" si="37">SUM(G527:G529)</f>
        <v>570758.62</v>
      </c>
      <c r="H530" s="89">
        <f t="shared" si="37"/>
        <v>221019.52000000002</v>
      </c>
      <c r="I530" s="89">
        <f t="shared" si="37"/>
        <v>0</v>
      </c>
      <c r="J530" s="89">
        <f t="shared" si="37"/>
        <v>0</v>
      </c>
      <c r="K530" s="89">
        <f t="shared" si="37"/>
        <v>0</v>
      </c>
      <c r="L530" s="89">
        <f t="shared" si="37"/>
        <v>1705171.98</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68899.213843757083</v>
      </c>
      <c r="G532" s="18">
        <v>39618.436743718456</v>
      </c>
      <c r="H532" s="18">
        <v>0</v>
      </c>
      <c r="I532" s="18">
        <v>0</v>
      </c>
      <c r="J532" s="18">
        <v>0</v>
      </c>
      <c r="K532" s="18">
        <v>0</v>
      </c>
      <c r="L532" s="88">
        <f>SUM(F532:K532)</f>
        <v>108517.65058747554</v>
      </c>
      <c r="M532" s="8"/>
      <c r="N532" s="265"/>
    </row>
    <row r="533" spans="1:14" s="3" customFormat="1" ht="12.2" customHeight="1" x14ac:dyDescent="0.15">
      <c r="A533" s="22" t="s">
        <v>634</v>
      </c>
      <c r="B533" s="105">
        <v>21</v>
      </c>
      <c r="C533" s="105">
        <v>10</v>
      </c>
      <c r="D533" s="2" t="s">
        <v>432</v>
      </c>
      <c r="E533" s="105"/>
      <c r="F533" s="18">
        <v>62349.284757326794</v>
      </c>
      <c r="G533" s="18">
        <v>35852.095493801673</v>
      </c>
      <c r="H533" s="18">
        <v>0</v>
      </c>
      <c r="I533" s="18">
        <v>0</v>
      </c>
      <c r="J533" s="18">
        <v>0</v>
      </c>
      <c r="K533" s="18">
        <v>0</v>
      </c>
      <c r="L533" s="88">
        <f>SUM(F533:K533)</f>
        <v>98201.380251128459</v>
      </c>
      <c r="M533" s="8"/>
      <c r="N533" s="265"/>
    </row>
    <row r="534" spans="1:14" s="3" customFormat="1" ht="12.2" customHeight="1" thickBot="1" x14ac:dyDescent="0.2">
      <c r="A534" s="22" t="s">
        <v>635</v>
      </c>
      <c r="B534" s="105">
        <v>21</v>
      </c>
      <c r="C534" s="105">
        <v>11</v>
      </c>
      <c r="D534" s="2" t="s">
        <v>432</v>
      </c>
      <c r="E534" s="105"/>
      <c r="F534" s="18">
        <v>171577.5413989161</v>
      </c>
      <c r="G534" s="18">
        <v>94507.447762479831</v>
      </c>
      <c r="H534" s="18">
        <v>0</v>
      </c>
      <c r="I534" s="18">
        <v>0</v>
      </c>
      <c r="J534" s="18">
        <v>0</v>
      </c>
      <c r="K534" s="18">
        <v>0</v>
      </c>
      <c r="L534" s="88">
        <f>SUM(F534:K534)</f>
        <v>266084.98916139593</v>
      </c>
      <c r="M534" s="8"/>
      <c r="N534" s="265"/>
    </row>
    <row r="535" spans="1:14" s="3" customFormat="1" ht="12.2" customHeight="1" thickTop="1" x14ac:dyDescent="0.15">
      <c r="A535" s="139" t="s">
        <v>67</v>
      </c>
      <c r="B535" s="107">
        <v>21</v>
      </c>
      <c r="C535" s="107">
        <v>12</v>
      </c>
      <c r="D535" s="158" t="s">
        <v>432</v>
      </c>
      <c r="E535" s="107"/>
      <c r="F535" s="89">
        <f>SUM(F532:F534)</f>
        <v>302826.03999999998</v>
      </c>
      <c r="G535" s="89">
        <f t="shared" ref="G535:L535" si="38">SUM(G532:G534)</f>
        <v>169977.97999999995</v>
      </c>
      <c r="H535" s="89">
        <f t="shared" si="38"/>
        <v>0</v>
      </c>
      <c r="I535" s="89">
        <f t="shared" si="38"/>
        <v>0</v>
      </c>
      <c r="J535" s="89">
        <f t="shared" si="38"/>
        <v>0</v>
      </c>
      <c r="K535" s="89">
        <f t="shared" si="38"/>
        <v>0</v>
      </c>
      <c r="L535" s="89">
        <f t="shared" si="38"/>
        <v>472804.0199999999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22583.498491391594</v>
      </c>
      <c r="I537" s="18">
        <v>0</v>
      </c>
      <c r="J537" s="18">
        <v>0</v>
      </c>
      <c r="K537" s="18">
        <v>0</v>
      </c>
      <c r="L537" s="88">
        <f>SUM(F537:K537)</f>
        <v>22583.498491391594</v>
      </c>
      <c r="M537" s="8"/>
      <c r="N537" s="265"/>
    </row>
    <row r="538" spans="1:14" s="3" customFormat="1" ht="12.2" customHeight="1" x14ac:dyDescent="0.15">
      <c r="A538" s="22" t="s">
        <v>634</v>
      </c>
      <c r="B538" s="105">
        <v>21</v>
      </c>
      <c r="C538" s="105">
        <v>14</v>
      </c>
      <c r="D538" s="2" t="s">
        <v>432</v>
      </c>
      <c r="E538" s="105"/>
      <c r="F538" s="18">
        <v>0</v>
      </c>
      <c r="G538" s="18">
        <v>0</v>
      </c>
      <c r="H538" s="18">
        <v>20436.589907244906</v>
      </c>
      <c r="I538" s="18">
        <v>0</v>
      </c>
      <c r="J538" s="18">
        <v>0</v>
      </c>
      <c r="K538" s="18">
        <v>0</v>
      </c>
      <c r="L538" s="88">
        <f>SUM(F538:K538)</f>
        <v>20436.589907244906</v>
      </c>
      <c r="M538" s="8"/>
      <c r="N538" s="265"/>
    </row>
    <row r="539" spans="1:14" s="3" customFormat="1" ht="12.2" customHeight="1" thickBot="1" x14ac:dyDescent="0.2">
      <c r="A539" s="22" t="s">
        <v>635</v>
      </c>
      <c r="B539" s="105">
        <v>21</v>
      </c>
      <c r="C539" s="105">
        <v>15</v>
      </c>
      <c r="D539" s="2" t="s">
        <v>432</v>
      </c>
      <c r="E539" s="105"/>
      <c r="F539" s="18">
        <v>0</v>
      </c>
      <c r="G539" s="18">
        <v>0</v>
      </c>
      <c r="H539" s="18">
        <v>29017.701601363489</v>
      </c>
      <c r="I539" s="18">
        <v>0</v>
      </c>
      <c r="J539" s="18">
        <v>0</v>
      </c>
      <c r="K539" s="18">
        <v>0</v>
      </c>
      <c r="L539" s="88">
        <f>SUM(F539:K539)</f>
        <v>29017.701601363489</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72037.789999999994</v>
      </c>
      <c r="I540" s="89">
        <f t="shared" si="39"/>
        <v>0</v>
      </c>
      <c r="J540" s="89">
        <f t="shared" si="39"/>
        <v>0</v>
      </c>
      <c r="K540" s="89">
        <f t="shared" si="39"/>
        <v>0</v>
      </c>
      <c r="L540" s="89">
        <f t="shared" si="39"/>
        <v>72037.789999999994</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388138.32364149613</v>
      </c>
      <c r="I542" s="18">
        <v>0</v>
      </c>
      <c r="J542" s="18">
        <v>0</v>
      </c>
      <c r="K542" s="18">
        <v>0</v>
      </c>
      <c r="L542" s="88">
        <f>SUM(F542:K542)</f>
        <v>388138.32364149613</v>
      </c>
      <c r="M542" s="8"/>
      <c r="N542" s="265"/>
    </row>
    <row r="543" spans="1:14" s="3" customFormat="1" ht="12.2" customHeight="1" x14ac:dyDescent="0.15">
      <c r="A543" s="22" t="s">
        <v>634</v>
      </c>
      <c r="B543" s="105">
        <v>21</v>
      </c>
      <c r="C543" s="105">
        <v>18</v>
      </c>
      <c r="D543" s="2" t="s">
        <v>432</v>
      </c>
      <c r="E543" s="105"/>
      <c r="F543" s="18">
        <v>0</v>
      </c>
      <c r="G543" s="18">
        <v>0</v>
      </c>
      <c r="H543" s="18">
        <v>358396.66408609739</v>
      </c>
      <c r="I543" s="18">
        <v>0</v>
      </c>
      <c r="J543" s="18">
        <v>0</v>
      </c>
      <c r="K543" s="18">
        <v>0</v>
      </c>
      <c r="L543" s="88">
        <f>SUM(F543:K543)</f>
        <v>358396.66408609739</v>
      </c>
      <c r="M543" s="8"/>
      <c r="N543" s="265"/>
    </row>
    <row r="544" spans="1:14" s="3" customFormat="1" ht="12.2" customHeight="1" thickBot="1" x14ac:dyDescent="0.2">
      <c r="A544" s="22" t="s">
        <v>635</v>
      </c>
      <c r="B544" s="105">
        <v>21</v>
      </c>
      <c r="C544" s="105">
        <v>19</v>
      </c>
      <c r="D544" s="2" t="s">
        <v>432</v>
      </c>
      <c r="E544" s="105"/>
      <c r="F544" s="18">
        <v>0</v>
      </c>
      <c r="G544" s="18">
        <v>0</v>
      </c>
      <c r="H544" s="18">
        <v>862610.1522724065</v>
      </c>
      <c r="I544" s="18">
        <v>0</v>
      </c>
      <c r="J544" s="18">
        <v>0</v>
      </c>
      <c r="K544" s="18">
        <v>0</v>
      </c>
      <c r="L544" s="88">
        <f>SUM(F544:K544)</f>
        <v>862610.1522724065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1609145.1400000001</v>
      </c>
      <c r="I545" s="192">
        <f t="shared" si="40"/>
        <v>0</v>
      </c>
      <c r="J545" s="192">
        <f t="shared" si="40"/>
        <v>0</v>
      </c>
      <c r="K545" s="192">
        <f t="shared" si="40"/>
        <v>0</v>
      </c>
      <c r="L545" s="192">
        <f t="shared" si="40"/>
        <v>1609145.1400000001</v>
      </c>
      <c r="M545" s="8"/>
      <c r="N545" s="265"/>
    </row>
    <row r="546" spans="1:14" s="3" customFormat="1" ht="12.2" customHeight="1" thickTop="1" x14ac:dyDescent="0.15">
      <c r="A546" s="98" t="s">
        <v>72</v>
      </c>
      <c r="B546" s="107">
        <v>21</v>
      </c>
      <c r="C546" s="107">
        <v>21</v>
      </c>
      <c r="D546" s="158" t="s">
        <v>432</v>
      </c>
      <c r="E546" s="107"/>
      <c r="F546" s="89">
        <f>F525+F530+F535+F540+F545</f>
        <v>8720092.1099999975</v>
      </c>
      <c r="G546" s="89">
        <f t="shared" ref="G546:L546" si="41">G525+G530+G535+G540+G545</f>
        <v>3560354.2699999991</v>
      </c>
      <c r="H546" s="89">
        <f t="shared" si="41"/>
        <v>6549883.459999999</v>
      </c>
      <c r="I546" s="89">
        <f t="shared" si="41"/>
        <v>57185.13</v>
      </c>
      <c r="J546" s="89">
        <f t="shared" si="41"/>
        <v>27547.049999999996</v>
      </c>
      <c r="K546" s="89">
        <f t="shared" si="41"/>
        <v>32136.46</v>
      </c>
      <c r="L546" s="89">
        <f t="shared" si="41"/>
        <v>18947198.479999997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5554328.0558581902</v>
      </c>
      <c r="G550" s="87">
        <f>L527</f>
        <v>879767.18059863383</v>
      </c>
      <c r="H550" s="87">
        <f>L532</f>
        <v>108517.65058747554</v>
      </c>
      <c r="I550" s="87">
        <f>L537</f>
        <v>22583.498491391594</v>
      </c>
      <c r="J550" s="87">
        <f>L542</f>
        <v>388138.32364149613</v>
      </c>
      <c r="K550" s="87">
        <f>SUM(F550:J550)</f>
        <v>6953334.7091771876</v>
      </c>
      <c r="L550" s="24" t="s">
        <v>288</v>
      </c>
      <c r="M550" s="8"/>
      <c r="N550" s="265"/>
    </row>
    <row r="551" spans="1:14" s="3" customFormat="1" ht="12.2" customHeight="1" x14ac:dyDescent="0.15">
      <c r="A551" s="22" t="s">
        <v>634</v>
      </c>
      <c r="B551" s="75">
        <v>21</v>
      </c>
      <c r="C551" s="75">
        <v>23</v>
      </c>
      <c r="D551" s="2" t="s">
        <v>432</v>
      </c>
      <c r="E551" s="75"/>
      <c r="F551" s="87">
        <f>L523</f>
        <v>4172574.3462956822</v>
      </c>
      <c r="G551" s="87">
        <f>L528</f>
        <v>387886.8775732147</v>
      </c>
      <c r="H551" s="87">
        <f>L533</f>
        <v>98201.380251128459</v>
      </c>
      <c r="I551" s="87">
        <f>L538</f>
        <v>20436.589907244906</v>
      </c>
      <c r="J551" s="87">
        <f>L543</f>
        <v>358396.66408609739</v>
      </c>
      <c r="K551" s="87">
        <f>SUM(F551:J551)</f>
        <v>5037495.8581133671</v>
      </c>
      <c r="L551" s="24" t="s">
        <v>288</v>
      </c>
      <c r="M551" s="8"/>
      <c r="N551" s="265"/>
    </row>
    <row r="552" spans="1:14" s="3" customFormat="1" ht="12.2" customHeight="1" thickBot="1" x14ac:dyDescent="0.2">
      <c r="A552" s="22" t="s">
        <v>635</v>
      </c>
      <c r="B552" s="75">
        <v>21</v>
      </c>
      <c r="C552" s="75">
        <v>24</v>
      </c>
      <c r="D552" s="2" t="s">
        <v>432</v>
      </c>
      <c r="E552" s="75"/>
      <c r="F552" s="87">
        <f>L524</f>
        <v>5361137.1478461269</v>
      </c>
      <c r="G552" s="87">
        <f>L529</f>
        <v>437517.92182815139</v>
      </c>
      <c r="H552" s="87">
        <f>L534</f>
        <v>266084.98916139593</v>
      </c>
      <c r="I552" s="87">
        <f>L539</f>
        <v>29017.701601363489</v>
      </c>
      <c r="J552" s="87">
        <f>L544</f>
        <v>862610.1522724065</v>
      </c>
      <c r="K552" s="87">
        <f>SUM(F552:J552)</f>
        <v>6956367.9127094448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15088039.549999999</v>
      </c>
      <c r="G553" s="89">
        <f t="shared" si="42"/>
        <v>1705171.98</v>
      </c>
      <c r="H553" s="89">
        <f t="shared" si="42"/>
        <v>472804.0199999999</v>
      </c>
      <c r="I553" s="89">
        <f t="shared" si="42"/>
        <v>72037.789999999994</v>
      </c>
      <c r="J553" s="89">
        <f t="shared" si="42"/>
        <v>1609145.1400000001</v>
      </c>
      <c r="K553" s="89">
        <f t="shared" si="42"/>
        <v>18947198.48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0</v>
      </c>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50031.64</v>
      </c>
      <c r="I580" s="87">
        <f t="shared" si="47"/>
        <v>50031.64</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661741.42000000004</v>
      </c>
      <c r="G583" s="18">
        <v>1158037.8500000001</v>
      </c>
      <c r="H583" s="18">
        <v>1778255.42</v>
      </c>
      <c r="I583" s="87">
        <f t="shared" si="47"/>
        <v>3598034.69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v>32954.699999999997</v>
      </c>
      <c r="I588" s="87">
        <f t="shared" si="47"/>
        <v>32954.699999999997</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534034.32118917198</v>
      </c>
      <c r="I592" s="18">
        <v>483266.15217288717</v>
      </c>
      <c r="J592" s="18">
        <v>686184.58663794084</v>
      </c>
      <c r="K592" s="104">
        <f t="shared" ref="K592:K598" si="48">SUM(H592:J592)</f>
        <v>1703485.06</v>
      </c>
      <c r="L592" s="24" t="s">
        <v>288</v>
      </c>
      <c r="M592" s="8"/>
      <c r="N592" s="265"/>
    </row>
    <row r="593" spans="1:14" s="3" customFormat="1" ht="12.2" customHeight="1" x14ac:dyDescent="0.15">
      <c r="A593" s="3" t="s">
        <v>638</v>
      </c>
      <c r="B593" s="75">
        <v>23</v>
      </c>
      <c r="C593" s="75">
        <v>2</v>
      </c>
      <c r="D593" s="2" t="s">
        <v>432</v>
      </c>
      <c r="E593" s="75"/>
      <c r="F593" s="102">
        <v>2722</v>
      </c>
      <c r="G593" s="103" t="s">
        <v>97</v>
      </c>
      <c r="H593" s="18">
        <v>388138.32364149613</v>
      </c>
      <c r="I593" s="18">
        <v>358396.66408609739</v>
      </c>
      <c r="J593" s="18">
        <v>862610.1522724065</v>
      </c>
      <c r="K593" s="104">
        <f t="shared" si="48"/>
        <v>1609145.1400000001</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118099.08</v>
      </c>
      <c r="K594" s="104">
        <f t="shared" si="48"/>
        <v>118099.08</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11522.26</v>
      </c>
      <c r="J595" s="18">
        <v>117963.11</v>
      </c>
      <c r="K595" s="104">
        <f t="shared" si="48"/>
        <v>129485.37</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0</v>
      </c>
      <c r="I596" s="18">
        <v>0</v>
      </c>
      <c r="J596" s="18">
        <v>9640.0399999999991</v>
      </c>
      <c r="K596" s="104">
        <f t="shared" si="48"/>
        <v>9640.0399999999991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62852.776266574358</v>
      </c>
      <c r="I598" s="18">
        <v>56877.653990652587</v>
      </c>
      <c r="J598" s="18">
        <v>80759.989742773061</v>
      </c>
      <c r="K598" s="104">
        <f t="shared" si="48"/>
        <v>200490.42</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985025.42109724251</v>
      </c>
      <c r="I599" s="108">
        <f>SUM(I592:I598)</f>
        <v>910062.73024963727</v>
      </c>
      <c r="J599" s="108">
        <f>SUM(J592:J598)</f>
        <v>1875256.9586531206</v>
      </c>
      <c r="K599" s="108">
        <f>SUM(K592:K598)</f>
        <v>3770345.1100000003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422693.88494355604</v>
      </c>
      <c r="I605" s="18">
        <v>382510.33541966148</v>
      </c>
      <c r="J605" s="18">
        <v>543122.4496367824</v>
      </c>
      <c r="K605" s="104">
        <f>SUM(H605:J605)</f>
        <v>1348326.67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422693.88494355604</v>
      </c>
      <c r="I606" s="108">
        <f>SUM(I603:I605)</f>
        <v>382510.33541966148</v>
      </c>
      <c r="J606" s="108">
        <f>SUM(J603:J605)</f>
        <v>543122.4496367824</v>
      </c>
      <c r="K606" s="108">
        <f>SUM(K603:K605)</f>
        <v>1348326.67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381311.08999999997</v>
      </c>
      <c r="G612" s="18">
        <v>57152.639999999999</v>
      </c>
      <c r="H612" s="18">
        <v>0</v>
      </c>
      <c r="I612" s="18">
        <v>0</v>
      </c>
      <c r="J612" s="18">
        <v>0</v>
      </c>
      <c r="K612" s="18">
        <v>0</v>
      </c>
      <c r="L612" s="88">
        <f>SUM(F612:K612)</f>
        <v>438463.73</v>
      </c>
      <c r="M612" s="8"/>
      <c r="N612" s="265"/>
    </row>
    <row r="613" spans="1:14" s="3" customFormat="1" ht="12.2" customHeight="1" x14ac:dyDescent="0.15">
      <c r="A613" s="22" t="s">
        <v>634</v>
      </c>
      <c r="B613" s="75">
        <v>23</v>
      </c>
      <c r="C613" s="75">
        <v>14</v>
      </c>
      <c r="D613" s="2" t="s">
        <v>432</v>
      </c>
      <c r="E613" s="75"/>
      <c r="F613" s="18">
        <v>17000</v>
      </c>
      <c r="G613" s="18">
        <v>4238.45</v>
      </c>
      <c r="H613" s="18">
        <v>0</v>
      </c>
      <c r="I613" s="18">
        <v>0</v>
      </c>
      <c r="J613" s="18">
        <v>0</v>
      </c>
      <c r="K613" s="18">
        <v>0</v>
      </c>
      <c r="L613" s="88">
        <f>SUM(F613:K613)</f>
        <v>21238.45</v>
      </c>
      <c r="M613" s="8"/>
      <c r="N613" s="265"/>
    </row>
    <row r="614" spans="1:14" s="3" customFormat="1" ht="12.2" customHeight="1" thickBot="1" x14ac:dyDescent="0.2">
      <c r="A614" s="22" t="s">
        <v>645</v>
      </c>
      <c r="B614" s="75">
        <v>23</v>
      </c>
      <c r="C614" s="75">
        <v>15</v>
      </c>
      <c r="D614" s="2" t="s">
        <v>432</v>
      </c>
      <c r="E614" s="75"/>
      <c r="F614" s="18">
        <v>23879.97</v>
      </c>
      <c r="G614" s="18">
        <v>6812.65</v>
      </c>
      <c r="H614" s="18">
        <v>0</v>
      </c>
      <c r="I614" s="18">
        <v>0</v>
      </c>
      <c r="J614" s="18">
        <v>0</v>
      </c>
      <c r="K614" s="18">
        <v>0</v>
      </c>
      <c r="L614" s="88">
        <f>SUM(F614:K614)</f>
        <v>30692.620000000003</v>
      </c>
      <c r="M614" s="8"/>
      <c r="N614" s="265"/>
    </row>
    <row r="615" spans="1:14" s="3" customFormat="1" ht="12.2" customHeight="1" thickTop="1" x14ac:dyDescent="0.15">
      <c r="A615" s="98" t="s">
        <v>340</v>
      </c>
      <c r="B615" s="107">
        <v>23</v>
      </c>
      <c r="C615" s="107">
        <v>16</v>
      </c>
      <c r="D615" s="39" t="s">
        <v>432</v>
      </c>
      <c r="E615" s="107"/>
      <c r="F615" s="108">
        <f t="shared" ref="F615:L615" si="49">SUM(F612:F614)</f>
        <v>422191.05999999994</v>
      </c>
      <c r="G615" s="108">
        <f t="shared" si="49"/>
        <v>68203.739999999991</v>
      </c>
      <c r="H615" s="108">
        <f t="shared" si="49"/>
        <v>0</v>
      </c>
      <c r="I615" s="108">
        <f t="shared" si="49"/>
        <v>0</v>
      </c>
      <c r="J615" s="108">
        <f t="shared" si="49"/>
        <v>0</v>
      </c>
      <c r="K615" s="108">
        <f t="shared" si="49"/>
        <v>0</v>
      </c>
      <c r="L615" s="89">
        <f t="shared" si="49"/>
        <v>490394.8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1249977.8399999999</v>
      </c>
      <c r="H619" s="109">
        <f>SUM(G52)</f>
        <v>1249977.8399999999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1551547.7699999977</v>
      </c>
      <c r="H620" s="109">
        <f>SUM(H52)</f>
        <v>1551547.7699999977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1249977.8399999999</v>
      </c>
      <c r="H624" s="109">
        <f>G477</f>
        <v>1249977.8399999999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1551547.7699999977</v>
      </c>
      <c r="H625" s="109">
        <f>H477</f>
        <v>1551547.7699999977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70087643.200000003</v>
      </c>
      <c r="H628" s="104">
        <f>SUM(F469)</f>
        <v>70087643.200000003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2663610.7800000003</v>
      </c>
      <c r="H629" s="104">
        <f>SUM(G469)</f>
        <v>2663610.7800000003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4912736.7799999993</v>
      </c>
      <c r="H630" s="104">
        <f>SUM(H469)</f>
        <v>4912736.7799999993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800000</v>
      </c>
      <c r="H631" s="104">
        <f>SUM(I469)</f>
        <v>800000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69621841.299999997</v>
      </c>
      <c r="H633" s="104">
        <f>SUM(F473)</f>
        <v>69621841.299999997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5125307.6800000016</v>
      </c>
      <c r="H634" s="104">
        <f>SUM(H473)</f>
        <v>5125307.6800000016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121091.88</v>
      </c>
      <c r="H635" s="104">
        <f>I370</f>
        <v>121091.88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1699361.5100000002</v>
      </c>
      <c r="H636" s="104">
        <f>SUM(G473)</f>
        <v>1699361.5100000002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196297.90000000002</v>
      </c>
      <c r="H637" s="104">
        <f>SUM(I473)</f>
        <v>196297.90000000002</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3770345.1100000003</v>
      </c>
      <c r="H648" s="104">
        <f>L209+L227+L245</f>
        <v>3770345.1099999994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1348326.67</v>
      </c>
      <c r="H649" s="104">
        <f>(J258+J339)-(J256+J337)</f>
        <v>1348326.67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985025.42109724239</v>
      </c>
      <c r="H650" s="104">
        <f>H599</f>
        <v>985025.42109724251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910062.73024963716</v>
      </c>
      <c r="H651" s="104">
        <f>I599</f>
        <v>910062.73024963727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1875256.9586531201</v>
      </c>
      <c r="H652" s="104">
        <f>J599</f>
        <v>1875256.9586531206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800000</v>
      </c>
      <c r="H655" s="104">
        <f>K266+K347</f>
        <v>800000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24729998.716190651</v>
      </c>
      <c r="G661" s="19">
        <f>(L230+L310+L360)</f>
        <v>17724078.832880229</v>
      </c>
      <c r="H661" s="19">
        <f>(L248+L329+L361)</f>
        <v>26116403.750929117</v>
      </c>
      <c r="I661" s="19">
        <f>SUM(F661:H661)</f>
        <v>68570481.299999997</v>
      </c>
      <c r="J661" s="13"/>
      <c r="K661" s="13"/>
      <c r="L661" s="13"/>
      <c r="M661" s="9"/>
    </row>
    <row r="662" spans="1:13" s="3" customFormat="1" ht="12.2" customHeight="1" x14ac:dyDescent="0.2">
      <c r="A662" s="1" t="s">
        <v>127</v>
      </c>
      <c r="F662" s="19">
        <f>(L359/IF(SUM(L359:L361)=0,1,SUM(L359:L361))*(SUM(G97:G110)))</f>
        <v>24578.402996444791</v>
      </c>
      <c r="G662" s="19">
        <f>(L360/IF(SUM(L359:L361)=0,1,SUM(L359:L361))*(SUM(G97:G110)))</f>
        <v>22241.84808234244</v>
      </c>
      <c r="H662" s="19">
        <f>(L361/IF(SUM(L359:L361)=0,1,SUM(L359:L361))*(SUM(G97:G110)))</f>
        <v>31580.968921212756</v>
      </c>
      <c r="I662" s="19">
        <f>SUM(F662:H662)</f>
        <v>78401.219999999987</v>
      </c>
      <c r="J662"/>
      <c r="K662" s="13"/>
      <c r="L662" s="13"/>
      <c r="M662" s="8"/>
    </row>
    <row r="663" spans="1:13" s="3" customFormat="1" ht="12.2" customHeight="1" x14ac:dyDescent="0.2">
      <c r="A663" s="1" t="s">
        <v>128</v>
      </c>
      <c r="F663" s="19">
        <f>(L209+L288)-(J209+J288)</f>
        <v>985794.20841269754</v>
      </c>
      <c r="G663" s="19">
        <f>(L227+L307)-(J227+J307)</f>
        <v>910758.43251639791</v>
      </c>
      <c r="H663" s="19">
        <f>(L245+L326)-(J245+J326)</f>
        <v>1876244.7790709042</v>
      </c>
      <c r="I663" s="19">
        <f>SUM(F663:H663)</f>
        <v>3772797.42</v>
      </c>
      <c r="J663"/>
      <c r="K663" s="13"/>
      <c r="L663" s="13"/>
      <c r="M663" s="9"/>
    </row>
    <row r="664" spans="1:13" s="3" customFormat="1" ht="12.2" customHeight="1" x14ac:dyDescent="0.15">
      <c r="A664" s="197" t="s">
        <v>129</v>
      </c>
      <c r="B664" s="169"/>
      <c r="C664" s="169"/>
      <c r="D664" s="169"/>
      <c r="E664" s="169"/>
      <c r="F664" s="198">
        <f>SUM(F576:F588)+SUM(H603:H605)+SUM(L612)</f>
        <v>1522899.0349435559</v>
      </c>
      <c r="G664" s="198">
        <f>SUM(G576:G588)+SUM(I603:I605)+L613</f>
        <v>1561786.6354196614</v>
      </c>
      <c r="H664" s="198">
        <f>SUM(H576:H588)+SUM(J603:J605)+L614</f>
        <v>2435056.8296367824</v>
      </c>
      <c r="I664" s="19">
        <f>SUM(F664:H664)</f>
        <v>5519742.5</v>
      </c>
      <c r="J664" s="13"/>
      <c r="K664" s="13"/>
      <c r="L664" s="13"/>
      <c r="M664" s="9"/>
    </row>
    <row r="665" spans="1:13" s="3" customFormat="1" ht="12.2" customHeight="1" x14ac:dyDescent="0.15">
      <c r="A665" s="1" t="s">
        <v>130</v>
      </c>
      <c r="F665" s="19">
        <f>F661-SUM(F662:F664)</f>
        <v>22196727.069837954</v>
      </c>
      <c r="G665" s="19">
        <f>G661-SUM(G662:G664)</f>
        <v>15229291.916861827</v>
      </c>
      <c r="H665" s="19">
        <f>H661-SUM(H662:H664)</f>
        <v>21773521.173300218</v>
      </c>
      <c r="I665" s="19">
        <f>I661-SUM(I662:I664)</f>
        <v>59199540.159999996</v>
      </c>
      <c r="J665" s="13"/>
      <c r="K665" s="13"/>
      <c r="L665" s="13"/>
      <c r="M665" s="8"/>
    </row>
    <row r="666" spans="1:13" s="3" customFormat="1" ht="12.2" customHeight="1" x14ac:dyDescent="0.2">
      <c r="A666" s="1" t="s">
        <v>131</v>
      </c>
      <c r="F666" s="245">
        <v>1175.73</v>
      </c>
      <c r="G666" s="246">
        <v>1060.3499999999999</v>
      </c>
      <c r="H666" s="246">
        <v>1512.56</v>
      </c>
      <c r="I666" s="19">
        <f>SUM(F666:H666)</f>
        <v>3748.64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18879.099999999999</v>
      </c>
      <c r="G668" s="19">
        <f>ROUND(G665/G666,2)</f>
        <v>14362.51</v>
      </c>
      <c r="H668" s="19">
        <f>ROUND(H665/H666,2)</f>
        <v>14395.15</v>
      </c>
      <c r="I668" s="19">
        <f>ROUND(I665/I666,2)</f>
        <v>15792.27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35.33</v>
      </c>
      <c r="I671" s="19">
        <f>SUM(F671:H671)</f>
        <v>35.33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18879.099999999999</v>
      </c>
      <c r="G673" s="19">
        <f>ROUND((G665+G670)/(G666+G671),2)</f>
        <v>14362.51</v>
      </c>
      <c r="H673" s="19">
        <f>ROUND((H665+H670)/(H666+H671),2)</f>
        <v>14066.58</v>
      </c>
      <c r="I673" s="19">
        <f>ROUND((I665+I670)/(I666+I671),2)</f>
        <v>15644.82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91508.45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37949.99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53558.46</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0"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Dover</v>
      </c>
      <c r="C5" s="375"/>
      <c r="D5" s="375"/>
      <c r="E5" s="375"/>
      <c r="F5" s="375"/>
    </row>
    <row r="8" spans="1:9" ht="18" x14ac:dyDescent="0.25">
      <c r="A8" s="312" t="s">
        <v>1568</v>
      </c>
      <c r="F8" s="319" t="s">
        <v>1586</v>
      </c>
    </row>
    <row r="9" spans="1:9" ht="15" x14ac:dyDescent="0.2">
      <c r="A9" s="310" t="s">
        <v>1569</v>
      </c>
      <c r="B9" s="313">
        <f>'DOE25'!G97</f>
        <v>78401.219999999987</v>
      </c>
      <c r="F9" s="310" t="s">
        <v>1582</v>
      </c>
    </row>
    <row r="10" spans="1:9" ht="15" x14ac:dyDescent="0.2">
      <c r="A10" s="310" t="s">
        <v>1570</v>
      </c>
      <c r="B10" s="313">
        <f>'DOE25'!G112-'DOE25'!G97</f>
        <v>0</v>
      </c>
      <c r="F10" s="310" t="s">
        <v>1583</v>
      </c>
    </row>
    <row r="11" spans="1:9" ht="15" x14ac:dyDescent="0.2">
      <c r="A11" s="310" t="s">
        <v>1571</v>
      </c>
      <c r="B11" s="313">
        <f>'DOE25'!G140</f>
        <v>19098.080000000002</v>
      </c>
      <c r="F11" s="310" t="s">
        <v>1584</v>
      </c>
    </row>
    <row r="12" spans="1:9" ht="15" x14ac:dyDescent="0.2">
      <c r="A12" s="310" t="s">
        <v>1572</v>
      </c>
      <c r="B12" s="313">
        <f>'DOE25'!G170</f>
        <v>2565082.7600000002</v>
      </c>
      <c r="F12" s="310" t="s">
        <v>1585</v>
      </c>
    </row>
    <row r="13" spans="1:9" ht="15" x14ac:dyDescent="0.2">
      <c r="A13" s="310" t="s">
        <v>1573</v>
      </c>
      <c r="B13" s="313">
        <f>'DOE25'!G193-'DOE25'!G180</f>
        <v>1028.72</v>
      </c>
      <c r="F13" s="310" t="s">
        <v>1595</v>
      </c>
    </row>
    <row r="14" spans="1:9" ht="18" x14ac:dyDescent="0.25">
      <c r="A14" s="312" t="s">
        <v>732</v>
      </c>
      <c r="B14" s="314">
        <f>SUM(B9:B13)</f>
        <v>2663610.7800000003</v>
      </c>
    </row>
    <row r="16" spans="1:9" ht="18" x14ac:dyDescent="0.25">
      <c r="A16" s="312" t="s">
        <v>786</v>
      </c>
      <c r="F16" s="319" t="s">
        <v>1587</v>
      </c>
    </row>
    <row r="17" spans="1:6" ht="15" x14ac:dyDescent="0.2">
      <c r="A17" s="310" t="s">
        <v>1574</v>
      </c>
      <c r="B17" s="313">
        <f>'DOE25'!L363-'DOE25'!L362</f>
        <v>1699361.5100000002</v>
      </c>
      <c r="F17" s="310" t="s">
        <v>1588</v>
      </c>
    </row>
    <row r="18" spans="1:6" ht="15" x14ac:dyDescent="0.2">
      <c r="A18" s="310" t="s">
        <v>1575</v>
      </c>
      <c r="B18" s="323"/>
      <c r="F18" s="319" t="s">
        <v>1612</v>
      </c>
    </row>
    <row r="19" spans="1:6" ht="18" x14ac:dyDescent="0.25">
      <c r="A19" s="312" t="s">
        <v>725</v>
      </c>
      <c r="B19" s="314">
        <f>SUM(B17:B18)</f>
        <v>1699361.5100000002</v>
      </c>
    </row>
    <row r="21" spans="1:6" ht="18.75" thickBot="1" x14ac:dyDescent="0.3">
      <c r="A21" s="312" t="s">
        <v>1576</v>
      </c>
    </row>
    <row r="22" spans="1:6" ht="18.75" thickTop="1" x14ac:dyDescent="0.25">
      <c r="A22" s="312" t="s">
        <v>1577</v>
      </c>
      <c r="B22" s="318">
        <f>B14-B19</f>
        <v>964249.27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285728.56999999995</v>
      </c>
      <c r="F31" s="310" t="s">
        <v>1592</v>
      </c>
    </row>
    <row r="33" spans="1:6" ht="15" x14ac:dyDescent="0.2">
      <c r="A33" s="310" t="s">
        <v>1635</v>
      </c>
      <c r="B33" s="313">
        <f>'DOE25'!G477</f>
        <v>1249977.8399999999</v>
      </c>
      <c r="F33" s="310" t="s">
        <v>1593</v>
      </c>
    </row>
    <row r="36" spans="1:6" ht="15" x14ac:dyDescent="0.2">
      <c r="A36" s="310" t="s">
        <v>1579</v>
      </c>
      <c r="B36" s="324">
        <v>132504.70000000001</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I32" sqref="I32"/>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Dover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15704747.84</v>
      </c>
      <c r="C9" s="228">
        <f>'DOE25'!G198+'DOE25'!G216+'DOE25'!G234+'DOE25'!G277+'DOE25'!G296+'DOE25'!G315</f>
        <v>9016349.8499999996</v>
      </c>
    </row>
    <row r="10" spans="1:3" x14ac:dyDescent="0.2">
      <c r="A10" t="s">
        <v>775</v>
      </c>
      <c r="B10" s="239">
        <v>14677598.309999999</v>
      </c>
      <c r="C10" s="239">
        <v>8655644.1699999999</v>
      </c>
    </row>
    <row r="11" spans="1:3" x14ac:dyDescent="0.2">
      <c r="A11" t="s">
        <v>776</v>
      </c>
      <c r="B11" s="239">
        <v>585679.8400000002</v>
      </c>
      <c r="C11" s="239">
        <v>179904.66</v>
      </c>
    </row>
    <row r="12" spans="1:3" x14ac:dyDescent="0.2">
      <c r="A12" t="s">
        <v>777</v>
      </c>
      <c r="B12" s="239">
        <v>441469.69000000134</v>
      </c>
      <c r="C12" s="239">
        <v>180801.01999999955</v>
      </c>
    </row>
    <row r="13" spans="1:3" x14ac:dyDescent="0.2">
      <c r="A13" t="str">
        <f>IF(B9=B13,IF(C9=C13,"Check Total OK","Check Total Error"),"Check Total Error")</f>
        <v>Check Total OK</v>
      </c>
      <c r="B13" s="230">
        <f>SUM(B10:B12)</f>
        <v>15704747.84</v>
      </c>
      <c r="C13" s="230">
        <f>SUM(C10:C12)</f>
        <v>9016349.8499999996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7806698.2699999996</v>
      </c>
      <c r="C18" s="228">
        <f>'DOE25'!G199+'DOE25'!G217+'DOE25'!G235+'DOE25'!G278+'DOE25'!G297+'DOE25'!G316</f>
        <v>2989595.6499999994</v>
      </c>
    </row>
    <row r="19" spans="1:3" x14ac:dyDescent="0.2">
      <c r="A19" t="s">
        <v>775</v>
      </c>
      <c r="B19" s="239">
        <v>3603429.68</v>
      </c>
      <c r="C19" s="239">
        <v>2083586.0600000003</v>
      </c>
    </row>
    <row r="20" spans="1:3" x14ac:dyDescent="0.2">
      <c r="A20" t="s">
        <v>776</v>
      </c>
      <c r="B20" s="239">
        <v>3386146.0999999996</v>
      </c>
      <c r="C20" s="239">
        <v>498619.97000000009</v>
      </c>
    </row>
    <row r="21" spans="1:3" x14ac:dyDescent="0.2">
      <c r="A21" t="s">
        <v>777</v>
      </c>
      <c r="B21" s="239">
        <v>817122.49000000022</v>
      </c>
      <c r="C21" s="239">
        <v>407389.61999999918</v>
      </c>
    </row>
    <row r="22" spans="1:3" x14ac:dyDescent="0.2">
      <c r="A22" t="str">
        <f>IF(B18=B22,IF(C18=C22,"Check Total OK","Check Total Error"),"Check Total Error")</f>
        <v>Check Total OK</v>
      </c>
      <c r="B22" s="230">
        <f>SUM(B19:B21)</f>
        <v>7806698.2699999996</v>
      </c>
      <c r="C22" s="230">
        <f>SUM(C19:C21)</f>
        <v>2989595.6499999994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1177283.8400000001</v>
      </c>
      <c r="C27" s="233">
        <f>'DOE25'!G200+'DOE25'!G218+'DOE25'!G236+'DOE25'!G279+'DOE25'!G298+'DOE25'!G317</f>
        <v>668092.52999999991</v>
      </c>
    </row>
    <row r="28" spans="1:3" x14ac:dyDescent="0.2">
      <c r="A28" t="s">
        <v>775</v>
      </c>
      <c r="B28" s="239">
        <v>975087.15999999992</v>
      </c>
      <c r="C28" s="239">
        <v>587944.21000000008</v>
      </c>
    </row>
    <row r="29" spans="1:3" x14ac:dyDescent="0.2">
      <c r="A29" t="s">
        <v>776</v>
      </c>
      <c r="B29" s="239">
        <v>0</v>
      </c>
      <c r="C29" s="239">
        <v>0</v>
      </c>
    </row>
    <row r="30" spans="1:3" x14ac:dyDescent="0.2">
      <c r="A30" t="s">
        <v>777</v>
      </c>
      <c r="B30" s="239">
        <v>202196.68000000017</v>
      </c>
      <c r="C30" s="239">
        <v>80148.319999999832</v>
      </c>
    </row>
    <row r="31" spans="1:3" x14ac:dyDescent="0.2">
      <c r="A31" t="str">
        <f>IF(B27=B31,IF(C27=C31,"Check Total OK","Check Total Error"),"Check Total Error")</f>
        <v>Check Total OK</v>
      </c>
      <c r="B31" s="230">
        <f>SUM(B28:B30)</f>
        <v>1177283.8400000001</v>
      </c>
      <c r="C31" s="230">
        <f>SUM(C28:C30)</f>
        <v>668092.52999999991</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385046.64</v>
      </c>
      <c r="C36" s="234">
        <f>'DOE25'!G201+'DOE25'!G219+'DOE25'!G237+'DOE25'!G280+'DOE25'!G299+'DOE25'!G318</f>
        <v>133482.52000000002</v>
      </c>
    </row>
    <row r="37" spans="1:3" x14ac:dyDescent="0.2">
      <c r="A37" t="s">
        <v>775</v>
      </c>
      <c r="B37" s="239"/>
      <c r="C37" s="239"/>
    </row>
    <row r="38" spans="1:3" x14ac:dyDescent="0.2">
      <c r="A38" t="s">
        <v>776</v>
      </c>
      <c r="B38" s="239"/>
      <c r="C38" s="239"/>
    </row>
    <row r="39" spans="1:3" x14ac:dyDescent="0.2">
      <c r="A39" t="s">
        <v>777</v>
      </c>
      <c r="B39" s="239">
        <v>385046.64</v>
      </c>
      <c r="C39" s="239">
        <v>133482.52000000002</v>
      </c>
    </row>
    <row r="40" spans="1:3" x14ac:dyDescent="0.2">
      <c r="A40" t="str">
        <f>IF(B36=B40,IF(C36=C40,"Check Total OK","Check Total Error"),"Check Total Error")</f>
        <v>Check Total OK</v>
      </c>
      <c r="B40" s="230">
        <f>SUM(B37:B39)</f>
        <v>385046.64</v>
      </c>
      <c r="C40" s="230">
        <f>SUM(C37:C39)</f>
        <v>133482.52000000002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Dover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41175097.170000002</v>
      </c>
      <c r="D5" s="20">
        <f>SUM('DOE25'!L198:L201)+SUM('DOE25'!L216:L219)+SUM('DOE25'!L234:L237)-F5-G5-H5</f>
        <v>38564075.439999998</v>
      </c>
      <c r="E5" s="242"/>
      <c r="F5" s="243">
        <v>2379704.2000000011</v>
      </c>
      <c r="G5" s="53">
        <f>SUM('DOE25'!J198:J201)+SUM('DOE25'!J216:J219)+SUM('DOE25'!J234:J237)</f>
        <v>147668.4</v>
      </c>
      <c r="H5" s="53">
        <f>SUM('DOE25'!K198:K201)+SUM('DOE25'!K216:K219)+SUM('DOE25'!K234:K237)</f>
        <v>83649.13</v>
      </c>
      <c r="I5" s="255"/>
    </row>
    <row r="6" spans="1:9" x14ac:dyDescent="0.2">
      <c r="A6" s="32">
        <v>2100</v>
      </c>
      <c r="B6" t="s">
        <v>796</v>
      </c>
      <c r="C6" s="274">
        <f t="shared" si="0"/>
        <v>4734672.5</v>
      </c>
      <c r="D6" s="20">
        <f>'DOE25'!L203+'DOE25'!L221+'DOE25'!L239-F6-G6-H6</f>
        <v>4601152.76</v>
      </c>
      <c r="E6" s="242"/>
      <c r="F6" s="243">
        <v>131552.74</v>
      </c>
      <c r="G6" s="53">
        <f>'DOE25'!J203+'DOE25'!J221+'DOE25'!J239</f>
        <v>1967</v>
      </c>
      <c r="H6" s="53">
        <f>'DOE25'!K203+'DOE25'!K221+'DOE25'!K239</f>
        <v>0</v>
      </c>
      <c r="I6" s="255"/>
    </row>
    <row r="7" spans="1:9" x14ac:dyDescent="0.2">
      <c r="A7" s="32">
        <v>2200</v>
      </c>
      <c r="B7" t="s">
        <v>821</v>
      </c>
      <c r="C7" s="274">
        <f t="shared" si="0"/>
        <v>1271193.9099999999</v>
      </c>
      <c r="D7" s="20">
        <f>'DOE25'!L204+'DOE25'!L222+'DOE25'!L240-F7-G7-H7</f>
        <v>1270729.9099999999</v>
      </c>
      <c r="E7" s="242"/>
      <c r="F7" s="243">
        <v>0</v>
      </c>
      <c r="G7" s="53">
        <f>'DOE25'!J204+'DOE25'!J222+'DOE25'!J240</f>
        <v>0</v>
      </c>
      <c r="H7" s="53">
        <f>'DOE25'!K204+'DOE25'!K222+'DOE25'!K240</f>
        <v>464</v>
      </c>
      <c r="I7" s="255"/>
    </row>
    <row r="8" spans="1:9" x14ac:dyDescent="0.2">
      <c r="A8" s="32">
        <v>2300</v>
      </c>
      <c r="B8" t="s">
        <v>797</v>
      </c>
      <c r="C8" s="274">
        <f t="shared" si="0"/>
        <v>884492.66999999981</v>
      </c>
      <c r="D8" s="242"/>
      <c r="E8" s="20">
        <f>'DOE25'!L205+'DOE25'!L223+'DOE25'!L241-F8-G8-H8-D9-D11</f>
        <v>605363.31999999983</v>
      </c>
      <c r="F8" s="243">
        <v>266613.64</v>
      </c>
      <c r="G8" s="53">
        <f>'DOE25'!J205+'DOE25'!J223+'DOE25'!J241</f>
        <v>0</v>
      </c>
      <c r="H8" s="53">
        <f>'DOE25'!K205+'DOE25'!K223+'DOE25'!K241</f>
        <v>12515.709999999997</v>
      </c>
      <c r="I8" s="255"/>
    </row>
    <row r="9" spans="1:9" ht="14.25" x14ac:dyDescent="0.2">
      <c r="A9" s="32">
        <v>2310</v>
      </c>
      <c r="B9" s="184" t="s">
        <v>888</v>
      </c>
      <c r="C9" s="274">
        <f t="shared" si="0"/>
        <v>7750.92</v>
      </c>
      <c r="D9" s="243">
        <v>7750.92</v>
      </c>
      <c r="E9" s="242"/>
      <c r="F9" s="252"/>
      <c r="G9" s="252"/>
      <c r="H9" s="252"/>
      <c r="I9" s="255"/>
    </row>
    <row r="10" spans="1:9" ht="14.25" x14ac:dyDescent="0.2">
      <c r="A10" s="32">
        <v>2317</v>
      </c>
      <c r="B10" s="184" t="s">
        <v>889</v>
      </c>
      <c r="C10" s="274">
        <f t="shared" si="0"/>
        <v>30616.15</v>
      </c>
      <c r="D10" s="242"/>
      <c r="E10" s="243">
        <v>30616.15</v>
      </c>
      <c r="F10" s="252"/>
      <c r="G10" s="252"/>
      <c r="H10" s="252"/>
      <c r="I10" s="255"/>
    </row>
    <row r="11" spans="1:9" ht="14.25" x14ac:dyDescent="0.2">
      <c r="A11" s="32">
        <v>2321</v>
      </c>
      <c r="B11" s="184" t="s">
        <v>890</v>
      </c>
      <c r="C11" s="274">
        <f t="shared" si="0"/>
        <v>498975.52</v>
      </c>
      <c r="D11" s="243">
        <f>53905.39+39491.32+54226.66+155723.88+127900.92+67727.35</f>
        <v>498975.52</v>
      </c>
      <c r="E11" s="242"/>
      <c r="F11" s="252"/>
      <c r="G11" s="252"/>
      <c r="H11" s="252"/>
      <c r="I11" s="255"/>
    </row>
    <row r="12" spans="1:9" x14ac:dyDescent="0.2">
      <c r="A12" s="32">
        <v>2400</v>
      </c>
      <c r="B12" t="s">
        <v>711</v>
      </c>
      <c r="C12" s="274">
        <f t="shared" si="0"/>
        <v>3036844.49</v>
      </c>
      <c r="D12" s="20">
        <f>'DOE25'!L206+'DOE25'!L224+'DOE25'!L242-F12-G12-H12</f>
        <v>3024821.5</v>
      </c>
      <c r="E12" s="242"/>
      <c r="F12" s="243">
        <v>0</v>
      </c>
      <c r="G12" s="53">
        <f>'DOE25'!J206+'DOE25'!J224+'DOE25'!J242</f>
        <v>954</v>
      </c>
      <c r="H12" s="53">
        <f>'DOE25'!K206+'DOE25'!K224+'DOE25'!K242</f>
        <v>11068.99</v>
      </c>
      <c r="I12" s="255"/>
    </row>
    <row r="13" spans="1:9" x14ac:dyDescent="0.2">
      <c r="A13" s="32">
        <v>2500</v>
      </c>
      <c r="B13" t="s">
        <v>798</v>
      </c>
      <c r="C13" s="274">
        <f t="shared" si="0"/>
        <v>0</v>
      </c>
      <c r="D13" s="242"/>
      <c r="E13" s="20">
        <f>'DOE25'!L207+'DOE25'!L225+'DOE25'!L243-F13-G13-H13</f>
        <v>0</v>
      </c>
      <c r="F13" s="243">
        <v>0</v>
      </c>
      <c r="G13" s="53">
        <f>'DOE25'!J207+'DOE25'!J225+'DOE25'!J243</f>
        <v>0</v>
      </c>
      <c r="H13" s="53">
        <f>'DOE25'!K207+'DOE25'!K225+'DOE25'!K243</f>
        <v>0</v>
      </c>
      <c r="I13" s="255"/>
    </row>
    <row r="14" spans="1:9" x14ac:dyDescent="0.2">
      <c r="A14" s="32">
        <v>2600</v>
      </c>
      <c r="B14" t="s">
        <v>819</v>
      </c>
      <c r="C14" s="274">
        <f t="shared" si="0"/>
        <v>5499110.9099999992</v>
      </c>
      <c r="D14" s="20">
        <f>'DOE25'!L208+'DOE25'!L226+'DOE25'!L244-F14-G14-H14</f>
        <v>2131779.8399999994</v>
      </c>
      <c r="E14" s="242"/>
      <c r="F14" s="243">
        <f>3392331.07-25000</f>
        <v>3367331.07</v>
      </c>
      <c r="G14" s="53">
        <f>'DOE25'!J208+'DOE25'!J226+'DOE25'!J244</f>
        <v>0</v>
      </c>
      <c r="H14" s="53">
        <f>'DOE25'!K208+'DOE25'!K226+'DOE25'!K244</f>
        <v>0</v>
      </c>
      <c r="I14" s="255"/>
    </row>
    <row r="15" spans="1:9" x14ac:dyDescent="0.2">
      <c r="A15" s="32">
        <v>2700</v>
      </c>
      <c r="B15" t="s">
        <v>799</v>
      </c>
      <c r="C15" s="274">
        <f t="shared" si="0"/>
        <v>3770345.1099999994</v>
      </c>
      <c r="D15" s="20">
        <f>'DOE25'!L209+'DOE25'!L227+'DOE25'!L245-F15-G15-H15</f>
        <v>70833.229999999516</v>
      </c>
      <c r="E15" s="242"/>
      <c r="F15" s="243">
        <f>3774511.88-75000</f>
        <v>3699511.88</v>
      </c>
      <c r="G15" s="53">
        <f>'DOE25'!J209+'DOE25'!J227+'DOE25'!J245</f>
        <v>0</v>
      </c>
      <c r="H15" s="53">
        <f>'DOE25'!K209+'DOE25'!K227+'DOE25'!K245</f>
        <v>0</v>
      </c>
      <c r="I15" s="255"/>
    </row>
    <row r="16" spans="1:9" x14ac:dyDescent="0.2">
      <c r="A16" s="32">
        <v>2800</v>
      </c>
      <c r="B16" t="s">
        <v>800</v>
      </c>
      <c r="C16" s="274">
        <f t="shared" si="0"/>
        <v>1341377.46</v>
      </c>
      <c r="D16" s="242"/>
      <c r="E16" s="20">
        <f>'DOE25'!L210+'DOE25'!L228+'DOE25'!L246-F16-G16-H16</f>
        <v>1194038.1299999999</v>
      </c>
      <c r="F16" s="243">
        <f>76326.05-25000</f>
        <v>51326.05</v>
      </c>
      <c r="G16" s="53">
        <f>'DOE25'!J210+'DOE25'!J228+'DOE25'!J246</f>
        <v>91340.53</v>
      </c>
      <c r="H16" s="53">
        <f>'DOE25'!K210+'DOE25'!K228+'DOE25'!K246</f>
        <v>4672.75</v>
      </c>
      <c r="I16" s="255"/>
    </row>
    <row r="17" spans="1:9" x14ac:dyDescent="0.2">
      <c r="A17" s="32">
        <v>1600</v>
      </c>
      <c r="B17" t="s">
        <v>801</v>
      </c>
      <c r="C17" s="274">
        <f t="shared" si="0"/>
        <v>204218.72999999998</v>
      </c>
      <c r="D17" s="20">
        <f>'DOE25'!L252-F17-G17-H17</f>
        <v>204218.72999999998</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6393595.1399999997</v>
      </c>
      <c r="D25" s="242"/>
      <c r="E25" s="242"/>
      <c r="F25" s="254"/>
      <c r="G25" s="252"/>
      <c r="H25" s="252"/>
      <c r="I25" s="253">
        <f>'DOE25'!L261+'DOE25'!L262+'DOE25'!L342+'DOE25'!L343</f>
        <v>6393595.1399999997</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1579601.6406800002</v>
      </c>
      <c r="D29" s="282">
        <f>'DOE25'!L359+'DOE25'!L360+'DOE25'!L361-'DOE25'!I368-F29-G29-H29</f>
        <v>325700.84068000002</v>
      </c>
      <c r="E29" s="242"/>
      <c r="F29" s="243">
        <v>1226122.9000000001</v>
      </c>
      <c r="G29" s="53">
        <f>'DOE25'!J359+'DOE25'!J360+'DOE25'!J361</f>
        <v>25149</v>
      </c>
      <c r="H29" s="53">
        <f>'DOE25'!K359+'DOE25'!K360+'DOE25'!K361</f>
        <v>2628.8999999999996</v>
      </c>
      <c r="I29" s="255"/>
    </row>
    <row r="30" spans="1:9" x14ac:dyDescent="0.2">
      <c r="A30" s="32"/>
      <c r="C30" s="275"/>
      <c r="D30" s="20"/>
      <c r="E30" s="279"/>
      <c r="F30" s="269"/>
      <c r="G30" s="53"/>
      <c r="H30" s="53"/>
      <c r="I30" s="255"/>
    </row>
    <row r="31" spans="1:9" x14ac:dyDescent="0.2">
      <c r="A31" s="32" t="s">
        <v>818</v>
      </c>
      <c r="B31" t="s">
        <v>817</v>
      </c>
      <c r="C31" s="274">
        <f>SUM(D31:I31)</f>
        <v>4989136.4900000012</v>
      </c>
      <c r="D31" s="20">
        <f>'DOE25'!L291+'DOE25'!L310+'DOE25'!L329+'DOE25'!L334+'DOE25'!L335+'DOE25'!L336-F31-G31-H31</f>
        <v>2503990.0393200009</v>
      </c>
      <c r="E31" s="242"/>
      <c r="F31" s="243">
        <v>1356363.0306800001</v>
      </c>
      <c r="G31" s="53">
        <f>'DOE25'!J291+'DOE25'!J310+'DOE25'!J329+'DOE25'!J334+'DOE25'!J335+'DOE25'!J336</f>
        <v>1106396.74</v>
      </c>
      <c r="H31" s="53">
        <f>'DOE25'!K291+'DOE25'!K310+'DOE25'!K329+'DOE25'!K334+'DOE25'!K335+'DOE25'!K336</f>
        <v>22386.68</v>
      </c>
      <c r="I31" s="255"/>
    </row>
    <row r="32" spans="1:9" ht="12" thickBot="1" x14ac:dyDescent="0.25">
      <c r="C32" s="275"/>
      <c r="G32" s="250"/>
      <c r="H32" s="250"/>
      <c r="I32" s="257"/>
    </row>
    <row r="33" spans="1:9" ht="12" thickTop="1" x14ac:dyDescent="0.2">
      <c r="B33" t="s">
        <v>809</v>
      </c>
      <c r="D33" s="244">
        <f t="shared" ref="D33:I33" si="1">SUM(D5:D31)</f>
        <v>53204028.729999989</v>
      </c>
      <c r="E33" s="244">
        <f t="shared" si="1"/>
        <v>1830017.5999999996</v>
      </c>
      <c r="F33" s="244">
        <f t="shared" si="1"/>
        <v>12478525.510680003</v>
      </c>
      <c r="G33" s="244">
        <f t="shared" si="1"/>
        <v>1373475.67</v>
      </c>
      <c r="H33" s="244">
        <f t="shared" si="1"/>
        <v>137386.16</v>
      </c>
      <c r="I33" s="244">
        <f t="shared" si="1"/>
        <v>6393595.1399999997</v>
      </c>
    </row>
    <row r="35" spans="1:9" ht="12" thickBot="1" x14ac:dyDescent="0.25">
      <c r="B35" s="250" t="s">
        <v>831</v>
      </c>
      <c r="D35" s="251">
        <f>E33</f>
        <v>1830017.5999999996</v>
      </c>
      <c r="E35" s="247"/>
      <c r="F35" s="328" t="s">
        <v>1617</v>
      </c>
      <c r="G35" s="329"/>
      <c r="H35" s="329"/>
      <c r="I35" s="329"/>
    </row>
    <row r="36" spans="1:9" ht="12" thickTop="1" x14ac:dyDescent="0.2">
      <c r="B36" t="s">
        <v>810</v>
      </c>
      <c r="D36" s="20">
        <f>D33</f>
        <v>53204028.729999989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Dover</v>
      </c>
      <c r="B2" s="126">
        <f>'DOE25'!B2</f>
        <v>141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24197257.107967883</v>
      </c>
      <c r="G4" s="299">
        <f>'DOE25'!L212+'DOE25'!L291</f>
        <v>24197257.107967883</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Garrison School</v>
      </c>
      <c r="B6" s="300">
        <f>IFERROR(VLOOKUP(A6,'School Tables'!$C$3:$D$365,2,FALSE),"")</f>
        <v>20430</v>
      </c>
      <c r="C6" s="293" t="str">
        <f>IFERROR(INDEX('School Tables'!$B$3:$B$365,MATCH('School Level Expenditures'!B6,'School Tables'!$D$3:$D$365,0)),"")</f>
        <v>Dover</v>
      </c>
      <c r="D6" s="290">
        <v>7030989.0097696716</v>
      </c>
      <c r="E6" s="290">
        <v>535645.01986714965</v>
      </c>
      <c r="F6" s="303">
        <f t="shared" ref="F6:F20" si="0">D6+E6</f>
        <v>7566634.0296368208</v>
      </c>
      <c r="G6" s="293"/>
      <c r="H6" s="293"/>
      <c r="I6" s="384"/>
      <c r="N6"/>
    </row>
    <row r="7" spans="1:18" x14ac:dyDescent="0.2">
      <c r="A7" s="126" t="str" cm="1">
        <f t="array" ref="A7">IFERROR(INDEX('School Tables'!$A$4:$G$325,'School Tables'!$J5,3),"")</f>
        <v>Horne Street School</v>
      </c>
      <c r="B7" s="300">
        <f>IFERROR(VLOOKUP(A7,'School Tables'!$C$3:$D$365,2,FALSE),"")</f>
        <v>20445</v>
      </c>
      <c r="C7" s="293" t="str">
        <f>IFERROR(INDEX('School Tables'!$B$3:$B$365,MATCH('School Level Expenditures'!B7,'School Tables'!$D$3:$D$365,0)),"")</f>
        <v>Dover</v>
      </c>
      <c r="D7" s="290">
        <v>7012437.5875803055</v>
      </c>
      <c r="E7" s="290">
        <v>534231.7084690833</v>
      </c>
      <c r="F7" s="303">
        <f t="shared" si="0"/>
        <v>7546669.2960493891</v>
      </c>
      <c r="G7" s="293"/>
      <c r="H7" s="293"/>
      <c r="I7" s="341"/>
      <c r="N7"/>
    </row>
    <row r="8" spans="1:18" x14ac:dyDescent="0.2">
      <c r="A8" s="126" t="str" cm="1">
        <f t="array" ref="A8">IFERROR(INDEX('School Tables'!$A$4:$G$325,'School Tables'!$J6,3),"")</f>
        <v>Woodman Park School</v>
      </c>
      <c r="B8" s="300">
        <f>IFERROR(VLOOKUP(A8,'School Tables'!$C$3:$D$365,2,FALSE),"")</f>
        <v>20460</v>
      </c>
      <c r="C8" s="293" t="str">
        <f>IFERROR(INDEX('School Tables'!$B$3:$B$365,MATCH('School Level Expenditures'!B8,'School Tables'!$D$3:$D$365,0)),"")</f>
        <v>Dover</v>
      </c>
      <c r="D8" s="290">
        <v>8440897.0961614791</v>
      </c>
      <c r="E8" s="290">
        <v>643056.68612019287</v>
      </c>
      <c r="F8" s="303">
        <f t="shared" si="0"/>
        <v>9083953.7822816726</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22484323.693511456</v>
      </c>
      <c r="E21" s="338">
        <f>SUM(E5:E20)</f>
        <v>1712933.4144564257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17241982.501440488</v>
      </c>
      <c r="G24" s="299">
        <f>'DOE25'!L230+'DOE25'!L310</f>
        <v>17241982.501440488</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Dover Middle School</v>
      </c>
      <c r="B26" s="300">
        <f>IFERROR(VLOOKUP(A26,'School Tables'!$N$4:$O$75,2,FALSE),"")</f>
        <v>20435</v>
      </c>
      <c r="C26" s="293" t="str">
        <f>IFERROR(INDEX('School Tables'!$M$4:$M$75,MATCH('School Level Expenditures'!A26,'School Tables'!$N$4:$N$75,0)),"")</f>
        <v>Dover</v>
      </c>
      <c r="D26" s="290">
        <v>16061657.532573573</v>
      </c>
      <c r="E26" s="290">
        <v>1180324.9688669126</v>
      </c>
      <c r="F26" s="303">
        <f t="shared" ref="F26:F32" si="1">D26+E26</f>
        <v>17241982.501440488</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16061657.532573573</v>
      </c>
      <c r="E33" s="338">
        <f>SUM(E25:E32)</f>
        <v>1180324.9688669126</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25431880.180591624</v>
      </c>
      <c r="G36" s="299">
        <f>'DOE25'!L248+'DOE25'!L329</f>
        <v>25431880.180591624</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Dover Senior High School</v>
      </c>
      <c r="B38" s="300">
        <f>IFERROR(VLOOKUP(A38,'School Tables'!$Y$4:$Z$100,2,FALSE),"")</f>
        <v>20455</v>
      </c>
      <c r="C38" s="293" t="str">
        <f>IFERROR(INDEX('School Tables'!$X$4:$X$100,MATCH('School Level Expenditures'!A38,'School Tables'!$Y$4:$Y$100,0)),"")</f>
        <v>Dover</v>
      </c>
      <c r="D38" s="290">
        <v>23673879.433914963</v>
      </c>
      <c r="E38" s="290">
        <v>1758000.7466766622</v>
      </c>
      <c r="F38" s="303">
        <f t="shared" si="2"/>
        <v>25431880.180591624</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23673879.433914963</v>
      </c>
      <c r="E43" s="339">
        <f>SUM(E37:E42)</f>
        <v>1758000.7466766622</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Dover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0</v>
      </c>
      <c r="D8" s="95">
        <f>'DOE25'!G9</f>
        <v>0</v>
      </c>
      <c r="E8" s="95">
        <f>'DOE25'!H9</f>
        <v>0</v>
      </c>
      <c r="F8" s="95">
        <f>'DOE25'!I9</f>
        <v>0</v>
      </c>
      <c r="G8" s="95">
        <f>'DOE25'!J9</f>
        <v>0</v>
      </c>
      <c r="H8" s="124">
        <f>SUM(C8:G8)</f>
        <v>0</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1249977.8399999999</v>
      </c>
      <c r="E17" s="95">
        <f>'DOE25'!H18</f>
        <v>1551547.7699999977</v>
      </c>
      <c r="F17" s="95">
        <f>'DOE25'!I18</f>
        <v>0</v>
      </c>
      <c r="G17" s="95">
        <f>'DOE25'!J18</f>
        <v>0</v>
      </c>
      <c r="H17" s="124">
        <f t="shared" si="0"/>
        <v>2801525.6099999975</v>
      </c>
      <c r="I17" s="124"/>
    </row>
    <row r="18" spans="1:9" ht="12" thickTop="1" x14ac:dyDescent="0.2">
      <c r="A18" s="38" t="s">
        <v>149</v>
      </c>
      <c r="B18" s="39"/>
      <c r="C18" s="41">
        <f>SUM(C8:C17)</f>
        <v>0</v>
      </c>
      <c r="D18" s="41">
        <f>SUM(D8:D17)</f>
        <v>1249977.8399999999</v>
      </c>
      <c r="E18" s="41">
        <f>SUM(E8:E17)</f>
        <v>1551547.7699999977</v>
      </c>
      <c r="F18" s="41">
        <f>SUM(F8:F17)</f>
        <v>0</v>
      </c>
      <c r="G18" s="41">
        <f>SUM(G8:G17)</f>
        <v>0</v>
      </c>
      <c r="H18" s="41">
        <f t="shared" si="0"/>
        <v>2801525.6099999975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0</v>
      </c>
      <c r="D31" s="41">
        <f>SUM(D21:D30)</f>
        <v>0</v>
      </c>
      <c r="E31" s="41">
        <f>SUM(E21:E30)</f>
        <v>0</v>
      </c>
      <c r="F31" s="41">
        <f>SUM(F21:F30)</f>
        <v>0</v>
      </c>
      <c r="G31" s="41">
        <f>SUM(G21:G30)</f>
        <v>0</v>
      </c>
      <c r="H31" s="41">
        <f t="shared" si="1"/>
        <v>0</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1249977.8399999999</v>
      </c>
      <c r="E47" s="95">
        <f>'DOE25'!H48</f>
        <v>1551547.7699999977</v>
      </c>
      <c r="F47" s="95">
        <f>'DOE25'!I48</f>
        <v>0</v>
      </c>
      <c r="G47" s="95">
        <f>'DOE25'!J48</f>
        <v>0</v>
      </c>
      <c r="H47" s="124">
        <f t="shared" si="2"/>
        <v>2801525.6099999975</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0</v>
      </c>
      <c r="D50" s="41">
        <f>SUM(D34:D49)</f>
        <v>1249977.8399999999</v>
      </c>
      <c r="E50" s="41">
        <f>SUM(E34:E49)</f>
        <v>1551547.7699999977</v>
      </c>
      <c r="F50" s="41">
        <f>SUM(F34:F49)</f>
        <v>0</v>
      </c>
      <c r="G50" s="41">
        <f>SUM(G34:G49)</f>
        <v>0</v>
      </c>
      <c r="H50" s="41">
        <f t="shared" si="2"/>
        <v>2801525.6099999975</v>
      </c>
      <c r="I50" s="124"/>
    </row>
    <row r="51" spans="1:9" ht="12" thickTop="1" x14ac:dyDescent="0.2">
      <c r="A51" s="38" t="s">
        <v>885</v>
      </c>
      <c r="B51" s="2"/>
      <c r="C51" s="41">
        <f>C50+C31</f>
        <v>0</v>
      </c>
      <c r="D51" s="41">
        <f>D50+D31</f>
        <v>1249977.8399999999</v>
      </c>
      <c r="E51" s="41">
        <f>E50+E31</f>
        <v>1551547.7699999977</v>
      </c>
      <c r="F51" s="41">
        <f>F50+F31</f>
        <v>0</v>
      </c>
      <c r="G51" s="41">
        <f>G50+G31</f>
        <v>0</v>
      </c>
      <c r="H51" s="41">
        <f t="shared" si="2"/>
        <v>2801525.6099999975</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44409622</v>
      </c>
      <c r="D56" s="95">
        <f>'DOE25'!G60</f>
        <v>0</v>
      </c>
      <c r="E56" s="95">
        <f>'DOE25'!H60</f>
        <v>0</v>
      </c>
      <c r="F56" s="95">
        <f>'DOE25'!I60</f>
        <v>0</v>
      </c>
      <c r="G56" s="95">
        <f>'DOE25'!J60</f>
        <v>0</v>
      </c>
      <c r="H56" s="124">
        <f t="shared" ref="H56:H63" si="3">SUM(C56:G56)</f>
        <v>44409622</v>
      </c>
      <c r="I56"/>
    </row>
    <row r="57" spans="1:9" x14ac:dyDescent="0.2">
      <c r="A57" s="1" t="s">
        <v>164</v>
      </c>
      <c r="B57" s="6" t="s">
        <v>165</v>
      </c>
      <c r="C57" s="95">
        <f>'DOE25'!F79</f>
        <v>5094690.5600000005</v>
      </c>
      <c r="D57" s="24" t="s">
        <v>288</v>
      </c>
      <c r="E57" s="95">
        <f>'DOE25'!H79</f>
        <v>258493.59999999998</v>
      </c>
      <c r="F57" s="24" t="s">
        <v>288</v>
      </c>
      <c r="G57" s="24" t="s">
        <v>288</v>
      </c>
      <c r="H57" s="124">
        <f t="shared" si="3"/>
        <v>5353184.16</v>
      </c>
      <c r="I57"/>
    </row>
    <row r="58" spans="1:9" x14ac:dyDescent="0.2">
      <c r="A58" s="1" t="s">
        <v>166</v>
      </c>
      <c r="B58" s="6" t="s">
        <v>167</v>
      </c>
      <c r="C58" s="95">
        <f>'DOE25'!F94</f>
        <v>130095.79000000001</v>
      </c>
      <c r="D58" s="24" t="s">
        <v>288</v>
      </c>
      <c r="E58" s="95">
        <f>'DOE25'!H94</f>
        <v>950</v>
      </c>
      <c r="F58" s="24" t="s">
        <v>288</v>
      </c>
      <c r="G58" s="24" t="s">
        <v>288</v>
      </c>
      <c r="H58" s="124">
        <f t="shared" si="3"/>
        <v>131045.79000000001</v>
      </c>
      <c r="I58"/>
    </row>
    <row r="59" spans="1:9" x14ac:dyDescent="0.2">
      <c r="A59" s="69" t="s">
        <v>168</v>
      </c>
      <c r="B59" s="37" t="s">
        <v>169</v>
      </c>
      <c r="C59" s="95">
        <f>'DOE25'!F96</f>
        <v>0</v>
      </c>
      <c r="D59" s="95">
        <f>'DOE25'!G96</f>
        <v>0</v>
      </c>
      <c r="E59" s="95">
        <f>'DOE25'!H96</f>
        <v>0</v>
      </c>
      <c r="F59" s="95">
        <f>'DOE25'!I96</f>
        <v>0</v>
      </c>
      <c r="G59" s="95">
        <f>'DOE25'!J96</f>
        <v>0</v>
      </c>
      <c r="H59" s="124">
        <f t="shared" si="3"/>
        <v>0</v>
      </c>
      <c r="I59"/>
    </row>
    <row r="60" spans="1:9" x14ac:dyDescent="0.2">
      <c r="A60" s="1" t="s">
        <v>170</v>
      </c>
      <c r="B60" s="118" t="s">
        <v>171</v>
      </c>
      <c r="C60" s="24" t="s">
        <v>288</v>
      </c>
      <c r="D60" s="95">
        <f>'DOE25'!G97</f>
        <v>78401.219999999987</v>
      </c>
      <c r="E60" s="24" t="s">
        <v>288</v>
      </c>
      <c r="F60" s="24" t="s">
        <v>288</v>
      </c>
      <c r="G60" s="24" t="s">
        <v>288</v>
      </c>
      <c r="H60" s="124">
        <f t="shared" si="3"/>
        <v>78401.219999999987</v>
      </c>
      <c r="I60"/>
    </row>
    <row r="61" spans="1:9" ht="12" thickBot="1" x14ac:dyDescent="0.25">
      <c r="A61" s="1" t="s">
        <v>172</v>
      </c>
      <c r="B61" s="118" t="s">
        <v>173</v>
      </c>
      <c r="C61" s="95">
        <f>SUM('DOE25'!F98:F110)</f>
        <v>0</v>
      </c>
      <c r="D61" s="95">
        <f>SUM('DOE25'!G98:G110)</f>
        <v>0</v>
      </c>
      <c r="E61" s="95">
        <f>SUM('DOE25'!H98:H110)</f>
        <v>191998.37</v>
      </c>
      <c r="F61" s="95">
        <f>SUM('DOE25'!I98:I110)</f>
        <v>0</v>
      </c>
      <c r="G61" s="95">
        <f>SUM('DOE25'!J98:J110)</f>
        <v>0</v>
      </c>
      <c r="H61" s="124">
        <f t="shared" si="3"/>
        <v>191998.37</v>
      </c>
      <c r="I61"/>
    </row>
    <row r="62" spans="1:9" ht="12.75" thickTop="1" thickBot="1" x14ac:dyDescent="0.25">
      <c r="A62" s="29" t="s">
        <v>174</v>
      </c>
      <c r="B62" s="6"/>
      <c r="C62" s="130">
        <f>SUM(C57:C61)</f>
        <v>5224786.3500000006</v>
      </c>
      <c r="D62" s="130">
        <f>SUM(D57:D61)</f>
        <v>78401.219999999987</v>
      </c>
      <c r="E62" s="130">
        <f>SUM(E57:E61)</f>
        <v>451441.97</v>
      </c>
      <c r="F62" s="130">
        <f>SUM(F57:F61)</f>
        <v>0</v>
      </c>
      <c r="G62" s="130">
        <f>SUM(G57:G61)</f>
        <v>0</v>
      </c>
      <c r="H62" s="124">
        <f t="shared" si="3"/>
        <v>5754629.54</v>
      </c>
      <c r="I62"/>
    </row>
    <row r="63" spans="1:9" ht="12" thickTop="1" x14ac:dyDescent="0.2">
      <c r="A63" s="29" t="s">
        <v>175</v>
      </c>
      <c r="B63" s="6"/>
      <c r="C63" s="22">
        <f>C56+C62</f>
        <v>49634408.350000001</v>
      </c>
      <c r="D63" s="22">
        <f>D56+D62</f>
        <v>78401.219999999987</v>
      </c>
      <c r="E63" s="22">
        <f>E56+E62</f>
        <v>451441.97</v>
      </c>
      <c r="F63" s="22">
        <f>F56+F62</f>
        <v>0</v>
      </c>
      <c r="G63" s="22">
        <f>G56+G62</f>
        <v>0</v>
      </c>
      <c r="H63" s="124">
        <f t="shared" si="3"/>
        <v>50164251.539999999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10750740.390000001</v>
      </c>
      <c r="D66" s="24" t="s">
        <v>288</v>
      </c>
      <c r="E66" s="24" t="s">
        <v>288</v>
      </c>
      <c r="F66" s="24" t="s">
        <v>288</v>
      </c>
      <c r="G66" s="24" t="s">
        <v>288</v>
      </c>
      <c r="H66" s="124">
        <f t="shared" ref="H66:H81" si="4">SUM(C66:G66)</f>
        <v>10750740.390000001</v>
      </c>
      <c r="I66"/>
    </row>
    <row r="67" spans="1:9" x14ac:dyDescent="0.2">
      <c r="A67" s="1" t="s">
        <v>770</v>
      </c>
      <c r="B67" s="6">
        <v>3112</v>
      </c>
      <c r="C67" s="95">
        <f>'DOE25'!F118</f>
        <v>7093652</v>
      </c>
      <c r="D67" s="24"/>
      <c r="E67" s="24"/>
      <c r="F67" s="24"/>
      <c r="G67" s="24"/>
      <c r="H67" s="124">
        <f t="shared" si="4"/>
        <v>7093652</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40200.29</v>
      </c>
      <c r="D69" s="95">
        <f>'DOE25'!G120</f>
        <v>0</v>
      </c>
      <c r="E69" s="95">
        <f>'DOE25'!H120</f>
        <v>0</v>
      </c>
      <c r="F69" s="95">
        <f>'DOE25'!I120</f>
        <v>0</v>
      </c>
      <c r="G69" s="95">
        <f>'DOE25'!J120</f>
        <v>0</v>
      </c>
      <c r="H69" s="124">
        <f t="shared" si="4"/>
        <v>40200.29</v>
      </c>
      <c r="I69"/>
    </row>
    <row r="70" spans="1:9" ht="12" thickTop="1" x14ac:dyDescent="0.2">
      <c r="A70" s="29" t="s">
        <v>252</v>
      </c>
      <c r="B70" s="2"/>
      <c r="C70" s="139">
        <f>SUM(C66:C69)</f>
        <v>17884592.68</v>
      </c>
      <c r="D70" s="139">
        <f>D69</f>
        <v>0</v>
      </c>
      <c r="E70" s="139">
        <f>E69</f>
        <v>0</v>
      </c>
      <c r="F70" s="139">
        <f>F69</f>
        <v>0</v>
      </c>
      <c r="G70" s="139">
        <f>G69</f>
        <v>0</v>
      </c>
      <c r="H70" s="124">
        <f t="shared" si="4"/>
        <v>17884592.68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389462.17</v>
      </c>
      <c r="D72" s="24" t="s">
        <v>288</v>
      </c>
      <c r="E72" s="24" t="s">
        <v>288</v>
      </c>
      <c r="F72" s="95">
        <f>'DOE25'!I123</f>
        <v>0</v>
      </c>
      <c r="G72" s="24" t="s">
        <v>288</v>
      </c>
      <c r="H72" s="124">
        <f t="shared" si="4"/>
        <v>389462.17</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1251337.53</v>
      </c>
      <c r="D75" s="24" t="s">
        <v>288</v>
      </c>
      <c r="E75" s="24" t="s">
        <v>288</v>
      </c>
      <c r="F75" s="24" t="s">
        <v>288</v>
      </c>
      <c r="G75" s="24" t="s">
        <v>288</v>
      </c>
      <c r="H75" s="124">
        <f t="shared" si="4"/>
        <v>1251337.53</v>
      </c>
      <c r="I75"/>
    </row>
    <row r="76" spans="1:9" x14ac:dyDescent="0.2">
      <c r="A76" s="1" t="s">
        <v>257</v>
      </c>
      <c r="B76" s="6" t="s">
        <v>179</v>
      </c>
      <c r="C76" s="95">
        <f>SUM('DOE25'!F127:F130)</f>
        <v>483211.86</v>
      </c>
      <c r="D76" s="24" t="s">
        <v>288</v>
      </c>
      <c r="E76" s="95">
        <f>SUM('DOE25'!H127:H130)</f>
        <v>0</v>
      </c>
      <c r="F76" s="95">
        <f>SUM('DOE25'!I127:I130)</f>
        <v>0</v>
      </c>
      <c r="G76" s="24" t="s">
        <v>288</v>
      </c>
      <c r="H76" s="124">
        <f t="shared" si="4"/>
        <v>483211.86</v>
      </c>
      <c r="I76"/>
    </row>
    <row r="77" spans="1:9" ht="12" thickBot="1" x14ac:dyDescent="0.25">
      <c r="A77" s="1" t="s">
        <v>258</v>
      </c>
      <c r="B77" s="6" t="s">
        <v>180</v>
      </c>
      <c r="C77" s="95">
        <f>SUM('DOE25'!F131:F135)</f>
        <v>0</v>
      </c>
      <c r="D77" s="95">
        <f>SUM('DOE25'!G131:G135)</f>
        <v>19098.080000000002</v>
      </c>
      <c r="E77" s="95">
        <f>SUM('DOE25'!H131:H135)</f>
        <v>0</v>
      </c>
      <c r="F77" s="95">
        <f>SUM('DOE25'!I131:I135)</f>
        <v>0</v>
      </c>
      <c r="G77" s="95">
        <f>SUM('DOE25'!J131:J135)</f>
        <v>0</v>
      </c>
      <c r="H77" s="124">
        <f t="shared" si="4"/>
        <v>19098.080000000002</v>
      </c>
      <c r="I77"/>
    </row>
    <row r="78" spans="1:9" ht="12.75" thickTop="1" thickBot="1" x14ac:dyDescent="0.25">
      <c r="A78" s="29" t="s">
        <v>259</v>
      </c>
      <c r="B78" s="6"/>
      <c r="C78" s="130">
        <f>SUM(C72:C77)</f>
        <v>2124011.56</v>
      </c>
      <c r="D78" s="130">
        <f>SUM(D72:D77)</f>
        <v>19098.080000000002</v>
      </c>
      <c r="E78" s="130">
        <f>SUM(E72:E77)</f>
        <v>0</v>
      </c>
      <c r="F78" s="130">
        <f>SUM(F72:F77)</f>
        <v>0</v>
      </c>
      <c r="G78" s="130">
        <f>SUM(G72:G77)</f>
        <v>0</v>
      </c>
      <c r="H78" s="124">
        <f t="shared" si="4"/>
        <v>2143109.64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20008604.239999998</v>
      </c>
      <c r="D81" s="130">
        <f>SUM(D79:D80)+D78+D70</f>
        <v>19098.080000000002</v>
      </c>
      <c r="E81" s="130">
        <f>SUM(E79:E80)+E78+E70</f>
        <v>0</v>
      </c>
      <c r="F81" s="130">
        <f>SUM(F79:F80)+F78+F70</f>
        <v>0</v>
      </c>
      <c r="G81" s="130">
        <f>SUM(G79:G80)+G78+G70</f>
        <v>0</v>
      </c>
      <c r="H81" s="130">
        <f t="shared" si="4"/>
        <v>20027702.319999997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203083.55</v>
      </c>
      <c r="D85" s="95">
        <f>'DOE25'!G147</f>
        <v>126669.27</v>
      </c>
      <c r="E85" s="95">
        <f>'DOE25'!H147</f>
        <v>0</v>
      </c>
      <c r="F85" s="95">
        <f>'DOE25'!I147</f>
        <v>0</v>
      </c>
      <c r="G85" s="24" t="s">
        <v>288</v>
      </c>
      <c r="H85" s="124">
        <f t="shared" ref="H85:H104" si="5">SUM(C85:G85)</f>
        <v>329752.82</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241547.06</v>
      </c>
      <c r="D88" s="326">
        <f>SUM('DOE25'!G153:G162)</f>
        <v>2438413.4900000002</v>
      </c>
      <c r="E88" s="326">
        <f>SUM('DOE25'!H153:H162)</f>
        <v>4408229.76</v>
      </c>
      <c r="F88" s="326">
        <f>SUM('DOE25'!I153:I162)</f>
        <v>0</v>
      </c>
      <c r="G88" s="24" t="s">
        <v>288</v>
      </c>
      <c r="H88" s="124">
        <f t="shared" si="5"/>
        <v>7088190.3100000005</v>
      </c>
    </row>
    <row r="89" spans="1:9" x14ac:dyDescent="0.2">
      <c r="A89" t="s">
        <v>748</v>
      </c>
      <c r="B89" s="32" t="s">
        <v>185</v>
      </c>
      <c r="C89" s="95">
        <f>'DOE25'!F164+'DOE25'!F167+'DOE25'!F169</f>
        <v>0</v>
      </c>
      <c r="D89" s="95">
        <f>'DOE25'!G164+'DOE25'!G169</f>
        <v>0</v>
      </c>
      <c r="E89" s="95">
        <f>'DOE25'!H164+'DOE25'!H169</f>
        <v>48807.05</v>
      </c>
      <c r="F89" s="95">
        <f>'DOE25'!I164</f>
        <v>0</v>
      </c>
      <c r="G89" s="24" t="s">
        <v>288</v>
      </c>
      <c r="H89" s="124">
        <f t="shared" si="5"/>
        <v>48807.05</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444630.61</v>
      </c>
      <c r="D91" s="131">
        <f>SUM(D85:D90)</f>
        <v>2565082.7600000002</v>
      </c>
      <c r="E91" s="131">
        <f>SUM(E85:E90)</f>
        <v>4457036.8099999996</v>
      </c>
      <c r="F91" s="131">
        <f>SUM(F85:F90)</f>
        <v>0</v>
      </c>
      <c r="G91" s="24" t="s">
        <v>288</v>
      </c>
      <c r="H91" s="124">
        <f t="shared" si="5"/>
        <v>7466750.1799999997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800000</v>
      </c>
      <c r="G96" s="95">
        <f>'DOE25'!J180</f>
        <v>0</v>
      </c>
      <c r="H96" s="124">
        <f t="shared" si="5"/>
        <v>800000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1028.72</v>
      </c>
      <c r="E101" s="95">
        <f>'DOE25'!H190</f>
        <v>4258</v>
      </c>
      <c r="F101" s="95">
        <f>'DOE25'!I190</f>
        <v>0</v>
      </c>
      <c r="G101" s="24" t="s">
        <v>288</v>
      </c>
      <c r="H101" s="124">
        <f t="shared" si="5"/>
        <v>5286.72</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1028.72</v>
      </c>
      <c r="E103" s="86">
        <f>SUM(E93:E102)</f>
        <v>4258</v>
      </c>
      <c r="F103" s="86">
        <f>SUM(F93:F102)</f>
        <v>800000</v>
      </c>
      <c r="G103" s="86">
        <f>SUM(G93:G102)</f>
        <v>0</v>
      </c>
      <c r="H103" s="86">
        <f t="shared" si="5"/>
        <v>805286.72</v>
      </c>
    </row>
    <row r="104" spans="1:8" ht="12.75" thickTop="1" thickBot="1" x14ac:dyDescent="0.25">
      <c r="A104" s="33" t="s">
        <v>761</v>
      </c>
      <c r="C104" s="86">
        <f>C63+C81+C91+C103</f>
        <v>70087643.200000003</v>
      </c>
      <c r="D104" s="86">
        <f>D63+D81+D91+D103</f>
        <v>2663610.7800000003</v>
      </c>
      <c r="E104" s="86">
        <f>E63+E81+E91+E103</f>
        <v>4912736.7799999993</v>
      </c>
      <c r="F104" s="86">
        <f>F63+F81+F91+F103</f>
        <v>800000</v>
      </c>
      <c r="G104" s="86">
        <f>G63+G81+G103</f>
        <v>0</v>
      </c>
      <c r="H104" s="86">
        <f t="shared" si="5"/>
        <v>78463990.760000005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24086769.190000001</v>
      </c>
      <c r="D109" s="24" t="s">
        <v>288</v>
      </c>
      <c r="E109" s="95">
        <f>('DOE25'!L277)+('DOE25'!L296)+('DOE25'!L315)</f>
        <v>1952367.44</v>
      </c>
      <c r="F109" s="24" t="s">
        <v>288</v>
      </c>
      <c r="G109" s="24" t="s">
        <v>288</v>
      </c>
      <c r="H109" s="124">
        <f t="shared" ref="H109:H115" si="6">SUM(C109:G109)</f>
        <v>26039136.630000003</v>
      </c>
    </row>
    <row r="110" spans="1:8" x14ac:dyDescent="0.2">
      <c r="A110" t="s">
        <v>198</v>
      </c>
      <c r="B110" s="32" t="s">
        <v>199</v>
      </c>
      <c r="C110" s="95">
        <f>('DOE25'!L199)+('DOE25'!L217)+('DOE25'!L235)</f>
        <v>14315406.690000001</v>
      </c>
      <c r="D110" s="24" t="s">
        <v>288</v>
      </c>
      <c r="E110" s="95">
        <f>('DOE25'!L278)+('DOE25'!L297)+('DOE25'!L316)</f>
        <v>1245436.8799999999</v>
      </c>
      <c r="F110" s="24" t="s">
        <v>288</v>
      </c>
      <c r="G110" s="24" t="s">
        <v>288</v>
      </c>
      <c r="H110" s="124">
        <f t="shared" si="6"/>
        <v>15560843.57</v>
      </c>
    </row>
    <row r="111" spans="1:8" x14ac:dyDescent="0.2">
      <c r="A111" t="s">
        <v>200</v>
      </c>
      <c r="B111" s="32" t="s">
        <v>165</v>
      </c>
      <c r="C111" s="95">
        <f>('DOE25'!L200)+('DOE25'!L218)+('DOE25'!L236)</f>
        <v>1993886.59</v>
      </c>
      <c r="D111" s="24" t="s">
        <v>288</v>
      </c>
      <c r="E111" s="95">
        <f>('DOE25'!L279)+('DOE25'!L298)+('DOE25'!L317)</f>
        <v>222381.86</v>
      </c>
      <c r="F111" s="24" t="s">
        <v>288</v>
      </c>
      <c r="G111" s="24" t="s">
        <v>288</v>
      </c>
      <c r="H111" s="124">
        <f t="shared" si="6"/>
        <v>2216268.4500000002</v>
      </c>
    </row>
    <row r="112" spans="1:8" x14ac:dyDescent="0.2">
      <c r="A112" t="s">
        <v>201</v>
      </c>
      <c r="B112" s="32" t="s">
        <v>167</v>
      </c>
      <c r="C112" s="95">
        <f>('DOE25'!L201)+('DOE25'!L219)+('DOE25'!L237)</f>
        <v>779034.70000000007</v>
      </c>
      <c r="D112" s="24" t="s">
        <v>288</v>
      </c>
      <c r="E112" s="95">
        <f>+('DOE25'!L280)+('DOE25'!L299)+('DOE25'!L318)</f>
        <v>27943.93</v>
      </c>
      <c r="F112" s="24" t="s">
        <v>288</v>
      </c>
      <c r="G112" s="24" t="s">
        <v>288</v>
      </c>
      <c r="H112" s="124">
        <f t="shared" si="6"/>
        <v>806978.63000000012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204218.72999999998</v>
      </c>
      <c r="D114" s="24" t="s">
        <v>288</v>
      </c>
      <c r="E114" s="95">
        <f>+ SUM('DOE25'!L334:L336)</f>
        <v>337877.36000000004</v>
      </c>
      <c r="F114" s="24" t="s">
        <v>288</v>
      </c>
      <c r="G114" s="24" t="s">
        <v>288</v>
      </c>
      <c r="H114" s="124">
        <f t="shared" si="6"/>
        <v>542096.09000000008</v>
      </c>
    </row>
    <row r="115" spans="1:8" ht="12.75" thickTop="1" thickBot="1" x14ac:dyDescent="0.25">
      <c r="A115" s="33" t="s">
        <v>205</v>
      </c>
      <c r="C115" s="86">
        <f>SUM(C109:C114)</f>
        <v>41379315.900000006</v>
      </c>
      <c r="D115" s="86">
        <f>SUM(D109:D114)</f>
        <v>0</v>
      </c>
      <c r="E115" s="86">
        <f>SUM(E109:E114)</f>
        <v>3786007.4699999997</v>
      </c>
      <c r="F115" s="86">
        <f>SUM(F109:F114)</f>
        <v>0</v>
      </c>
      <c r="G115" s="86">
        <f>SUM(G109:G114)</f>
        <v>0</v>
      </c>
      <c r="H115" s="86">
        <f t="shared" si="6"/>
        <v>45165323.370000005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4734672.5</v>
      </c>
      <c r="D118" s="24" t="s">
        <v>288</v>
      </c>
      <c r="E118" s="95">
        <f>+('DOE25'!L282)+('DOE25'!L301)+('DOE25'!L320)</f>
        <v>513376.17999999993</v>
      </c>
      <c r="F118" s="24" t="s">
        <v>288</v>
      </c>
      <c r="G118" s="24" t="s">
        <v>288</v>
      </c>
      <c r="H118" s="124">
        <f t="shared" ref="H118:H145" si="7">SUM(C118:G118)</f>
        <v>5248048.68</v>
      </c>
    </row>
    <row r="119" spans="1:8" x14ac:dyDescent="0.2">
      <c r="A119" t="s">
        <v>208</v>
      </c>
      <c r="B119" s="32" t="s">
        <v>209</v>
      </c>
      <c r="C119" s="95">
        <f>('DOE25'!L204)+('DOE25'!L222)+('DOE25'!L240)</f>
        <v>1271193.9099999999</v>
      </c>
      <c r="D119" s="24" t="s">
        <v>288</v>
      </c>
      <c r="E119" s="95">
        <f>+('DOE25'!L283)+('DOE25'!L302)+('DOE25'!L321)</f>
        <v>435207.16000000003</v>
      </c>
      <c r="F119" s="24" t="s">
        <v>288</v>
      </c>
      <c r="G119" s="24" t="s">
        <v>288</v>
      </c>
      <c r="H119" s="124">
        <f t="shared" si="7"/>
        <v>1706401.0699999998</v>
      </c>
    </row>
    <row r="120" spans="1:8" x14ac:dyDescent="0.2">
      <c r="A120" t="s">
        <v>210</v>
      </c>
      <c r="B120" s="32" t="s">
        <v>211</v>
      </c>
      <c r="C120" s="95">
        <f>('DOE25'!L205)+('DOE25'!L223)+('DOE25'!L241)</f>
        <v>1391219.1099999999</v>
      </c>
      <c r="D120" s="24" t="s">
        <v>288</v>
      </c>
      <c r="E120" s="95">
        <f>+('DOE25'!L284)+('DOE25'!L303)+('DOE25'!L322)</f>
        <v>2153.75</v>
      </c>
      <c r="F120" s="24" t="s">
        <v>288</v>
      </c>
      <c r="G120" s="24" t="s">
        <v>288</v>
      </c>
      <c r="H120" s="124">
        <f t="shared" si="7"/>
        <v>1393372.8599999999</v>
      </c>
    </row>
    <row r="121" spans="1:8" x14ac:dyDescent="0.2">
      <c r="A121" t="s">
        <v>212</v>
      </c>
      <c r="B121" s="32" t="s">
        <v>213</v>
      </c>
      <c r="C121" s="95">
        <f>('DOE25'!L206)+('DOE25'!L224)+('DOE25'!L242)</f>
        <v>3036844.49</v>
      </c>
      <c r="D121" s="24" t="s">
        <v>288</v>
      </c>
      <c r="E121" s="95">
        <f>+('DOE25'!L285)+('DOE25'!L304)+('DOE25'!L323)</f>
        <v>112390.82</v>
      </c>
      <c r="F121" s="24" t="s">
        <v>288</v>
      </c>
      <c r="G121" s="24" t="s">
        <v>288</v>
      </c>
      <c r="H121" s="124">
        <f t="shared" si="7"/>
        <v>3149235.31</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5499110.9099999992</v>
      </c>
      <c r="D123" s="24" t="s">
        <v>288</v>
      </c>
      <c r="E123" s="95">
        <f>+('DOE25'!L287)+('DOE25'!L306)+('DOE25'!L325)</f>
        <v>137548.79999999999</v>
      </c>
      <c r="F123" s="24" t="s">
        <v>288</v>
      </c>
      <c r="G123" s="24" t="s">
        <v>288</v>
      </c>
      <c r="H123" s="124">
        <f t="shared" si="7"/>
        <v>5636659.709999999</v>
      </c>
    </row>
    <row r="124" spans="1:8" x14ac:dyDescent="0.2">
      <c r="A124" t="s">
        <v>218</v>
      </c>
      <c r="B124" s="32" t="s">
        <v>219</v>
      </c>
      <c r="C124" s="95">
        <f>('DOE25'!L209)+('DOE25'!L227)+('DOE25'!L245+'DOE25'!L255)</f>
        <v>3774511.88</v>
      </c>
      <c r="D124" s="24" t="s">
        <v>288</v>
      </c>
      <c r="E124" s="95">
        <f>+('DOE25'!L288)+('DOE25'!L307)+('DOE25'!L326)</f>
        <v>2452.31</v>
      </c>
      <c r="F124" s="24" t="s">
        <v>288</v>
      </c>
      <c r="G124" s="24" t="s">
        <v>288</v>
      </c>
      <c r="H124" s="124">
        <f t="shared" si="7"/>
        <v>3776964.19</v>
      </c>
    </row>
    <row r="125" spans="1:8" x14ac:dyDescent="0.2">
      <c r="A125" t="s">
        <v>220</v>
      </c>
      <c r="B125" s="32" t="s">
        <v>221</v>
      </c>
      <c r="C125" s="95">
        <f>('DOE25'!L210)+('DOE25'!L228)+('DOE25'!L246)</f>
        <v>1341377.46</v>
      </c>
      <c r="D125" s="24" t="s">
        <v>288</v>
      </c>
      <c r="E125" s="95">
        <f>+('DOE25'!L289)+('DOE25'!L308)+('DOE25'!L327)</f>
        <v>0</v>
      </c>
      <c r="F125" s="24" t="s">
        <v>288</v>
      </c>
      <c r="G125" s="24" t="s">
        <v>288</v>
      </c>
      <c r="H125" s="124">
        <f t="shared" si="7"/>
        <v>1341377.46</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1699361.5100000002</v>
      </c>
      <c r="E127" s="24" t="s">
        <v>288</v>
      </c>
      <c r="F127" s="24" t="s">
        <v>288</v>
      </c>
      <c r="G127" s="24" t="s">
        <v>288</v>
      </c>
      <c r="H127" s="124">
        <f t="shared" si="7"/>
        <v>1699361.5100000002</v>
      </c>
    </row>
    <row r="128" spans="1:8" ht="12.75" thickTop="1" thickBot="1" x14ac:dyDescent="0.25">
      <c r="A128" s="33" t="s">
        <v>226</v>
      </c>
      <c r="C128" s="86">
        <f>SUM(C118:C127)</f>
        <v>21048930.259999998</v>
      </c>
      <c r="D128" s="86">
        <f>SUM(D118:D127)</f>
        <v>1699361.5100000002</v>
      </c>
      <c r="E128" s="86">
        <f>SUM(E118:E127)</f>
        <v>1203129.02</v>
      </c>
      <c r="F128" s="86">
        <f>SUM(F118:F127)</f>
        <v>0</v>
      </c>
      <c r="G128" s="86">
        <f>SUM(G118:G127)</f>
        <v>0</v>
      </c>
      <c r="H128" s="86">
        <f t="shared" si="7"/>
        <v>23951420.789999999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196297.90000000002</v>
      </c>
      <c r="G130" s="24" t="s">
        <v>288</v>
      </c>
      <c r="H130" s="124">
        <f t="shared" si="7"/>
        <v>196297.90000000002</v>
      </c>
    </row>
    <row r="131" spans="1:8" x14ac:dyDescent="0.2">
      <c r="A131" t="s">
        <v>229</v>
      </c>
      <c r="B131" s="32">
        <v>5110</v>
      </c>
      <c r="C131" s="95">
        <f>'DOE25'!L261</f>
        <v>3224673.84</v>
      </c>
      <c r="D131" s="24" t="s">
        <v>288</v>
      </c>
      <c r="E131" s="129">
        <f>'DOE25'!L342</f>
        <v>0</v>
      </c>
      <c r="F131" s="24" t="s">
        <v>288</v>
      </c>
      <c r="G131" s="24" t="s">
        <v>288</v>
      </c>
      <c r="H131" s="124">
        <f t="shared" si="7"/>
        <v>3224673.84</v>
      </c>
    </row>
    <row r="132" spans="1:8" x14ac:dyDescent="0.2">
      <c r="A132" t="s">
        <v>230</v>
      </c>
      <c r="B132" s="32">
        <v>5120</v>
      </c>
      <c r="C132" s="95">
        <f>'DOE25'!L262</f>
        <v>3168921.3</v>
      </c>
      <c r="D132" s="24" t="s">
        <v>288</v>
      </c>
      <c r="E132" s="129">
        <f>'DOE25'!L343</f>
        <v>0</v>
      </c>
      <c r="F132" s="24" t="s">
        <v>288</v>
      </c>
      <c r="G132" s="24" t="s">
        <v>288</v>
      </c>
      <c r="H132" s="124">
        <f t="shared" si="7"/>
        <v>3168921.3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136171.19</v>
      </c>
      <c r="F134" s="95">
        <f>'DOE25'!K382</f>
        <v>0</v>
      </c>
      <c r="G134" s="95">
        <f>'DOE25'!K435</f>
        <v>0</v>
      </c>
      <c r="H134" s="124">
        <f t="shared" si="7"/>
        <v>136171.19</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800000</v>
      </c>
      <c r="D137" s="24" t="s">
        <v>288</v>
      </c>
      <c r="E137" s="129">
        <f>'DOE25'!L347</f>
        <v>0</v>
      </c>
      <c r="F137" s="24" t="s">
        <v>288</v>
      </c>
      <c r="G137" s="24" t="s">
        <v>288</v>
      </c>
      <c r="H137" s="124">
        <f t="shared" si="7"/>
        <v>800000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7193595.1399999997</v>
      </c>
      <c r="D144" s="141">
        <f>SUM(D130:D143)</f>
        <v>0</v>
      </c>
      <c r="E144" s="141">
        <f>SUM(E130:E143)</f>
        <v>136171.19</v>
      </c>
      <c r="F144" s="141">
        <f>SUM(F130:F143)</f>
        <v>196297.90000000002</v>
      </c>
      <c r="G144" s="141">
        <f>SUM(G130:G143)</f>
        <v>0</v>
      </c>
      <c r="H144" s="141">
        <f t="shared" si="7"/>
        <v>7526064.2300000004</v>
      </c>
    </row>
    <row r="145" spans="1:9" ht="12.75" thickTop="1" thickBot="1" x14ac:dyDescent="0.25">
      <c r="A145" s="33" t="s">
        <v>244</v>
      </c>
      <c r="C145" s="86">
        <f>(C115+C128+C144)</f>
        <v>69621841.299999997</v>
      </c>
      <c r="D145" s="86">
        <f>(D115+D128+D144)</f>
        <v>1699361.5100000002</v>
      </c>
      <c r="E145" s="86">
        <f>(E115+E128+E144)</f>
        <v>5125307.6800000006</v>
      </c>
      <c r="F145" s="86">
        <f>(F115+F128+F144)</f>
        <v>196297.90000000002</v>
      </c>
      <c r="G145" s="86">
        <f>(G115+G128+G144)</f>
        <v>0</v>
      </c>
      <c r="H145" s="86">
        <f t="shared" si="7"/>
        <v>76642808.390000015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85543305.599999994</v>
      </c>
      <c r="C156" s="137">
        <f>'DOE25'!G496</f>
        <v>0</v>
      </c>
      <c r="D156" s="137">
        <f>'DOE25'!H496</f>
        <v>0</v>
      </c>
      <c r="E156" s="137">
        <f>'DOE25'!I496</f>
        <v>0</v>
      </c>
      <c r="F156" s="137">
        <f>'DOE25'!J496</f>
        <v>0</v>
      </c>
      <c r="G156" s="138">
        <f>SUM(B156:F156)</f>
        <v>85543305.599999994</v>
      </c>
    </row>
    <row r="157" spans="1:9" x14ac:dyDescent="0.2">
      <c r="A157" s="22" t="s">
        <v>33</v>
      </c>
      <c r="B157" s="137">
        <f>'DOE25'!F497</f>
        <v>465500</v>
      </c>
      <c r="C157" s="137">
        <f>'DOE25'!G497</f>
        <v>0</v>
      </c>
      <c r="D157" s="137">
        <f>'DOE25'!H497</f>
        <v>0</v>
      </c>
      <c r="E157" s="137">
        <f>'DOE25'!I497</f>
        <v>0</v>
      </c>
      <c r="F157" s="137">
        <f>'DOE25'!J497</f>
        <v>0</v>
      </c>
      <c r="G157" s="138">
        <f t="shared" ref="G157:G164" si="8">SUM(B157:F157)</f>
        <v>465500</v>
      </c>
    </row>
    <row r="158" spans="1:9" x14ac:dyDescent="0.2">
      <c r="A158" s="22" t="s">
        <v>34</v>
      </c>
      <c r="B158" s="137">
        <f>'DOE25'!F498</f>
        <v>3224673.84</v>
      </c>
      <c r="C158" s="137">
        <f>'DOE25'!G498</f>
        <v>0</v>
      </c>
      <c r="D158" s="137">
        <f>'DOE25'!H498</f>
        <v>0</v>
      </c>
      <c r="E158" s="137">
        <f>'DOE25'!I498</f>
        <v>0</v>
      </c>
      <c r="F158" s="137">
        <f>'DOE25'!J498</f>
        <v>0</v>
      </c>
      <c r="G158" s="138">
        <f t="shared" si="8"/>
        <v>3224673.84</v>
      </c>
    </row>
    <row r="159" spans="1:9" x14ac:dyDescent="0.2">
      <c r="A159" s="22" t="s">
        <v>35</v>
      </c>
      <c r="B159" s="137">
        <f>'DOE25'!F499</f>
        <v>82784131.760000005</v>
      </c>
      <c r="C159" s="137">
        <f>'DOE25'!G499</f>
        <v>0</v>
      </c>
      <c r="D159" s="137">
        <f>'DOE25'!H499</f>
        <v>0</v>
      </c>
      <c r="E159" s="137">
        <f>'DOE25'!I499</f>
        <v>0</v>
      </c>
      <c r="F159" s="137">
        <f>'DOE25'!J499</f>
        <v>0</v>
      </c>
      <c r="G159" s="138">
        <f t="shared" si="8"/>
        <v>82784131.760000005</v>
      </c>
    </row>
    <row r="160" spans="1:9" x14ac:dyDescent="0.2">
      <c r="A160" s="22" t="s">
        <v>36</v>
      </c>
      <c r="B160" s="137">
        <f>'DOE25'!F500</f>
        <v>29993089.010000002</v>
      </c>
      <c r="C160" s="137">
        <f>'DOE25'!G500</f>
        <v>0</v>
      </c>
      <c r="D160" s="137">
        <f>'DOE25'!H500</f>
        <v>0</v>
      </c>
      <c r="E160" s="137">
        <f>'DOE25'!I500</f>
        <v>0</v>
      </c>
      <c r="F160" s="137">
        <f>'DOE25'!J500</f>
        <v>0</v>
      </c>
      <c r="G160" s="138">
        <f t="shared" si="8"/>
        <v>29993089.010000002</v>
      </c>
    </row>
    <row r="161" spans="1:7" x14ac:dyDescent="0.2">
      <c r="A161" s="22" t="s">
        <v>37</v>
      </c>
      <c r="B161" s="137">
        <f>'DOE25'!F501</f>
        <v>112777220.77000001</v>
      </c>
      <c r="C161" s="137">
        <f>'DOE25'!G501</f>
        <v>0</v>
      </c>
      <c r="D161" s="137">
        <f>'DOE25'!H501</f>
        <v>0</v>
      </c>
      <c r="E161" s="137">
        <f>'DOE25'!I501</f>
        <v>0</v>
      </c>
      <c r="F161" s="137">
        <f>'DOE25'!J501</f>
        <v>0</v>
      </c>
      <c r="G161" s="138">
        <f t="shared" si="8"/>
        <v>112777220.77000001</v>
      </c>
    </row>
    <row r="162" spans="1:7" x14ac:dyDescent="0.2">
      <c r="A162" s="22" t="s">
        <v>38</v>
      </c>
      <c r="B162" s="137">
        <f>'DOE25'!F502</f>
        <v>3344745.53</v>
      </c>
      <c r="C162" s="137">
        <f>'DOE25'!G502</f>
        <v>0</v>
      </c>
      <c r="D162" s="137">
        <f>'DOE25'!H502</f>
        <v>0</v>
      </c>
      <c r="E162" s="137">
        <f>'DOE25'!I502</f>
        <v>0</v>
      </c>
      <c r="F162" s="137">
        <f>'DOE25'!J502</f>
        <v>0</v>
      </c>
      <c r="G162" s="138">
        <f t="shared" si="8"/>
        <v>3344745.53</v>
      </c>
    </row>
    <row r="163" spans="1:7" x14ac:dyDescent="0.2">
      <c r="A163" s="22" t="s">
        <v>39</v>
      </c>
      <c r="B163" s="137">
        <f>'DOE25'!F503</f>
        <v>3017575.57</v>
      </c>
      <c r="C163" s="137">
        <f>'DOE25'!G503</f>
        <v>0</v>
      </c>
      <c r="D163" s="137">
        <f>'DOE25'!H503</f>
        <v>0</v>
      </c>
      <c r="E163" s="137">
        <f>'DOE25'!I503</f>
        <v>0</v>
      </c>
      <c r="F163" s="137">
        <f>'DOE25'!J503</f>
        <v>0</v>
      </c>
      <c r="G163" s="138">
        <f t="shared" si="8"/>
        <v>3017575.57</v>
      </c>
    </row>
    <row r="164" spans="1:7" x14ac:dyDescent="0.2">
      <c r="A164" s="22" t="s">
        <v>246</v>
      </c>
      <c r="B164" s="137">
        <f>'DOE25'!F504</f>
        <v>6362321.0999999996</v>
      </c>
      <c r="C164" s="137">
        <f>'DOE25'!G504</f>
        <v>0</v>
      </c>
      <c r="D164" s="137">
        <f>'DOE25'!H504</f>
        <v>0</v>
      </c>
      <c r="E164" s="137">
        <f>'DOE25'!I504</f>
        <v>0</v>
      </c>
      <c r="F164" s="137">
        <f>'DOE25'!J504</f>
        <v>0</v>
      </c>
      <c r="G164" s="138">
        <f t="shared" si="8"/>
        <v>6362321.0999999996</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Dover</v>
      </c>
    </row>
    <row r="3" spans="1:4" x14ac:dyDescent="0.2">
      <c r="B3" s="187" t="s">
        <v>1799</v>
      </c>
    </row>
    <row r="4" spans="1:4" x14ac:dyDescent="0.2">
      <c r="B4" t="s">
        <v>61</v>
      </c>
      <c r="C4" s="178">
        <f>IF('DOE25'!F666+'DOE25'!F671=0,0,ROUND('DOE25'!F673,0))</f>
        <v>18879</v>
      </c>
    </row>
    <row r="5" spans="1:4" x14ac:dyDescent="0.2">
      <c r="B5" t="s">
        <v>700</v>
      </c>
      <c r="C5" s="178">
        <f>IF('DOE25'!G666+'DOE25'!G671=0,0,ROUND('DOE25'!G673,0))</f>
        <v>14363</v>
      </c>
    </row>
    <row r="6" spans="1:4" x14ac:dyDescent="0.2">
      <c r="B6" t="s">
        <v>62</v>
      </c>
      <c r="C6" s="178">
        <f>IF('DOE25'!H666+'DOE25'!H671=0,0,ROUND('DOE25'!H673,0))</f>
        <v>14067</v>
      </c>
    </row>
    <row r="7" spans="1:4" x14ac:dyDescent="0.2">
      <c r="B7" t="s">
        <v>701</v>
      </c>
      <c r="C7" s="178">
        <f>IF('DOE25'!I666+'DOE25'!I671=0,0,ROUND('DOE25'!I673,0))</f>
        <v>15645</v>
      </c>
    </row>
    <row r="9" spans="1:4" x14ac:dyDescent="0.2">
      <c r="A9" s="186" t="s">
        <v>94</v>
      </c>
      <c r="B9" s="187" t="s">
        <v>1800</v>
      </c>
      <c r="C9" s="180" t="s">
        <v>720</v>
      </c>
      <c r="D9" s="180" t="s">
        <v>721</v>
      </c>
    </row>
    <row r="10" spans="1:4" x14ac:dyDescent="0.2">
      <c r="A10">
        <v>1100</v>
      </c>
      <c r="B10" t="s">
        <v>702</v>
      </c>
      <c r="C10" s="178">
        <f>ROUND('DOE25'!L198+'DOE25'!L216+'DOE25'!L234+'DOE25'!L277+'DOE25'!L296+'DOE25'!L315,0)</f>
        <v>26039137</v>
      </c>
      <c r="D10" s="181">
        <f>ROUND((C10/$C$28)*100,1)</f>
        <v>36.1</v>
      </c>
    </row>
    <row r="11" spans="1:4" x14ac:dyDescent="0.2">
      <c r="A11">
        <v>1200</v>
      </c>
      <c r="B11" t="s">
        <v>703</v>
      </c>
      <c r="C11" s="178">
        <f>ROUND('DOE25'!L199+'DOE25'!L217+'DOE25'!L235+'DOE25'!L278+'DOE25'!L297+'DOE25'!L316,0)</f>
        <v>15560844</v>
      </c>
      <c r="D11" s="181">
        <f>ROUND((C11/$C$28)*100,1)</f>
        <v>21.6</v>
      </c>
    </row>
    <row r="12" spans="1:4" x14ac:dyDescent="0.2">
      <c r="A12">
        <v>1300</v>
      </c>
      <c r="B12" t="s">
        <v>704</v>
      </c>
      <c r="C12" s="178">
        <f>ROUND('DOE25'!L200+'DOE25'!L218+'DOE25'!L236+'DOE25'!L279+'DOE25'!L298+'DOE25'!L317,0)</f>
        <v>2216268</v>
      </c>
      <c r="D12" s="181">
        <f>ROUND((C12/$C$28)*100,1)</f>
        <v>3.1</v>
      </c>
    </row>
    <row r="13" spans="1:4" x14ac:dyDescent="0.2">
      <c r="A13">
        <v>1400</v>
      </c>
      <c r="B13" t="s">
        <v>705</v>
      </c>
      <c r="C13" s="178">
        <f>ROUND('DOE25'!L201+'DOE25'!L219+'DOE25'!L237+'DOE25'!L280+'DOE25'!L299+'DOE25'!L318,0)</f>
        <v>806979</v>
      </c>
      <c r="D13" s="181">
        <f>ROUND((C13/$C$28)*100,1)</f>
        <v>1.1000000000000001</v>
      </c>
    </row>
    <row r="14" spans="1:4" x14ac:dyDescent="0.2">
      <c r="D14" s="181"/>
    </row>
    <row r="15" spans="1:4" x14ac:dyDescent="0.2">
      <c r="A15">
        <v>2100</v>
      </c>
      <c r="B15" t="s">
        <v>706</v>
      </c>
      <c r="C15" s="178">
        <f>ROUND('DOE25'!L203+'DOE25'!L221+'DOE25'!L239+'DOE25'!L282+'DOE25'!L301+'DOE25'!L320,0)</f>
        <v>5248049</v>
      </c>
      <c r="D15" s="181">
        <f t="shared" ref="D15:D27" si="0">ROUND((C15/$C$28)*100,1)</f>
        <v>7.3</v>
      </c>
    </row>
    <row r="16" spans="1:4" x14ac:dyDescent="0.2">
      <c r="A16">
        <v>2200</v>
      </c>
      <c r="B16" t="s">
        <v>707</v>
      </c>
      <c r="C16" s="178">
        <f>ROUND('DOE25'!L204+'DOE25'!L222+'DOE25'!L240+'DOE25'!L283+'DOE25'!L302+'DOE25'!L321,0)</f>
        <v>1706401</v>
      </c>
      <c r="D16" s="181">
        <f t="shared" si="0"/>
        <v>2.4</v>
      </c>
    </row>
    <row r="17" spans="1:4" x14ac:dyDescent="0.2">
      <c r="A17" s="182" t="s">
        <v>723</v>
      </c>
      <c r="B17" t="s">
        <v>738</v>
      </c>
      <c r="C17" s="178">
        <f>ROUND('DOE25'!L205+'DOE25'!L210+'DOE25'!L223+'DOE25'!L228+'DOE25'!L241+'DOE25'!L246+'DOE25'!L284+'DOE25'!L289+'DOE25'!L303+'DOE25'!L308+'DOE25'!L322+'DOE25'!L327,0)</f>
        <v>2734750</v>
      </c>
      <c r="D17" s="181">
        <f t="shared" si="0"/>
        <v>3.8</v>
      </c>
    </row>
    <row r="18" spans="1:4" x14ac:dyDescent="0.2">
      <c r="A18">
        <v>2400</v>
      </c>
      <c r="B18" t="s">
        <v>711</v>
      </c>
      <c r="C18" s="178">
        <f>ROUND('DOE25'!L206+'DOE25'!L224+'DOE25'!L242+'DOE25'!L285+'DOE25'!L304+'DOE25'!L323,0)</f>
        <v>3149235</v>
      </c>
      <c r="D18" s="181">
        <f t="shared" si="0"/>
        <v>4.4000000000000004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5636660</v>
      </c>
      <c r="D20" s="181">
        <f t="shared" si="0"/>
        <v>7.8</v>
      </c>
    </row>
    <row r="21" spans="1:4" x14ac:dyDescent="0.2">
      <c r="A21">
        <v>2700</v>
      </c>
      <c r="B21" t="s">
        <v>710</v>
      </c>
      <c r="C21" s="178">
        <f>ROUND('DOE25'!L209+'DOE25'!L227+'DOE25'!L245+'DOE25'!L288+'DOE25'!L307+'DOE25'!L326,0)</f>
        <v>3772797</v>
      </c>
      <c r="D21" s="181">
        <f t="shared" si="0"/>
        <v>5.2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546263</v>
      </c>
      <c r="D24" s="181">
        <f t="shared" si="0"/>
        <v>0.8</v>
      </c>
    </row>
    <row r="25" spans="1:4" x14ac:dyDescent="0.2">
      <c r="A25">
        <v>5120</v>
      </c>
      <c r="B25" t="s">
        <v>716</v>
      </c>
      <c r="C25" s="178">
        <f>ROUND('DOE25'!L262+'DOE25'!L343,0)</f>
        <v>3168921</v>
      </c>
      <c r="D25" s="181">
        <f t="shared" si="0"/>
        <v>4.4000000000000004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1620960.78</v>
      </c>
      <c r="D27" s="181">
        <f t="shared" si="0"/>
        <v>2.2000000000000002</v>
      </c>
    </row>
    <row r="28" spans="1:4" x14ac:dyDescent="0.2">
      <c r="B28" s="186" t="s">
        <v>719</v>
      </c>
      <c r="C28" s="179">
        <f>SUM(C10:C27)</f>
        <v>72207264.780000001</v>
      </c>
      <c r="D28" s="183">
        <f>ROUND(SUM(D10:D27),0)</f>
        <v>100</v>
      </c>
    </row>
    <row r="29" spans="1:4" x14ac:dyDescent="0.2">
      <c r="A29">
        <v>4000</v>
      </c>
      <c r="B29" t="s">
        <v>724</v>
      </c>
      <c r="C29" s="178">
        <f>ROUND('DOE25'!L256+'DOE25'!L337+'DOE25'!L375+'DOE25'!L376+'DOE25'!L377+'DOE25'!L378+'DOE25'!L379+'DOE25'!L380+'DOE25'!L381,0)</f>
        <v>196298</v>
      </c>
    </row>
    <row r="30" spans="1:4" x14ac:dyDescent="0.2">
      <c r="B30" s="186" t="s">
        <v>725</v>
      </c>
      <c r="C30" s="179">
        <f>SUM(C28:C29)</f>
        <v>72403562.780000001</v>
      </c>
    </row>
    <row r="31" spans="1:4" x14ac:dyDescent="0.2">
      <c r="B31" s="33"/>
      <c r="C31" s="179"/>
    </row>
    <row r="32" spans="1:4" x14ac:dyDescent="0.2">
      <c r="A32">
        <v>5100</v>
      </c>
      <c r="B32" s="33" t="s">
        <v>726</v>
      </c>
      <c r="C32" s="179">
        <f>ROUND('DOE25'!L261+'DOE25'!L342,0)</f>
        <v>3224674</v>
      </c>
    </row>
    <row r="34" spans="1:4" x14ac:dyDescent="0.2">
      <c r="A34" s="186" t="s">
        <v>94</v>
      </c>
      <c r="B34" s="187" t="s">
        <v>1801</v>
      </c>
      <c r="C34" s="180" t="s">
        <v>720</v>
      </c>
      <c r="D34" s="180" t="s">
        <v>721</v>
      </c>
    </row>
    <row r="35" spans="1:4" x14ac:dyDescent="0.2">
      <c r="A35">
        <v>1100</v>
      </c>
      <c r="B35" s="184" t="s">
        <v>727</v>
      </c>
      <c r="C35" s="178">
        <f>ROUND('DOE25'!F60+'DOE25'!G60+'DOE25'!H60+'DOE25'!I60+'DOE25'!J60,0)</f>
        <v>44409622</v>
      </c>
      <c r="D35" s="181">
        <f t="shared" ref="D35:D40" si="1">ROUND((C35/$C$41)*100,1)</f>
        <v>57.2</v>
      </c>
    </row>
    <row r="36" spans="1:4" x14ac:dyDescent="0.2">
      <c r="B36" s="184" t="s">
        <v>739</v>
      </c>
      <c r="C36" s="178">
        <f>SUM('DOE25'!F112:J112)-SUM('DOE25'!G97:G110)+('DOE25'!F175+'DOE25'!F176+'DOE25'!I175+'DOE25'!I176)-C35</f>
        <v>5676228.3200000003</v>
      </c>
      <c r="D36" s="181">
        <f t="shared" si="1"/>
        <v>7.3</v>
      </c>
    </row>
    <row r="37" spans="1:4" x14ac:dyDescent="0.2">
      <c r="A37" s="182" t="s">
        <v>835</v>
      </c>
      <c r="B37" s="184" t="s">
        <v>728</v>
      </c>
      <c r="C37" s="178">
        <f>ROUND('DOE25'!F117+'DOE25'!F118,0)</f>
        <v>17844392</v>
      </c>
      <c r="D37" s="181">
        <f t="shared" si="1"/>
        <v>23</v>
      </c>
    </row>
    <row r="38" spans="1:4" x14ac:dyDescent="0.2">
      <c r="A38" s="182" t="s">
        <v>734</v>
      </c>
      <c r="B38" s="184" t="s">
        <v>729</v>
      </c>
      <c r="C38" s="178">
        <f>ROUND(SUM('DOE25'!F140:J140)-SUM('DOE25'!F117:F119),0)</f>
        <v>2183310</v>
      </c>
      <c r="D38" s="181">
        <f t="shared" si="1"/>
        <v>2.8</v>
      </c>
    </row>
    <row r="39" spans="1:4" x14ac:dyDescent="0.2">
      <c r="A39">
        <v>4000</v>
      </c>
      <c r="B39" s="184" t="s">
        <v>730</v>
      </c>
      <c r="C39" s="178">
        <f>ROUND('DOE25'!F170+'DOE25'!G170+'DOE25'!H170+'DOE25'!I170,0)</f>
        <v>7466750</v>
      </c>
      <c r="D39" s="181">
        <f t="shared" si="1"/>
        <v>9.6</v>
      </c>
    </row>
    <row r="40" spans="1:4" x14ac:dyDescent="0.2">
      <c r="A40" s="182" t="s">
        <v>735</v>
      </c>
      <c r="B40" s="184" t="s">
        <v>731</v>
      </c>
      <c r="C40" s="178">
        <f>ROUND(SUM('DOE25'!F190:F192)+SUM('DOE25'!G190:G192)+SUM('DOE25'!H190:H192)+SUM('DOE25'!I190:I192),0)</f>
        <v>5287</v>
      </c>
      <c r="D40" s="181">
        <f t="shared" si="1"/>
        <v>0</v>
      </c>
    </row>
    <row r="41" spans="1:4" x14ac:dyDescent="0.2">
      <c r="B41" s="186" t="s">
        <v>732</v>
      </c>
      <c r="C41" s="179">
        <f>SUM(C35:C40)</f>
        <v>77585589.319999993</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Dover</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93</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13</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17</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131</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321</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f>IF('School Level Expenditures'!$B$2='School Tables'!L16,'School Tables'!S16,"")</f>
        <v>13</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f>IF('School Level Expenditures'!$B$2='School Tables'!W20,'School Tables'!AD20,"")</f>
        <v>17</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f>IF('School Level Expenditures'!$B$2=A96,'School Tables'!H96,"")</f>
        <v>93</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f>IF('School Level Expenditures'!$B$2=A134,'School Tables'!H134,"")</f>
        <v>131</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f>IF('School Level Expenditures'!$B$2=A324,'School Tables'!H324,"")</f>
        <v>321</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2022-11-07T05:08:15Z</cp:lastPrinted>
  <dcterms:created xsi:type="dcterms:W3CDTF">1997-12-04T19:04:30Z</dcterms:created>
  <dcterms:modified xsi:type="dcterms:W3CDTF">2022-12-19T14:59:54Z</dcterms:modified>
</cp:coreProperties>
</file>