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4BD5FD58-31E9-470A-84FB-F177F79CB8FD}"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500" i="1" l="1"/>
  <c r="J499" i="1"/>
  <c r="H500" i="1"/>
  <c r="H499" i="1"/>
  <c r="G500" i="1"/>
  <c r="G499" i="1"/>
  <c r="F500" i="1"/>
  <c r="F499" i="1"/>
  <c r="F9" i="1"/>
  <c r="I48" i="1"/>
  <c r="H162" i="1"/>
  <c r="H361" i="1"/>
  <c r="H359" i="1"/>
  <c r="G180" i="1"/>
  <c r="G97" i="1"/>
  <c r="G22" i="1"/>
  <c r="F244" i="1"/>
  <c r="F208" i="1"/>
  <c r="F198" i="1"/>
  <c r="F128" i="1" l="1"/>
  <c r="F68" i="1"/>
  <c r="F57" i="1"/>
  <c r="F22" i="1"/>
  <c r="F13"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H93" i="2" s="1"/>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E111" i="2"/>
  <c r="E112" i="2"/>
  <c r="D115" i="2"/>
  <c r="F115" i="2"/>
  <c r="G115" i="2"/>
  <c r="C119" i="2"/>
  <c r="E120" i="2"/>
  <c r="E124" i="2"/>
  <c r="C125" i="2"/>
  <c r="H125" i="2" s="1"/>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I409" i="1" l="1"/>
  <c r="H89" i="2"/>
  <c r="H59" i="2"/>
  <c r="H35" i="2"/>
  <c r="H34" i="2"/>
  <c r="H23" i="2"/>
  <c r="H9" i="2"/>
  <c r="D15" i="13"/>
  <c r="C15" i="13" s="1"/>
  <c r="C121" i="2"/>
  <c r="C120" i="2"/>
  <c r="H120" i="2" s="1"/>
  <c r="H48" i="2"/>
  <c r="G477" i="1"/>
  <c r="D144" i="2"/>
  <c r="H94" i="2"/>
  <c r="H69" i="2"/>
  <c r="H30" i="2"/>
  <c r="H27" i="2"/>
  <c r="H24" i="2"/>
  <c r="H17" i="2"/>
  <c r="H12" i="2"/>
  <c r="H132" i="2"/>
  <c r="H36" i="2"/>
  <c r="H44" i="2"/>
  <c r="H76" i="2"/>
  <c r="H73" i="2"/>
  <c r="H58" i="2"/>
  <c r="H11" i="2"/>
  <c r="H143" i="2"/>
  <c r="E121" i="2"/>
  <c r="H97" i="2"/>
  <c r="H96" i="2"/>
  <c r="H87" i="2"/>
  <c r="H80" i="2"/>
  <c r="H77" i="2"/>
  <c r="H26" i="2"/>
  <c r="C13" i="10"/>
  <c r="H47" i="2"/>
  <c r="H8" i="2"/>
  <c r="J652" i="1"/>
  <c r="H477" i="1"/>
  <c r="H625" i="1" s="1"/>
  <c r="J625" i="1" s="1"/>
  <c r="H61" i="2"/>
  <c r="H29" i="2"/>
  <c r="H22" i="2"/>
  <c r="H13" i="2"/>
  <c r="C32" i="10"/>
  <c r="C112" i="2"/>
  <c r="H112" i="2" s="1"/>
  <c r="C12" i="10"/>
  <c r="C110" i="2"/>
  <c r="D6" i="13"/>
  <c r="C6" i="13" s="1"/>
  <c r="E13" i="13"/>
  <c r="C13" i="13" s="1"/>
  <c r="A40" i="1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103" i="2" l="1"/>
  <c r="E128" i="2"/>
  <c r="H16" i="2"/>
  <c r="H21" i="2"/>
  <c r="H57" i="2"/>
  <c r="H42" i="2"/>
  <c r="H134" i="2"/>
  <c r="H91" i="2"/>
  <c r="H85" i="2"/>
  <c r="H121" i="2"/>
  <c r="H110" i="2"/>
  <c r="E115" i="2"/>
  <c r="E145" i="2" s="1"/>
  <c r="F661" i="1"/>
  <c r="F665" i="1" s="1"/>
  <c r="F668" i="1" s="1"/>
  <c r="H109" i="2"/>
  <c r="H62" i="2"/>
  <c r="E51" i="2"/>
  <c r="D128" i="2"/>
  <c r="D145" i="2" s="1"/>
  <c r="H127" i="2"/>
  <c r="D51" i="2"/>
  <c r="H31" i="2"/>
  <c r="H18" i="2"/>
  <c r="H50" i="2"/>
  <c r="C81" i="2"/>
  <c r="H81" i="2" s="1"/>
  <c r="H7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44" i="2" l="1"/>
  <c r="H144" i="2" s="1"/>
  <c r="H141" i="2"/>
  <c r="H115" i="2"/>
  <c r="H128" i="2"/>
  <c r="H673" i="1"/>
  <c r="C6" i="10" s="1"/>
  <c r="H51" i="2"/>
  <c r="C104" i="2"/>
  <c r="H104" i="2" s="1"/>
  <c r="H63" i="2"/>
  <c r="F145"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<sst xmlns="http://schemas.openxmlformats.org/spreadsheetml/2006/main" count="6542" uniqueCount="1814">
  <si>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</si>
  <si>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</si>
  <si>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</si>
  <si>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</si>
  <si>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</si>
  <si>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</si>
  <si>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</si>
  <si>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</si>
  <si>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</si>
  <si>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</si>
  <si>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</si>
  <si>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</si>
  <si>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</si>
  <si>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</si>
  <si>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</si>
  <si>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</si>
  <si>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</si>
  <si>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</si>
  <si>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</si>
  <si>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</si>
  <si>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</si>
  <si>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</si>
  <si>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</si>
  <si>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</si>
  <si>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</si>
  <si>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</si>
  <si>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</si>
  <si>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</si>
  <si>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</si>
  <si>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</si>
  <si>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</si>
  <si>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</si>
  <si>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</si>
  <si>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</si>
  <si>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</si>
  <si>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</si>
  <si>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</si>
  <si>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</si>
  <si>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</si>
  <si>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</si>
  <si>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</si>
  <si>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</si>
  <si>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</si>
  <si>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</si>
  <si>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</si>
  <si>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</si>
  <si>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</si>
  <si>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</si>
  <si>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</si>
  <si>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</si>
  <si>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</si>
  <si>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</si>
  <si>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</si>
  <si>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</si>
  <si>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</si>
  <si>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</si>
  <si>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</si>
  <si>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</si>
  <si>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</si>
  <si>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</si>
  <si>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</si>
  <si>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</si>
  <si>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</si>
  <si>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</si>
  <si>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</si>
  <si>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</si>
  <si>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</si>
  <si>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</si>
  <si>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</si>
  <si>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</si>
  <si>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</si>
  <si>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</si>
  <si>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</si>
  <si>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</si>
  <si>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</si>
  <si>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</si>
  <si>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</si>
  <si>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</si>
  <si>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</si>
  <si>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</si>
  <si>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</si>
  <si>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</si>
  <si>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</si>
  <si>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</si>
  <si>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</si>
  <si>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</si>
  <si>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</si>
  <si>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</si>
  <si>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</si>
  <si>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</si>
  <si>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</si>
  <si>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</si>
  <si>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</si>
  <si>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</si>
  <si>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</si>
  <si>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</si>
  <si>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</si>
  <si>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</si>
  <si>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</si>
  <si>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</si>
  <si>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</si>
  <si>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</si>
  <si>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</si>
  <si>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</si>
  <si>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</si>
  <si>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</si>
  <si>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</si>
  <si>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</si>
  <si>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</si>
  <si>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</si>
  <si>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</si>
  <si>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</si>
  <si>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</si>
  <si>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</si>
  <si>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</si>
  <si>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</si>
  <si>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</si>
  <si>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</si>
  <si>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</si>
  <si>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</si>
  <si>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</si>
  <si>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</si>
  <si>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</si>
  <si>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</si>
  <si>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</si>
  <si>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</si>
  <si>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</si>
  <si>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</si>
  <si>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</si>
  <si>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</si>
  <si>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</si>
  <si>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</si>
  <si>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</si>
  <si>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</si>
  <si>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</si>
  <si>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</si>
  <si>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</si>
  <si>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</si>
  <si>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</si>
  <si>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</si>
  <si>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</si>
  <si>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</si>
  <si>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</si>
  <si>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</si>
  <si>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</si>
  <si>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</si>
  <si>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</si>
  <si>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</si>
  <si>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</si>
  <si>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</si>
  <si>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</si>
  <si>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</si>
  <si>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</si>
  <si>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</si>
  <si>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</si>
  <si>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</si>
  <si>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</si>
  <si>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</si>
  <si>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</si>
  <si>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</si>
  <si>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</si>
  <si>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</si>
  <si>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</si>
  <si>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</si>
  <si>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</si>
  <si>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</si>
  <si>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</si>
  <si>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</si>
  <si>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</si>
  <si>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</si>
  <si>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</si>
  <si>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</si>
  <si>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</si>
  <si>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</si>
  <si>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</si>
  <si>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</si>
  <si>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</si>
  <si>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</si>
  <si>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</si>
  <si>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</si>
  <si>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</si>
  <si>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</si>
  <si>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</si>
  <si>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</si>
  <si>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</si>
  <si>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</si>
  <si>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</si>
  <si>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</si>
  <si>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</si>
  <si>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</si>
  <si>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</si>
  <si>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</si>
  <si>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</si>
  <si>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</si>
  <si>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</si>
  <si>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</si>
  <si>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</si>
  <si>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</si>
  <si>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</si>
  <si>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</si>
  <si>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</si>
  <si>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</si>
  <si>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</si>
  <si>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</si>
  <si>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</si>
  <si>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</si>
  <si>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</si>
  <si>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</si>
  <si>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</si>
  <si>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</si>
  <si>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</si>
  <si>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</si>
  <si>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</si>
  <si>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</si>
  <si>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</si>
  <si>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</si>
  <si>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</si>
  <si>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</si>
  <si>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</si>
  <si>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</si>
  <si>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</si>
  <si>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</si>
  <si>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</si>
  <si>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</si>
  <si>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</si>
  <si>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</si>
  <si>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</si>
  <si>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</si>
  <si>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</si>
  <si>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</si>
  <si>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</si>
  <si>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</si>
  <si>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</si>
  <si>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</si>
  <si>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</si>
  <si>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</si>
  <si>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</si>
  <si>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</si>
  <si>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</si>
  <si>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</si>
  <si>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</si>
  <si>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</si>
  <si>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</si>
  <si>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</si>
  <si>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</si>
  <si>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</si>
  <si>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</si>
  <si>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</si>
  <si>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</si>
  <si>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</si>
  <si>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</si>
  <si>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</si>
  <si>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</si>
  <si>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</si>
  <si>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</si>
  <si>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</si>
  <si>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</si>
  <si>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</si>
  <si>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</si>
  <si>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</si>
  <si>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</si>
  <si>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</si>
  <si>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</si>
  <si>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</si>
  <si>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</si>
  <si>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</si>
  <si>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</si>
  <si>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</si>
  <si>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</si>
  <si>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</si>
  <si>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</si>
  <si>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</si>
  <si>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</si>
  <si>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</si>
  <si>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</si>
  <si>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</si>
  <si>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</si>
  <si>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</si>
  <si>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</si>
  <si>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</si>
  <si>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</si>
  <si>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</si>
  <si>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</si>
  <si>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</si>
  <si>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</si>
  <si>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</si>
  <si>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</si>
  <si>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</si>
  <si>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</si>
  <si>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</si>
  <si>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</si>
  <si>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</si>
  <si>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</si>
  <si>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</si>
  <si>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</si>
  <si>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</si>
  <si>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</si>
  <si>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</si>
  <si>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</si>
  <si>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</si>
  <si>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</si>
  <si>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</si>
  <si>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</si>
  <si>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</si>
  <si>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</si>
  <si>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</si>
  <si>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</si>
  <si>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</si>
  <si>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</si>
  <si>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</si>
  <si>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</si>
  <si>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</si>
  <si>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</si>
  <si>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</si>
  <si>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</si>
  <si>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</si>
  <si>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</si>
  <si>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</si>
  <si>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</si>
  <si>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</si>
  <si>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</si>
  <si>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</si>
  <si>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</si>
  <si>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</si>
  <si>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</si>
  <si>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</si>
  <si>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</si>
  <si>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</si>
  <si>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</si>
  <si>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</si>
  <si>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</si>
  <si>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</si>
  <si>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</si>
  <si>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</si>
  <si>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</si>
  <si>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</si>
  <si>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</si>
  <si>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</si>
  <si>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</si>
  <si>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</si>
  <si>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</si>
  <si>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</si>
  <si>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</si>
  <si>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</si>
  <si>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</si>
  <si>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</si>
  <si>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</si>
  <si>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</si>
  <si>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</si>
  <si>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</si>
  <si>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</si>
  <si>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</si>
  <si>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</si>
  <si>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</si>
  <si>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</si>
  <si>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</si>
  <si>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</si>
  <si>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</si>
  <si>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</si>
  <si>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</si>
  <si>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</si>
  <si>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</si>
  <si>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</si>
  <si>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</si>
  <si>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</si>
  <si>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</si>
  <si>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</si>
  <si>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</si>
  <si>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</si>
  <si>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</si>
  <si>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</si>
  <si>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</si>
  <si>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</si>
  <si>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</si>
  <si>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</si>
  <si>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</si>
  <si>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</si>
  <si>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</si>
  <si>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</si>
  <si>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</si>
  <si>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</si>
  <si>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</si>
  <si>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</si>
  <si>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</si>
  <si>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</si>
  <si>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</si>
  <si>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</si>
  <si>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</si>
  <si>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</si>
  <si>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</si>
  <si>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</si>
  <si>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</si>
  <si>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</si>
  <si>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</si>
  <si>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</si>
  <si>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</si>
  <si>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</si>
  <si>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</si>
  <si>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</si>
  <si>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</si>
  <si>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</si>
  <si>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</si>
  <si>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</si>
  <si>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</si>
  <si>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</si>
  <si>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</si>
  <si>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</si>
  <si>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</si>
  <si>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</si>
  <si>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</si>
  <si>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</si>
  <si>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</si>
  <si>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</si>
  <si>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</si>
  <si>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</si>
  <si>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</si>
  <si>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</si>
  <si>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</si>
  <si>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</si>
  <si>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</si>
  <si>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</si>
  <si>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</si>
  <si>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</si>
  <si>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</si>
  <si>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</si>
  <si>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</si>
  <si>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</si>
  <si>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</si>
  <si>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</si>
  <si>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</si>
  <si>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</si>
  <si>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</si>
  <si>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</si>
  <si>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</si>
  <si>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</si>
  <si>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</si>
  <si>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</si>
  <si>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</si>
  <si>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</si>
  <si>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</si>
  <si>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</si>
  <si>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</si>
  <si>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</si>
  <si>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</si>
  <si>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</si>
  <si>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</si>
  <si>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</si>
  <si>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</si>
  <si>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</si>
  <si>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</si>
  <si>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</si>
  <si>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</si>
  <si>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</si>
  <si>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</si>
  <si>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</si>
  <si>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</si>
  <si>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</si>
  <si>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</si>
  <si>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</si>
  <si>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</si>
  <si>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</si>
  <si>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</si>
  <si>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</si>
  <si>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</si>
  <si>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</si>
  <si>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</si>
  <si>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</si>
  <si>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</si>
  <si>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</si>
  <si>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</si>
  <si>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</si>
  <si>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</si>
  <si>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</si>
  <si>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</si>
  <si>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</si>
  <si>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</si>
  <si>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</si>
  <si>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</si>
  <si>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</si>
  <si>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</si>
  <si>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</si>
  <si>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</si>
  <si>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</si>
  <si>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</si>
  <si>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</si>
  <si>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</si>
  <si>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</si>
  <si>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</si>
  <si>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</si>
  <si>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</si>
  <si>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</si>
  <si>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</si>
  <si>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</si>
  <si>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</si>
  <si>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</si>
  <si>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</si>
  <si>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</si>
  <si>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</si>
  <si>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</si>
  <si>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</si>
  <si>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</si>
  <si>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</si>
  <si>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</si>
  <si>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</si>
  <si>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</si>
  <si>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</si>
  <si>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</si>
  <si>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</si>
  <si>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</si>
  <si>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</si>
  <si>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</si>
  <si>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</si>
  <si>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</si>
  <si>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</si>
  <si>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</si>
  <si>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</si>
  <si>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</si>
  <si>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</si>
  <si>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</si>
  <si>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</si>
  <si>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</si>
  <si>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</si>
  <si>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</si>
  <si>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</si>
  <si>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</si>
  <si>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</si>
  <si>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</si>
  <si>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</si>
  <si>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</si>
  <si>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</si>
  <si>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</si>
  <si>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</si>
  <si>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</si>
  <si>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</si>
  <si>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</si>
  <si>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</si>
  <si>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</si>
  <si>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</si>
  <si>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</si>
  <si>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</si>
  <si>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</si>
  <si>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</si>
  <si>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</si>
  <si>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</si>
  <si>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</si>
  <si>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</si>
  <si>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</si>
  <si>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</si>
  <si>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</si>
  <si>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</si>
  <si>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</si>
  <si>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</si>
  <si>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</si>
  <si>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</si>
  <si>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</si>
  <si>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</si>
  <si>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</si>
  <si>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</si>
  <si>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</si>
  <si>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</si>
  <si>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</si>
  <si>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</si>
  <si>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</si>
  <si>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</si>
  <si>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</si>
  <si>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</si>
  <si>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</si>
  <si>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</si>
  <si>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</si>
  <si>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</si>
  <si>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</si>
  <si>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</si>
  <si>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</si>
  <si>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</si>
  <si>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</si>
  <si>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</si>
  <si>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</si>
  <si>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</si>
  <si>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</si>
  <si>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</si>
  <si>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</si>
  <si>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</si>
  <si>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</si>
  <si>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</si>
  <si>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</si>
  <si>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</si>
  <si>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</si>
  <si>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</si>
  <si>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</si>
  <si>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</si>
  <si>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</si>
  <si>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</si>
  <si>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</si>
  <si>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</si>
  <si>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</si>
  <si>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</si>
  <si>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</si>
  <si>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</si>
  <si>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</si>
  <si>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</si>
  <si>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</si>
  <si>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</si>
  <si>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</si>
  <si>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</si>
  <si>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</si>
  <si>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</si>
  <si>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</si>
  <si>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</si>
  <si>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</si>
  <si>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</si>
  <si>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</si>
  <si>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</si>
  <si>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</si>
  <si>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</si>
  <si>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</si>
  <si>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</si>
  <si>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</si>
  <si>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</si>
  <si>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</si>
  <si>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</si>
  <si>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</si>
  <si>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</si>
  <si>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</si>
  <si>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</si>
  <si>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</si>
  <si>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</si>
  <si>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</si>
  <si>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</si>
  <si>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</si>
  <si>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</si>
  <si>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</si>
  <si>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</si>
  <si>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</si>
  <si>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</si>
  <si>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</si>
  <si>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</si>
  <si>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</si>
  <si>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</si>
  <si>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</si>
  <si>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</si>
  <si>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</si>
  <si>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</si>
  <si>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</si>
  <si>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</si>
  <si>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</si>
  <si>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</si>
  <si>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</si>
  <si>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</si>
  <si>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</si>
  <si>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</si>
  <si>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</si>
  <si>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</si>
  <si>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</si>
  <si>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</si>
  <si>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</si>
  <si>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</si>
  <si>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</si>
  <si>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</si>
  <si>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</si>
  <si>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</si>
  <si>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</si>
  <si>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</si>
  <si>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</si>
  <si>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</si>
  <si>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</si>
  <si>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</si>
  <si>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</si>
  <si>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</si>
  <si>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</si>
  <si>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</si>
  <si>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</si>
  <si>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</si>
  <si>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</si>
  <si>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</si>
  <si>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</si>
  <si>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</si>
  <si>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</si>
  <si>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</si>
  <si>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</si>
  <si>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</si>
  <si>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</si>
  <si>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</si>
  <si>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</si>
  <si>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</si>
  <si>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</si>
  <si>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</si>
  <si>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</si>
  <si>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</si>
  <si>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</si>
  <si>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</si>
  <si>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</si>
  <si>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</si>
  <si>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</si>
  <si>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</si>
  <si>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</si>
  <si>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</si>
  <si>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</si>
  <si>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</si>
  <si>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</si>
  <si>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</si>
  <si>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</si>
  <si>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</si>
  <si>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</si>
  <si>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</si>
  <si>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</si>
  <si>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</si>
  <si>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</si>
  <si>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</si>
  <si>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</si>
  <si>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</si>
  <si>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</si>
  <si>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</si>
  <si>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</si>
  <si>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</si>
  <si>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</si>
  <si>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</si>
  <si>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</si>
  <si>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</si>
  <si>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</si>
  <si>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</si>
  <si>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</si>
  <si>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</si>
  <si>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</si>
  <si>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</si>
  <si>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</si>
  <si>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</si>
  <si>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</si>
  <si>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</si>
  <si>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</si>
  <si>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</si>
  <si>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</si>
  <si>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</si>
  <si>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</si>
  <si>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</si>
  <si>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</si>
  <si>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</si>
  <si>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</si>
  <si>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</si>
  <si>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</si>
  <si>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</si>
  <si>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</si>
  <si>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</si>
  <si>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</si>
  <si>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</si>
  <si>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</si>
  <si>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</si>
  <si>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</si>
  <si>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</si>
  <si>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</si>
  <si>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</si>
  <si>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</si>
  <si>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</si>
  <si>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</si>
  <si>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</si>
  <si>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</si>
  <si>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</si>
  <si>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</si>
  <si>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</si>
  <si>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</si>
  <si>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</si>
  <si>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</si>
  <si>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</si>
  <si>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</si>
  <si>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</si>
  <si>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</si>
  <si>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</si>
  <si>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</si>
  <si>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</si>
  <si>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</si>
  <si>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</si>
  <si>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</si>
  <si>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</si>
  <si>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</si>
  <si>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</si>
  <si>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</si>
  <si>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</si>
  <si>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</si>
  <si>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</si>
  <si>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</si>
  <si>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</si>
  <si>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</si>
  <si>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</si>
  <si>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</si>
  <si>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</si>
  <si>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</si>
  <si>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</si>
  <si>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</si>
  <si>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</si>
  <si>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</si>
  <si>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</si>
  <si>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</si>
  <si>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</si>
  <si>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</si>
  <si>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</si>
  <si>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</si>
  <si>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</si>
  <si>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</si>
  <si>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</si>
  <si>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</si>
  <si>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</si>
  <si>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</si>
  <si>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</si>
  <si>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</si>
  <si>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</si>
  <si>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</si>
  <si>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</si>
  <si>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</si>
  <si>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</si>
  <si>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</si>
  <si>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</si>
  <si>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</si>
  <si>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</si>
  <si>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</si>
  <si>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</si>
  <si>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</si>
  <si>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</si>
  <si>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</si>
  <si>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</si>
  <si>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</si>
  <si>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</si>
  <si>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</si>
  <si>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</si>
  <si>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</si>
  <si>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</si>
  <si>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</si>
  <si>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</si>
  <si>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</si>
  <si>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</si>
  <si>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</si>
  <si>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</si>
  <si>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</si>
  <si>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</si>
  <si>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</si>
  <si>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</si>
  <si>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</si>
  <si>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</si>
  <si>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</si>
  <si>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</si>
  <si>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</si>
  <si>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</si>
  <si>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</si>
  <si>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</si>
  <si>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</si>
  <si>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</si>
  <si>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</si>
  <si>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</si>
  <si>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</si>
  <si>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</si>
  <si>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</si>
  <si>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</si>
  <si>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</si>
  <si>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</si>
  <si>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</si>
  <si>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</si>
  <si>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</si>
  <si>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</si>
  <si>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</si>
  <si>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</si>
  <si>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</si>
  <si>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</si>
  <si>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</si>
  <si>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</si>
  <si>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</si>
  <si>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</si>
  <si>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</si>
  <si>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</si>
  <si>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</si>
  <si>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</si>
  <si>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</si>
  <si>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</si>
  <si>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</si>
  <si>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</si>
  <si>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</si>
  <si>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</si>
  <si>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</si>
  <si>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</si>
  <si>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</si>
  <si>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</si>
  <si>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</si>
  <si>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</si>
  <si>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</si>
  <si>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</si>
  <si>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</si>
  <si>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</si>
  <si>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</si>
  <si>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</si>
  <si>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</si>
  <si>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</si>
  <si>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</si>
  <si>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</si>
  <si>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</si>
  <si>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</si>
  <si>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</si>
  <si>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</si>
  <si>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</si>
  <si>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</si>
  <si>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</si>
  <si>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</si>
  <si>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</si>
  <si>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</si>
  <si>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</si>
  <si>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</si>
  <si>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</si>
  <si>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</si>
  <si>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</si>
  <si>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</si>
  <si>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</si>
  <si>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</si>
  <si>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</si>
  <si>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</si>
  <si>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</si>
  <si>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</si>
  <si>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</si>
  <si>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</si>
  <si>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</si>
  <si>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</si>
  <si>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</si>
  <si>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</si>
  <si>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</si>
  <si>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</si>
  <si>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</si>
  <si>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</si>
  <si>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</si>
  <si>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</si>
  <si>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</si>
  <si>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</si>
  <si>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</si>
  <si>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</si>
  <si>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</si>
  <si>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</si>
  <si>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</si>
  <si>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</si>
  <si>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</si>
  <si>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</si>
  <si>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</si>
  <si>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</si>
  <si>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</si>
  <si>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</si>
  <si>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</si>
  <si>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</si>
  <si>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</si>
  <si>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</si>
  <si>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</si>
  <si>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</si>
  <si>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</si>
  <si>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</si>
  <si>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</si>
  <si>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</si>
  <si>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</si>
  <si>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</si>
  <si>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</si>
  <si>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</si>
  <si>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</si>
  <si>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</si>
  <si>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</si>
  <si>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</si>
  <si>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</si>
  <si>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</si>
  <si>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</si>
  <si>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</si>
  <si>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</si>
  <si>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</si>
  <si>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</si>
  <si>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</si>
  <si>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</si>
  <si>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</si>
  <si>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</si>
  <si>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</si>
  <si>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</si>
  <si>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</si>
  <si>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</si>
  <si>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</si>
  <si>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</si>
  <si>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</si>
  <si>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</si>
  <si>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</si>
  <si>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</si>
  <si>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</si>
  <si>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</si>
  <si>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</si>
  <si>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</si>
  <si>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</si>
  <si>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</si>
  <si>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</si>
  <si>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</si>
  <si>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</si>
  <si>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</si>
  <si>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</si>
  <si>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</si>
  <si>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</si>
  <si>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</si>
  <si>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</si>
  <si>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</si>
  <si>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</si>
  <si>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</si>
  <si>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</si>
  <si>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</si>
  <si>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</si>
  <si>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</si>
  <si>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</si>
  <si>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</si>
  <si>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</si>
  <si>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</si>
  <si>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</si>
  <si>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</si>
  <si>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</si>
  <si>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</si>
  <si>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</si>
  <si>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</si>
  <si>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</si>
  <si>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</si>
  <si>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</si>
  <si>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</si>
  <si>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</si>
  <si>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</si>
  <si>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</si>
  <si>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</si>
  <si>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</si>
  <si>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</si>
  <si>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</si>
  <si>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</si>
  <si>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</si>
  <si>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</si>
  <si>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</si>
  <si>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</si>
  <si>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</si>
  <si>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</si>
  <si>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</si>
  <si>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</si>
  <si>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</si>
  <si>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</si>
  <si>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</si>
  <si>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</si>
  <si>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</si>
  <si>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</si>
  <si>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</si>
  <si>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</si>
  <si>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</si>
  <si>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</si>
  <si>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</si>
  <si>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</si>
  <si>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</si>
  <si>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</si>
  <si>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</si>
  <si>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</si>
  <si>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</si>
  <si>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</si>
  <si>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</si>
  <si>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</si>
  <si>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</si>
  <si>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</si>
  <si>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</si>
  <si>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</si>
  <si>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</si>
  <si>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</si>
  <si>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</si>
  <si>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</si>
  <si>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</si>
  <si>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</si>
  <si>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</si>
  <si>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</si>
  <si>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</si>
  <si>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</si>
  <si>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</si>
  <si>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</si>
  <si>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</si>
  <si>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</si>
  <si>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</si>
  <si>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</si>
  <si>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</si>
  <si>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</si>
  <si>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</si>
  <si>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</si>
  <si>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</si>
  <si>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</si>
  <si>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</si>
  <si>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</si>
  <si>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</si>
  <si>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</si>
  <si>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</si>
  <si>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</si>
  <si>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</si>
  <si>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</si>
  <si>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</si>
  <si>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</si>
  <si>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</si>
  <si>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</si>
  <si>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</si>
  <si>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</si>
  <si>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</si>
  <si>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</si>
  <si>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</si>
  <si>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</si>
  <si>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</si>
  <si>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</si>
  <si>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</si>
  <si>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</si>
  <si>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</si>
  <si>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</si>
  <si>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</si>
  <si>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</si>
  <si>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</si>
  <si>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</si>
  <si>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</si>
  <si>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</si>
  <si>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</si>
  <si>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</si>
  <si>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</si>
  <si>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</si>
  <si>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</si>
  <si>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</si>
  <si>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</si>
  <si>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</si>
  <si>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</si>
  <si>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</si>
  <si>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</si>
  <si>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</si>
  <si>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</si>
  <si>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</si>
  <si>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</si>
  <si>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</si>
  <si>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</si>
  <si>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</si>
  <si>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</si>
  <si>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</si>
  <si>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</si>
  <si>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</si>
  <si>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</si>
  <si>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</si>
  <si>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</si>
  <si>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</si>
  <si>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</si>
  <si>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</si>
  <si>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</si>
  <si>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</si>
  <si>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</si>
  <si>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</si>
  <si>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</si>
  <si>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</si>
  <si>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</si>
  <si>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</si>
  <si>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</si>
  <si>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</si>
  <si>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</si>
  <si>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</si>
  <si>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</si>
  <si>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</si>
  <si>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</si>
  <si>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</si>
  <si>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</si>
  <si>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</si>
  <si>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</si>
  <si>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</si>
  <si>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</si>
  <si>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</si>
  <si>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</si>
  <si>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</si>
  <si>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</si>
  <si>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</si>
  <si>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</si>
  <si>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</si>
  <si>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</si>
  <si>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</si>
  <si>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</si>
  <si>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</si>
  <si>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</si>
  <si>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</si>
  <si>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</si>
  <si>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</si>
  <si>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</si>
  <si>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</si>
  <si>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</si>
  <si>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</si>
  <si>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</si>
  <si>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</si>
  <si>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</si>
  <si>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</si>
  <si>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</si>
  <si>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</si>
  <si>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</si>
  <si>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</si>
  <si>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</si>
  <si>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</si>
  <si>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</si>
  <si>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</si>
  <si>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</si>
  <si>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</si>
  <si>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</si>
  <si>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</si>
  <si>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</si>
  <si>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</si>
  <si>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</si>
  <si>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</si>
  <si>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</si>
  <si>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</si>
  <si>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</si>
  <si>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</si>
  <si>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</si>
  <si>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</si>
  <si>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</si>
  <si>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</si>
  <si>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</si>
  <si>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</si>
  <si>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</si>
  <si>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</si>
  <si>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</si>
  <si>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</si>
  <si>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</si>
  <si>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</si>
  <si>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</si>
  <si>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</si>
  <si>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</si>
  <si>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</si>
  <si>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</si>
  <si>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</si>
  <si>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</si>
  <si>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</si>
  <si>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</si>
  <si>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</si>
  <si>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</si>
  <si>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</si>
  <si>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</si>
  <si>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</si>
  <si>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</si>
  <si>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</si>
  <si>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</si>
  <si>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</si>
  <si>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</si>
  <si>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</si>
  <si>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</si>
  <si>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</si>
  <si>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</si>
  <si>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</si>
  <si>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</si>
  <si>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</si>
  <si>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</si>
  <si>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</si>
  <si>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</si>
  <si>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</si>
  <si>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</si>
  <si>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</si>
  <si>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</si>
  <si>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</si>
  <si>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</si>
  <si>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</si>
  <si>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</si>
  <si>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</si>
  <si>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</si>
  <si>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</si>
  <si>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</si>
  <si>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</si>
  <si>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</si>
  <si>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</si>
  <si>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</si>
  <si>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</si>
  <si>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</si>
  <si>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</si>
  <si>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</si>
  <si>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</si>
  <si>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</si>
  <si>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</si>
  <si>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</si>
  <si>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</si>
  <si>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</si>
  <si>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</si>
  <si>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</si>
  <si>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</si>
  <si>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</si>
  <si>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</si>
  <si>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</si>
  <si>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</si>
  <si>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</si>
  <si>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</si>
  <si>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</si>
  <si>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</si>
  <si>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</si>
  <si>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</si>
  <si>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</si>
  <si>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</si>
  <si>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</si>
  <si>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</si>
  <si>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</si>
  <si>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</si>
  <si>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</si>
  <si>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</si>
  <si>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</si>
  <si>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</si>
  <si>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</si>
  <si>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</si>
  <si>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</si>
  <si>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</si>
  <si>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</si>
  <si>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</si>
  <si>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</si>
  <si>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</si>
  <si>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</si>
  <si>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</si>
  <si>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</si>
  <si>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</si>
  <si>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</si>
  <si>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</si>
  <si>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</si>
  <si>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</si>
  <si>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</si>
  <si>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</si>
  <si>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</si>
  <si>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</si>
  <si>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</si>
  <si>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</si>
  <si>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</si>
  <si>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</si>
  <si>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</si>
  <si>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</si>
  <si>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</si>
  <si>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</si>
  <si>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</si>
  <si>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</si>
  <si>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</si>
  <si>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</si>
  <si>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</si>
  <si>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</si>
  <si>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</si>
  <si>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</si>
  <si>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</si>
  <si>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</si>
  <si>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</si>
  <si>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</si>
  <si>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</si>
  <si>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</si>
  <si>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</si>
  <si>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</si>
  <si>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</si>
  <si>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</si>
  <si>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</si>
  <si>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</si>
  <si>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</si>
  <si>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</si>
  <si>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</si>
  <si>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</si>
  <si>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</si>
  <si>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</si>
  <si>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</si>
  <si>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</si>
  <si>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</si>
  <si>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</si>
  <si>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</si>
  <si>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</si>
  <si>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</si>
  <si>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</si>
  <si>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</si>
  <si>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</si>
  <si>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</si>
  <si>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</si>
  <si>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</si>
  <si>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</si>
  <si>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</si>
  <si>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</si>
  <si>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</si>
  <si>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</si>
  <si>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</si>
  <si>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</si>
  <si>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</si>
  <si>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</si>
  <si>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</si>
  <si>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</si>
  <si>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</si>
  <si>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</si>
  <si>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</si>
  <si>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</si>
  <si>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</si>
  <si>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</si>
  <si>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</si>
  <si>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</si>
  <si>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</si>
  <si>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</si>
  <si>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</si>
  <si>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</si>
  <si>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</si>
  <si>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</si>
  <si>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</si>
  <si>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</si>
  <si>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</si>
  <si>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</si>
  <si>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</si>
  <si>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</si>
  <si>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</si>
  <si>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</si>
  <si>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</si>
  <si>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</si>
  <si>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</si>
  <si>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</si>
  <si>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</si>
  <si>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</si>
  <si>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</si>
  <si>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</si>
  <si>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</si>
  <si>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</si>
  <si>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</si>
  <si>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</si>
  <si>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</si>
  <si>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</si>
  <si>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</si>
  <si>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</si>
  <si>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</si>
  <si>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</si>
  <si>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</si>
  <si>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</si>
  <si>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</si>
  <si>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</si>
  <si>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</si>
  <si>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</si>
  <si>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</si>
  <si>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</si>
  <si>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</si>
  <si>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</si>
  <si>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</si>
  <si>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</si>
  <si>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</si>
  <si>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</si>
  <si>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</si>
  <si>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</si>
  <si>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</si>
  <si>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</si>
  <si>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</si>
  <si>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</si>
  <si>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</si>
  <si>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</si>
  <si>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</si>
  <si>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</si>
  <si>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</si>
  <si>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</si>
  <si>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</si>
  <si>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</si>
  <si>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</si>
  <si>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</si>
  <si>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</si>
  <si>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</si>
  <si>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</si>
  <si>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</si>
  <si>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</si>
  <si>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</si>
  <si>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</si>
  <si>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</si>
  <si>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</si>
  <si>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</si>
  <si>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</si>
  <si>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</si>
  <si>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</si>
  <si>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</si>
  <si>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</si>
  <si>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</si>
  <si>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</si>
  <si>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</si>
  <si>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</si>
  <si>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</si>
  <si>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</si>
  <si>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</si>
  <si>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</si>
  <si>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</si>
  <si>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</si>
  <si>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</si>
  <si>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</si>
  <si>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</si>
  <si>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</si>
  <si>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</si>
  <si>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</si>
  <si>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</si>
  <si>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</si>
  <si>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</si>
  <si>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</si>
  <si>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</si>
  <si>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</si>
  <si>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</si>
  <si>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</si>
  <si>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</si>
  <si>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</si>
  <si>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</si>
  <si>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</si>
  <si>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</si>
  <si>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</si>
  <si>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</si>
  <si>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</si>
  <si>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</si>
  <si>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</si>
  <si>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</si>
  <si>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</si>
  <si>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</si>
  <si>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</si>
  <si>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</si>
  <si>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</si>
  <si>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</si>
  <si>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</si>
  <si>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</si>
  <si>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</si>
  <si>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</si>
  <si>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</si>
  <si>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</si>
  <si>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</si>
  <si>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</si>
  <si>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</si>
  <si>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</si>
  <si>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</si>
  <si>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</si>
  <si>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</si>
  <si>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</si>
  <si>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</si>
  <si>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</si>
  <si>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</si>
  <si>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</si>
  <si>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</si>
  <si>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</si>
  <si>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</si>
  <si>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</si>
  <si>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</si>
  <si>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</si>
  <si>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</si>
  <si>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</si>
  <si>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</si>
  <si>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</si>
  <si>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</si>
  <si>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</si>
  <si>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</si>
  <si>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</si>
  <si>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</si>
  <si>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</si>
  <si>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</si>
  <si>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</si>
  <si>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</si>
  <si>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</si>
  <si>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</si>
  <si>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</si>
  <si>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</si>
  <si>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</si>
  <si>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</si>
  <si>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</si>
  <si>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</si>
  <si>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</si>
  <si>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</si>
  <si>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</si>
  <si>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</si>
  <si>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</si>
  <si>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</si>
  <si>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</si>
  <si>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</si>
  <si>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</si>
  <si>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</si>
  <si>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</si>
  <si>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</si>
  <si>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</si>
  <si>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</si>
  <si>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</si>
  <si>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</si>
  <si>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</si>
  <si>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</si>
  <si>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</si>
  <si>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</si>
  <si>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</si>
  <si>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</si>
  <si>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</si>
  <si>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</si>
  <si>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</si>
  <si>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</si>
  <si>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</si>
  <si>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</si>
  <si>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</si>
  <si>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</si>
  <si>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</si>
  <si>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</si>
  <si>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</si>
  <si>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</si>
  <si>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</si>
  <si>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</si>
  <si>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</si>
  <si>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</si>
  <si>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</si>
  <si>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</si>
  <si>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</si>
  <si>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</si>
  <si>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</si>
  <si>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</si>
  <si>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</si>
  <si>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</si>
  <si>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</si>
  <si>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</si>
  <si>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</si>
  <si>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</si>
  <si>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</si>
  <si>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</si>
  <si>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</si>
  <si>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</si>
  <si>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</si>
  <si>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</si>
  <si>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</si>
  <si>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</si>
  <si>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</si>
  <si>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</si>
  <si>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</si>
  <si>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</si>
  <si>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</si>
  <si>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</si>
  <si>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</si>
  <si>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</si>
  <si>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</si>
  <si>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</si>
  <si>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</si>
  <si>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</si>
  <si>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</si>
  <si>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</si>
  <si>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</si>
  <si>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</si>
  <si>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</si>
  <si>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</si>
  <si>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</si>
  <si>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</si>
  <si>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</si>
  <si>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</si>
  <si>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</si>
  <si>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</si>
  <si>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</si>
  <si>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</si>
  <si>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</si>
  <si>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</si>
  <si>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</si>
  <si>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</si>
  <si>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</si>
  <si>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</si>
  <si>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</si>
  <si>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</si>
  <si>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</si>
  <si>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</si>
  <si>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</si>
  <si>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</si>
  <si>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</si>
  <si>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</si>
  <si>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</si>
  <si>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</si>
  <si>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</si>
  <si>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</si>
  <si>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</si>
  <si>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</si>
  <si>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</si>
  <si>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</si>
  <si>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</si>
  <si>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</si>
  <si>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</si>
  <si>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</si>
  <si>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</si>
  <si>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</si>
  <si>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</si>
  <si>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</si>
  <si>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</si>
  <si>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</si>
  <si>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</si>
  <si>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</si>
  <si>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</si>
  <si>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</si>
  <si>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</si>
  <si>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</si>
  <si>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</si>
  <si>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</si>
  <si>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</si>
  <si>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</si>
  <si>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</si>
  <si>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</si>
  <si>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</si>
  <si>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</si>
  <si>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</si>
  <si>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</si>
  <si>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</si>
  <si>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</si>
  <si>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</si>
  <si>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</si>
  <si>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</si>
  <si>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</si>
  <si>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</si>
  <si>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</si>
  <si>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</si>
  <si>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</si>
  <si>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</si>
  <si>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</si>
  <si>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</si>
  <si>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</si>
  <si>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</si>
  <si>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</si>
  <si>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</si>
  <si>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</si>
  <si>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</si>
  <si>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</si>
  <si>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</si>
  <si>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</si>
  <si>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</si>
  <si>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</si>
  <si>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</si>
  <si>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</si>
  <si>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</si>
  <si>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</si>
  <si>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</si>
  <si>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</si>
  <si>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</si>
  <si>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</si>
  <si>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</si>
  <si>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</si>
  <si>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</si>
  <si>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</si>
  <si>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</si>
  <si>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</si>
  <si>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</si>
  <si>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</si>
  <si>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</si>
  <si>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</si>
  <si>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</si>
  <si>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</si>
  <si>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</si>
  <si>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</si>
  <si>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</si>
  <si>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</si>
  <si>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</si>
  <si>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</si>
  <si>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</si>
  <si>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</si>
  <si>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</si>
  <si>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</si>
  <si>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</si>
  <si>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</si>
  <si>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</si>
  <si>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</si>
  <si>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</si>
  <si>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</si>
  <si>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</si>
  <si>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</si>
  <si>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</si>
  <si>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</si>
  <si>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</si>
  <si>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</si>
  <si>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</si>
  <si>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</si>
  <si>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</si>
  <si>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</si>
  <si>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</si>
  <si>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</si>
  <si>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</si>
  <si>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</si>
  <si>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</si>
  <si>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</si>
  <si>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</si>
  <si>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</si>
  <si>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</si>
  <si>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</si>
  <si>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</si>
  <si>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</si>
  <si>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</si>
  <si>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</si>
  <si>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</si>
  <si>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</si>
  <si>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</si>
  <si>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</si>
  <si>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</si>
  <si>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</si>
  <si>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</si>
  <si>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</si>
  <si>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</si>
  <si>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</si>
  <si>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</si>
  <si>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</si>
  <si>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</si>
  <si>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</si>
  <si>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</si>
  <si>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</si>
  <si>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</si>
  <si>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</si>
  <si>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</si>
  <si>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</si>
  <si>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</si>
  <si>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</si>
  <si>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</si>
  <si>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</si>
  <si>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</si>
  <si>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</si>
  <si>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</si>
  <si>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</si>
  <si>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</si>
  <si>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</si>
  <si>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</si>
  <si>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</si>
  <si>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</si>
  <si>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</si>
  <si>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</si>
  <si>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</si>
  <si>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</si>
  <si>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</si>
  <si>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</si>
  <si>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</si>
  <si>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</si>
  <si>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</si>
  <si>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</si>
  <si>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</si>
  <si>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</si>
  <si>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</si>
  <si>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</si>
  <si>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</si>
  <si>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</si>
  <si>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</si>
  <si>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Auditor Adjustment Prior Year</t>
  </si>
  <si>
    <t>01/15/07</t>
  </si>
  <si>
    <t>08/27</t>
  </si>
  <si>
    <t>12/22/04</t>
  </si>
  <si>
    <t>01/25</t>
  </si>
  <si>
    <t>08/15/03</t>
  </si>
  <si>
    <t>08/24</t>
  </si>
  <si>
    <t>08/15/01</t>
  </si>
  <si>
    <t>08/22</t>
  </si>
  <si>
    <t>09/19</t>
  </si>
  <si>
    <t>09/34</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</si>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</sst>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1014</v>
      </c>
      <c r="B2" s="126">
        <f>INDEX('School Tables'!$AH$3:$AH$208,MATCH('DOE25'!A2,'School Tables'!$AJ$3:$AJ$208,0))</f>
        <v>142</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400+200+73653.77+140-507285.53</f>
        <v>-432891.76</v>
      </c>
      <c r="G9" s="18"/>
      <c r="H9" s="18"/>
      <c r="I9" s="18"/>
      <c r="J9" s="67">
        <f>SUM(I440)</f>
        <v>45875</v>
      </c>
      <c r="K9" s="24" t="s">
        <v>288</v>
      </c>
      <c r="L9" s="24" t="s">
        <v>288</v>
      </c>
      <c r="M9" s="8"/>
      <c r="N9" s="265"/>
    </row>
    <row r="10" spans="1:14" s="3" customFormat="1" ht="12.2" customHeight="1" x14ac:dyDescent="0.15">
      <c r="A10" s="1" t="s">
        <v>562</v>
      </c>
      <c r="B10" s="2" t="s">
        <v>289</v>
      </c>
      <c r="C10" s="6">
        <v>2</v>
      </c>
      <c r="D10" s="2" t="s">
        <v>428</v>
      </c>
      <c r="E10" s="6">
        <v>110</v>
      </c>
      <c r="F10" s="18">
        <v>838521.21</v>
      </c>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f>10553+28284.19</f>
        <v>38837.19</v>
      </c>
      <c r="G13" s="18"/>
      <c r="H13" s="18">
        <v>192983.77</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4519.45</v>
      </c>
      <c r="G14" s="18">
        <v>609.85</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26011.57</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474997.66</v>
      </c>
      <c r="G19" s="41">
        <f>SUM(G9:G18)</f>
        <v>609.85</v>
      </c>
      <c r="H19" s="41">
        <f>SUM(H9:H18)</f>
        <v>192983.77</v>
      </c>
      <c r="I19" s="41">
        <f>SUM(I9:I18)</f>
        <v>0</v>
      </c>
      <c r="J19" s="41">
        <f>SUM(J9:J18)</f>
        <v>45875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f>137575.4-233003.26</f>
        <v>-95427.860000000015</v>
      </c>
      <c r="G22" s="18">
        <f>-207025.03+14016.83</f>
        <v>-193008.2</v>
      </c>
      <c r="H22" s="18">
        <v>-24837.88</v>
      </c>
      <c r="I22" s="18">
        <v>-25284.880000000001</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v>174096.2</v>
      </c>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c r="G24" s="18"/>
      <c r="H24" s="18">
        <v>314</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61272.5</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-1982.3</v>
      </c>
      <c r="G30" s="18">
        <v>10386.92</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47500</v>
      </c>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11362.339999999982</v>
      </c>
      <c r="G32" s="41">
        <f>SUM(G22:G31)</f>
        <v>-8525.08</v>
      </c>
      <c r="H32" s="41">
        <f>SUM(H22:H31)</f>
        <v>-24523.88</v>
      </c>
      <c r="I32" s="41">
        <f>SUM(I22:I31)</f>
        <v>-25284.880000000001</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26012.06</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9134.93</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37623.26</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v>217507.65</v>
      </c>
      <c r="I48" s="18">
        <f>32790.61-7505.73</f>
        <v>25284.880000000001</v>
      </c>
      <c r="J48" s="13">
        <f>SUM(I460)</f>
        <v>45875</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400000</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463635.32</v>
      </c>
      <c r="G51" s="41">
        <f>SUM(G35:G50)</f>
        <v>9134.93</v>
      </c>
      <c r="H51" s="41">
        <f>SUM(H35:H50)</f>
        <v>217507.65</v>
      </c>
      <c r="I51" s="41">
        <f>SUM(I35:I50)</f>
        <v>25284.880000000001</v>
      </c>
      <c r="J51" s="41">
        <f>SUM(J35:J50)</f>
        <v>45875</v>
      </c>
      <c r="K51" s="45" t="s">
        <v>288</v>
      </c>
      <c r="L51" s="45" t="s">
        <v>288</v>
      </c>
      <c r="N51" s="263"/>
    </row>
    <row r="52" spans="1:14" s="3" customFormat="1" ht="12.2" customHeight="1" thickTop="1" x14ac:dyDescent="0.15">
      <c r="A52" s="38" t="s">
        <v>455</v>
      </c>
      <c r="B52" s="39" t="s">
        <v>289</v>
      </c>
      <c r="C52" s="6">
        <v>37</v>
      </c>
      <c r="D52" s="39" t="s">
        <v>653</v>
      </c>
      <c r="E52" s="39"/>
      <c r="F52" s="41">
        <f>F51+F32</f>
        <v>474997.66</v>
      </c>
      <c r="G52" s="41">
        <f>G51+G32</f>
        <v>609.85000000000036</v>
      </c>
      <c r="H52" s="41">
        <f>H51+H32</f>
        <v>192983.77</v>
      </c>
      <c r="I52" s="41">
        <f>I51+I32</f>
        <v>0</v>
      </c>
      <c r="J52" s="41">
        <f>J51+J32</f>
        <v>45875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14611270+7312533-2275253</f>
        <v>19648550</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19648550</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166866</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f>1551572.06+2011952-107665</f>
        <v>3455859.06</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978362.4</v>
      </c>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4601087.46</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4856.5600000000004</v>
      </c>
      <c r="G96" s="18"/>
      <c r="H96" s="18"/>
      <c r="I96" s="18"/>
      <c r="J96" s="18">
        <v>2762</v>
      </c>
      <c r="K96" s="24" t="s">
        <v>288</v>
      </c>
      <c r="L96" s="24" t="s">
        <v>288</v>
      </c>
      <c r="M96" s="8"/>
      <c r="N96" s="265"/>
    </row>
    <row r="97" spans="1:14" s="3" customFormat="1" ht="12.2" customHeight="1" x14ac:dyDescent="0.15">
      <c r="A97" s="1" t="s">
        <v>503</v>
      </c>
      <c r="B97" s="2" t="s">
        <v>315</v>
      </c>
      <c r="C97" s="6">
        <v>12</v>
      </c>
      <c r="D97" s="2" t="s">
        <v>430</v>
      </c>
      <c r="E97" s="6">
        <v>1600</v>
      </c>
      <c r="F97" s="24" t="s">
        <v>288</v>
      </c>
      <c r="G97" s="18">
        <f>701458.39+31688.29+114.3</f>
        <v>733260.9800000001</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123979.81</v>
      </c>
      <c r="G98" s="24" t="s">
        <v>288</v>
      </c>
      <c r="H98" s="18">
        <v>101888.34</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4900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100000</v>
      </c>
      <c r="G102" s="18"/>
      <c r="H102" s="18">
        <v>53734.6</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30833.81</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-46963.64</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217606.53999999998</v>
      </c>
      <c r="G111" s="41">
        <f>SUM(G96:G110)</f>
        <v>733260.9800000001</v>
      </c>
      <c r="H111" s="41">
        <f>SUM(H96:H110)</f>
        <v>155622.94</v>
      </c>
      <c r="I111" s="41">
        <f>SUM(I96:I110)</f>
        <v>0</v>
      </c>
      <c r="J111" s="41">
        <f>SUM(J96:J110)</f>
        <v>2762</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24467244</v>
      </c>
      <c r="G112" s="41">
        <f>G60+G111</f>
        <v>733260.9800000001</v>
      </c>
      <c r="H112" s="41">
        <f>H60+H79+H94+H111</f>
        <v>155622.94</v>
      </c>
      <c r="I112" s="41">
        <f>I60+I111</f>
        <v>0</v>
      </c>
      <c r="J112" s="41">
        <f>J60+J111</f>
        <v>2762</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2275253</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2275253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348881.86</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33537.339999999997</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f>9819.2+1788+10396.8</f>
        <v>22004</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404423.19999999995</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2679676.2000000002</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22167.759999999998</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26857.9</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247406.68</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40112.51</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194677.72-40112.51</f>
        <v>154565.21</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0</v>
      </c>
      <c r="H163" s="41">
        <f>SUM(H150:H162)</f>
        <v>491110.05999999994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491110.05999999994</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v>441957.56</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441957.56</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f>11991.55+55326.75</f>
        <v>67318.3</v>
      </c>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67318.3</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67318.3</v>
      </c>
      <c r="H193" s="41">
        <f>+H184+SUM(H189:H192)</f>
        <v>0</v>
      </c>
      <c r="I193" s="41">
        <f>I178+I184+SUM(I189:I192)</f>
        <v>441957.56</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27146920.199999999</v>
      </c>
      <c r="G194" s="47">
        <f>G112+G140+G170+G193</f>
        <v>800579.28000000014</v>
      </c>
      <c r="H194" s="47">
        <f>H112+H140+H170+H193</f>
        <v>646733</v>
      </c>
      <c r="I194" s="47">
        <f>I112+I140+I170+I193</f>
        <v>441957.56</v>
      </c>
      <c r="J194" s="47">
        <f>J112+J140+J193</f>
        <v>2762</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2872462.44-2193.2</f>
        <v>2870269.2399999998</v>
      </c>
      <c r="G198" s="18">
        <v>1099742.76</v>
      </c>
      <c r="H198" s="18">
        <v>152656.75</v>
      </c>
      <c r="I198" s="18">
        <v>20731.189999999999</v>
      </c>
      <c r="J198" s="18">
        <v>122991.44</v>
      </c>
      <c r="K198" s="18">
        <v>0</v>
      </c>
      <c r="L198" s="19">
        <f>SUM(F198:K198)</f>
        <v>4266391.38</v>
      </c>
      <c r="M198" s="8"/>
      <c r="N198" s="265"/>
    </row>
    <row r="199" spans="1:14" s="3" customFormat="1" ht="12.2" customHeight="1" x14ac:dyDescent="0.15">
      <c r="A199" s="1" t="s">
        <v>439</v>
      </c>
      <c r="B199" s="2" t="s">
        <v>341</v>
      </c>
      <c r="C199" s="2" t="s">
        <v>291</v>
      </c>
      <c r="D199" s="2" t="s">
        <v>431</v>
      </c>
      <c r="E199" s="6">
        <v>1200</v>
      </c>
      <c r="F199" s="18">
        <v>1056207.1599999999</v>
      </c>
      <c r="G199" s="18">
        <v>729585.07</v>
      </c>
      <c r="H199" s="18">
        <v>12753.5</v>
      </c>
      <c r="I199" s="18">
        <v>3668.26</v>
      </c>
      <c r="J199" s="18">
        <v>2542.7600000000002</v>
      </c>
      <c r="K199" s="18">
        <v>0</v>
      </c>
      <c r="L199" s="19">
        <f>SUM(F199:K199)</f>
        <v>1804756.75</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28675.74</v>
      </c>
      <c r="G201" s="18">
        <v>4976.16</v>
      </c>
      <c r="H201" s="18">
        <v>3131.86</v>
      </c>
      <c r="I201" s="18">
        <v>0</v>
      </c>
      <c r="J201" s="18">
        <v>0</v>
      </c>
      <c r="K201" s="18">
        <v>0</v>
      </c>
      <c r="L201" s="19">
        <f>SUM(F201:K201)</f>
        <v>36783.760000000002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261605.48</v>
      </c>
      <c r="G203" s="18">
        <v>135491.71</v>
      </c>
      <c r="H203" s="18">
        <v>1385.28</v>
      </c>
      <c r="I203" s="18">
        <v>5346.15</v>
      </c>
      <c r="J203" s="18">
        <v>0</v>
      </c>
      <c r="K203" s="18">
        <v>150</v>
      </c>
      <c r="L203" s="19">
        <f t="shared" ref="L203:L209" si="0">SUM(F203:K203)</f>
        <v>403978.62000000005</v>
      </c>
      <c r="M203" s="8"/>
      <c r="N203" s="265"/>
    </row>
    <row r="204" spans="1:14" s="3" customFormat="1" ht="12.2" customHeight="1" x14ac:dyDescent="0.15">
      <c r="A204" s="1" t="s">
        <v>443</v>
      </c>
      <c r="B204" s="2" t="s">
        <v>341</v>
      </c>
      <c r="C204" s="2" t="s">
        <v>295</v>
      </c>
      <c r="D204" s="2" t="s">
        <v>431</v>
      </c>
      <c r="E204" s="6">
        <v>2200</v>
      </c>
      <c r="F204" s="18">
        <v>128373.44</v>
      </c>
      <c r="G204" s="18">
        <v>100935.28</v>
      </c>
      <c r="H204" s="18">
        <v>2980.09</v>
      </c>
      <c r="I204" s="18">
        <v>25926.35</v>
      </c>
      <c r="J204" s="18">
        <v>7905.68</v>
      </c>
      <c r="K204" s="18">
        <v>0</v>
      </c>
      <c r="L204" s="19">
        <f t="shared" si="0"/>
        <v>266120.84000000003</v>
      </c>
      <c r="M204" s="8"/>
      <c r="N204" s="265"/>
    </row>
    <row r="205" spans="1:14" s="3" customFormat="1" ht="12.2" customHeight="1" x14ac:dyDescent="0.15">
      <c r="A205" s="1" t="s">
        <v>444</v>
      </c>
      <c r="B205" s="2" t="s">
        <v>341</v>
      </c>
      <c r="C205" s="2" t="s">
        <v>296</v>
      </c>
      <c r="D205" s="2" t="s">
        <v>431</v>
      </c>
      <c r="E205" s="6">
        <v>2300</v>
      </c>
      <c r="F205" s="18">
        <v>4266.88</v>
      </c>
      <c r="G205" s="18">
        <v>329.55</v>
      </c>
      <c r="H205" s="18">
        <v>411991.76</v>
      </c>
      <c r="I205" s="18">
        <v>0</v>
      </c>
      <c r="J205" s="18">
        <v>0</v>
      </c>
      <c r="K205" s="18">
        <v>2760.47</v>
      </c>
      <c r="L205" s="19">
        <f t="shared" si="0"/>
        <v>419348.66</v>
      </c>
      <c r="M205" s="8"/>
      <c r="N205" s="265"/>
    </row>
    <row r="206" spans="1:14" s="3" customFormat="1" ht="12.2" customHeight="1" x14ac:dyDescent="0.15">
      <c r="A206" s="1" t="s">
        <v>445</v>
      </c>
      <c r="B206" s="2" t="s">
        <v>341</v>
      </c>
      <c r="C206" s="2" t="s">
        <v>297</v>
      </c>
      <c r="D206" s="2" t="s">
        <v>431</v>
      </c>
      <c r="E206" s="6">
        <v>2400</v>
      </c>
      <c r="F206" s="18">
        <v>332173.39</v>
      </c>
      <c r="G206" s="18">
        <v>251468.06</v>
      </c>
      <c r="H206" s="18">
        <v>18909.57</v>
      </c>
      <c r="I206" s="18">
        <v>1374.01</v>
      </c>
      <c r="J206" s="18">
        <v>0</v>
      </c>
      <c r="K206" s="18">
        <v>820</v>
      </c>
      <c r="L206" s="19">
        <f t="shared" si="0"/>
        <v>604745.02999999991</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f>363003.25-13398.5</f>
        <v>349604.75</v>
      </c>
      <c r="G208" s="18">
        <v>146228.70000000001</v>
      </c>
      <c r="H208" s="18">
        <v>163597.53</v>
      </c>
      <c r="I208" s="18">
        <v>112981.32</v>
      </c>
      <c r="J208" s="18">
        <v>2016.52</v>
      </c>
      <c r="K208" s="18">
        <v>0</v>
      </c>
      <c r="L208" s="19">
        <f t="shared" si="0"/>
        <v>774428.82000000007</v>
      </c>
      <c r="M208" s="8"/>
      <c r="N208" s="265"/>
    </row>
    <row r="209" spans="1:14" s="3" customFormat="1" ht="12.2" customHeight="1" x14ac:dyDescent="0.15">
      <c r="A209" s="1" t="s">
        <v>448</v>
      </c>
      <c r="B209" s="2" t="s">
        <v>341</v>
      </c>
      <c r="C209" s="2" t="s">
        <v>300</v>
      </c>
      <c r="D209" s="2" t="s">
        <v>431</v>
      </c>
      <c r="E209" s="6">
        <v>2700</v>
      </c>
      <c r="F209" s="18">
        <v>0</v>
      </c>
      <c r="G209" s="18">
        <v>0</v>
      </c>
      <c r="H209" s="18">
        <v>6750.38</v>
      </c>
      <c r="I209" s="18">
        <v>0</v>
      </c>
      <c r="J209" s="18">
        <v>0</v>
      </c>
      <c r="K209" s="18">
        <v>0</v>
      </c>
      <c r="L209" s="19">
        <f t="shared" si="0"/>
        <v>6750.38</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5031176.08</v>
      </c>
      <c r="G212" s="41">
        <f t="shared" si="1"/>
        <v>2468757.29</v>
      </c>
      <c r="H212" s="41">
        <f t="shared" si="1"/>
        <v>774156.72</v>
      </c>
      <c r="I212" s="41">
        <f t="shared" si="1"/>
        <v>170027.28</v>
      </c>
      <c r="J212" s="41">
        <f t="shared" si="1"/>
        <v>135456.4</v>
      </c>
      <c r="K212" s="41">
        <f t="shared" si="1"/>
        <v>3730.47</v>
      </c>
      <c r="L212" s="41">
        <f t="shared" si="1"/>
        <v>8583304.2400000002</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5064196.55</v>
      </c>
      <c r="G234" s="18">
        <v>1779902.62</v>
      </c>
      <c r="H234" s="18">
        <v>177025.92000000001</v>
      </c>
      <c r="I234" s="18">
        <v>142899.95000000001</v>
      </c>
      <c r="J234" s="18">
        <v>253700.28</v>
      </c>
      <c r="K234" s="18">
        <v>6226.7</v>
      </c>
      <c r="L234" s="19">
        <f>SUM(F234:K234)</f>
        <v>7423952.0200000005</v>
      </c>
      <c r="M234" s="8"/>
      <c r="N234" s="265"/>
    </row>
    <row r="235" spans="1:14" s="3" customFormat="1" ht="12.2" customHeight="1" x14ac:dyDescent="0.15">
      <c r="A235" s="1" t="s">
        <v>439</v>
      </c>
      <c r="B235" s="2" t="s">
        <v>350</v>
      </c>
      <c r="C235" s="2" t="s">
        <v>291</v>
      </c>
      <c r="D235" s="2" t="s">
        <v>431</v>
      </c>
      <c r="E235" s="6">
        <v>1200</v>
      </c>
      <c r="F235" s="18">
        <v>808508.47</v>
      </c>
      <c r="G235" s="18">
        <v>444983.66</v>
      </c>
      <c r="H235" s="18">
        <v>4708.38</v>
      </c>
      <c r="I235" s="18">
        <v>2336.9499999999998</v>
      </c>
      <c r="J235" s="18">
        <v>0</v>
      </c>
      <c r="K235" s="18">
        <v>265</v>
      </c>
      <c r="L235" s="19">
        <f>SUM(F235:K235)</f>
        <v>1260802.4599999997</v>
      </c>
      <c r="M235" s="8"/>
      <c r="N235" s="265"/>
    </row>
    <row r="236" spans="1:14" s="3" customFormat="1" ht="12.2" customHeight="1" x14ac:dyDescent="0.15">
      <c r="A236" s="1" t="s">
        <v>440</v>
      </c>
      <c r="B236" s="2" t="s">
        <v>350</v>
      </c>
      <c r="C236" s="2" t="s">
        <v>292</v>
      </c>
      <c r="D236" s="2" t="s">
        <v>431</v>
      </c>
      <c r="E236" s="6">
        <v>1300</v>
      </c>
      <c r="F236" s="18">
        <v>0</v>
      </c>
      <c r="G236" s="18">
        <v>0</v>
      </c>
      <c r="H236" s="18">
        <v>133467.63</v>
      </c>
      <c r="I236" s="18">
        <v>0</v>
      </c>
      <c r="J236" s="18">
        <v>0</v>
      </c>
      <c r="K236" s="18">
        <v>0</v>
      </c>
      <c r="L236" s="19">
        <f>SUM(F236:K236)</f>
        <v>133467.63</v>
      </c>
      <c r="M236" s="8"/>
      <c r="N236" s="265"/>
    </row>
    <row r="237" spans="1:14" s="3" customFormat="1" ht="12.2" customHeight="1" x14ac:dyDescent="0.15">
      <c r="A237" s="1" t="s">
        <v>441</v>
      </c>
      <c r="B237" s="2" t="s">
        <v>350</v>
      </c>
      <c r="C237" s="2" t="s">
        <v>293</v>
      </c>
      <c r="D237" s="2" t="s">
        <v>431</v>
      </c>
      <c r="E237" s="6">
        <v>1400</v>
      </c>
      <c r="F237" s="18">
        <v>506143.31</v>
      </c>
      <c r="G237" s="18">
        <v>132400.75</v>
      </c>
      <c r="H237" s="18">
        <v>166440.04</v>
      </c>
      <c r="I237" s="18">
        <v>13134.96</v>
      </c>
      <c r="J237" s="18">
        <v>32964.699999999997</v>
      </c>
      <c r="K237" s="18">
        <v>7915.5</v>
      </c>
      <c r="L237" s="19">
        <f>SUM(F237:K237)</f>
        <v>858999.26</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788032.26</v>
      </c>
      <c r="G239" s="18">
        <v>327193.7</v>
      </c>
      <c r="H239" s="18">
        <v>14398.2</v>
      </c>
      <c r="I239" s="18">
        <v>9830.33</v>
      </c>
      <c r="J239" s="18">
        <v>1795</v>
      </c>
      <c r="K239" s="18">
        <v>25</v>
      </c>
      <c r="L239" s="19">
        <f t="shared" ref="L239:L245" si="4">SUM(F239:K239)</f>
        <v>1141274.49</v>
      </c>
      <c r="M239" s="8"/>
      <c r="N239" s="265"/>
    </row>
    <row r="240" spans="1:14" s="3" customFormat="1" ht="12.2" customHeight="1" x14ac:dyDescent="0.15">
      <c r="A240" s="1" t="s">
        <v>443</v>
      </c>
      <c r="B240" s="2" t="s">
        <v>350</v>
      </c>
      <c r="C240" s="2" t="s">
        <v>295</v>
      </c>
      <c r="D240" s="2" t="s">
        <v>431</v>
      </c>
      <c r="E240" s="6">
        <v>2200</v>
      </c>
      <c r="F240" s="18">
        <v>214376.25</v>
      </c>
      <c r="G240" s="18">
        <v>153905.39000000001</v>
      </c>
      <c r="H240" s="18">
        <v>7901.06</v>
      </c>
      <c r="I240" s="18">
        <v>41899.07</v>
      </c>
      <c r="J240" s="18">
        <v>28313.1</v>
      </c>
      <c r="K240" s="18">
        <v>791</v>
      </c>
      <c r="L240" s="19">
        <f t="shared" si="4"/>
        <v>447185.87</v>
      </c>
      <c r="M240" s="8"/>
      <c r="N240" s="265"/>
    </row>
    <row r="241" spans="1:14" s="3" customFormat="1" ht="12.2" customHeight="1" x14ac:dyDescent="0.15">
      <c r="A241" s="1" t="s">
        <v>444</v>
      </c>
      <c r="B241" s="2" t="s">
        <v>350</v>
      </c>
      <c r="C241" s="2" t="s">
        <v>296</v>
      </c>
      <c r="D241" s="2" t="s">
        <v>431</v>
      </c>
      <c r="E241" s="6">
        <v>2300</v>
      </c>
      <c r="F241" s="18">
        <v>8435.9500000000007</v>
      </c>
      <c r="G241" s="18">
        <v>651.55999999999995</v>
      </c>
      <c r="H241" s="18">
        <v>814539.6</v>
      </c>
      <c r="I241" s="18">
        <v>0</v>
      </c>
      <c r="J241" s="18">
        <v>0</v>
      </c>
      <c r="K241" s="18">
        <v>5457.66</v>
      </c>
      <c r="L241" s="19">
        <f t="shared" si="4"/>
        <v>829084.77</v>
      </c>
      <c r="M241" s="8"/>
      <c r="N241" s="265"/>
    </row>
    <row r="242" spans="1:14" s="3" customFormat="1" ht="12.2" customHeight="1" x14ac:dyDescent="0.15">
      <c r="A242" s="1" t="s">
        <v>445</v>
      </c>
      <c r="B242" s="2" t="s">
        <v>350</v>
      </c>
      <c r="C242" s="2" t="s">
        <v>297</v>
      </c>
      <c r="D242" s="2" t="s">
        <v>431</v>
      </c>
      <c r="E242" s="6">
        <v>2400</v>
      </c>
      <c r="F242" s="18">
        <v>919631.01</v>
      </c>
      <c r="G242" s="18">
        <v>686828.65</v>
      </c>
      <c r="H242" s="18">
        <v>38265.57</v>
      </c>
      <c r="I242" s="18">
        <v>22938.46</v>
      </c>
      <c r="J242" s="18">
        <v>1101.98</v>
      </c>
      <c r="K242" s="18">
        <v>4770</v>
      </c>
      <c r="L242" s="19">
        <f t="shared" si="4"/>
        <v>1673535.6700000002</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f>547869.4-26526.5</f>
        <v>521342.9</v>
      </c>
      <c r="G244" s="18">
        <v>237681.99</v>
      </c>
      <c r="H244" s="18">
        <v>399363.46</v>
      </c>
      <c r="I244" s="18">
        <v>260805.27</v>
      </c>
      <c r="J244" s="18">
        <v>7499.9</v>
      </c>
      <c r="K244" s="18">
        <v>0</v>
      </c>
      <c r="L244" s="19">
        <f t="shared" si="4"/>
        <v>1426693.52</v>
      </c>
      <c r="M244" s="8"/>
      <c r="N244" s="265"/>
    </row>
    <row r="245" spans="1:14" s="3" customFormat="1" ht="12.2" customHeight="1" x14ac:dyDescent="0.15">
      <c r="A245" s="1" t="s">
        <v>448</v>
      </c>
      <c r="B245" s="2" t="s">
        <v>350</v>
      </c>
      <c r="C245" s="2" t="s">
        <v>300</v>
      </c>
      <c r="D245" s="2" t="s">
        <v>431</v>
      </c>
      <c r="E245" s="6">
        <v>2700</v>
      </c>
      <c r="F245" s="18">
        <v>0</v>
      </c>
      <c r="G245" s="18">
        <v>0</v>
      </c>
      <c r="H245" s="18">
        <v>199637.61</v>
      </c>
      <c r="I245" s="18">
        <v>0</v>
      </c>
      <c r="J245" s="18">
        <v>0</v>
      </c>
      <c r="K245" s="18">
        <v>0</v>
      </c>
      <c r="L245" s="19">
        <f t="shared" si="4"/>
        <v>199637.61</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8830666.6999999993</v>
      </c>
      <c r="G248" s="41">
        <f t="shared" si="5"/>
        <v>3763548.3200000003</v>
      </c>
      <c r="H248" s="41">
        <f t="shared" si="5"/>
        <v>1955747.4700000002</v>
      </c>
      <c r="I248" s="41">
        <f t="shared" si="5"/>
        <v>493844.99</v>
      </c>
      <c r="J248" s="41">
        <f t="shared" si="5"/>
        <v>325374.95999999996</v>
      </c>
      <c r="K248" s="41">
        <f t="shared" si="5"/>
        <v>25450.86</v>
      </c>
      <c r="L248" s="41">
        <f t="shared" si="5"/>
        <v>15394633.299999999</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70694.460000000006</v>
      </c>
      <c r="I256" s="18"/>
      <c r="J256" s="18"/>
      <c r="K256" s="18"/>
      <c r="L256" s="19">
        <f t="shared" si="6"/>
        <v>70694.460000000006</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70694.460000000006</v>
      </c>
      <c r="I257" s="41">
        <f t="shared" si="7"/>
        <v>0</v>
      </c>
      <c r="J257" s="41">
        <f t="shared" si="7"/>
        <v>0</v>
      </c>
      <c r="K257" s="41">
        <f t="shared" si="7"/>
        <v>0</v>
      </c>
      <c r="L257" s="41">
        <f>SUM(F257:K257)</f>
        <v>70694.460000000006</v>
      </c>
      <c r="M257" s="8"/>
      <c r="N257" s="265"/>
    </row>
    <row r="258" spans="1:14" s="3" customFormat="1" ht="12.2" customHeight="1" thickTop="1" x14ac:dyDescent="0.15">
      <c r="A258" s="38" t="s">
        <v>462</v>
      </c>
      <c r="B258" s="40">
        <v>10</v>
      </c>
      <c r="C258" s="40">
        <v>8</v>
      </c>
      <c r="D258" s="39" t="s">
        <v>431</v>
      </c>
      <c r="E258" s="40"/>
      <c r="F258" s="41">
        <f t="shared" ref="F258:L258" si="8">F212+F230+F248+F257</f>
        <v>13861842.779999999</v>
      </c>
      <c r="G258" s="41">
        <f t="shared" si="8"/>
        <v>6232305.6100000003</v>
      </c>
      <c r="H258" s="41">
        <f t="shared" si="8"/>
        <v>2800598.6500000004</v>
      </c>
      <c r="I258" s="41">
        <f t="shared" si="8"/>
        <v>663872.27</v>
      </c>
      <c r="J258" s="41">
        <f t="shared" si="8"/>
        <v>460831.36</v>
      </c>
      <c r="K258" s="41">
        <f t="shared" si="8"/>
        <v>29181.33</v>
      </c>
      <c r="L258" s="41">
        <f t="shared" si="8"/>
        <v>24048632</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1625829.76</v>
      </c>
      <c r="L261" s="19">
        <f>SUM(F261:K261)</f>
        <v>1625829.76</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1948233.82</v>
      </c>
      <c r="L262" s="19">
        <f>SUM(F262:K262)</f>
        <v>1948233.82</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67318.3</v>
      </c>
      <c r="L264" s="19">
        <f>SUM(F264:K264)</f>
        <v>67318.3</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3641381.88</v>
      </c>
      <c r="L271" s="41">
        <f t="shared" si="9"/>
        <v>3641381.88</v>
      </c>
      <c r="M271" s="8"/>
      <c r="N271" s="265"/>
    </row>
    <row r="272" spans="1:14" s="34" customFormat="1" ht="12.2" customHeight="1" thickTop="1" x14ac:dyDescent="0.2">
      <c r="A272" s="43" t="s">
        <v>464</v>
      </c>
      <c r="B272" s="40">
        <v>10</v>
      </c>
      <c r="C272" s="40">
        <v>18</v>
      </c>
      <c r="D272" s="39" t="s">
        <v>431</v>
      </c>
      <c r="E272" s="40"/>
      <c r="F272" s="42">
        <f t="shared" ref="F272:L272" si="11">F258+F271</f>
        <v>13861842.779999999</v>
      </c>
      <c r="G272" s="42">
        <f t="shared" si="11"/>
        <v>6232305.6100000003</v>
      </c>
      <c r="H272" s="42">
        <f t="shared" si="11"/>
        <v>2800598.6500000004</v>
      </c>
      <c r="I272" s="42">
        <f t="shared" si="11"/>
        <v>663872.27</v>
      </c>
      <c r="J272" s="42">
        <f t="shared" si="11"/>
        <v>460831.36</v>
      </c>
      <c r="K272" s="42">
        <f t="shared" si="11"/>
        <v>3670563.21</v>
      </c>
      <c r="L272" s="42">
        <f t="shared" si="11"/>
        <v>27690013.879999999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6396.96</v>
      </c>
      <c r="G277" s="18">
        <v>6947</v>
      </c>
      <c r="H277" s="18">
        <v>96196.93</v>
      </c>
      <c r="I277" s="18">
        <v>7684.45</v>
      </c>
      <c r="J277" s="18">
        <v>158407.14000000001</v>
      </c>
      <c r="K277" s="18"/>
      <c r="L277" s="19">
        <f>SUM(F277:K277)</f>
        <v>275632.48</v>
      </c>
      <c r="M277" s="8"/>
      <c r="N277" s="265"/>
    </row>
    <row r="278" spans="1:14" s="3" customFormat="1" ht="12.2" customHeight="1" x14ac:dyDescent="0.15">
      <c r="A278" s="1" t="s">
        <v>439</v>
      </c>
      <c r="B278" s="2" t="s">
        <v>357</v>
      </c>
      <c r="C278" s="2" t="s">
        <v>291</v>
      </c>
      <c r="D278" s="2" t="s">
        <v>431</v>
      </c>
      <c r="E278" s="6">
        <v>1200</v>
      </c>
      <c r="F278" s="18">
        <v>96000</v>
      </c>
      <c r="G278" s="18">
        <v>232.56</v>
      </c>
      <c r="H278" s="18">
        <v>36779</v>
      </c>
      <c r="I278" s="18">
        <v>935.05</v>
      </c>
      <c r="J278" s="18"/>
      <c r="K278" s="18"/>
      <c r="L278" s="19">
        <f>SUM(F278:K278)</f>
        <v>133946.60999999999</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102396.96</v>
      </c>
      <c r="G291" s="42">
        <f t="shared" si="13"/>
        <v>7179.56</v>
      </c>
      <c r="H291" s="42">
        <f t="shared" si="13"/>
        <v>132975.93</v>
      </c>
      <c r="I291" s="42">
        <f t="shared" si="13"/>
        <v>8619.5</v>
      </c>
      <c r="J291" s="42">
        <f t="shared" si="13"/>
        <v>158407.14000000001</v>
      </c>
      <c r="K291" s="42">
        <f t="shared" si="13"/>
        <v>0</v>
      </c>
      <c r="L291" s="41">
        <f t="shared" si="13"/>
        <v>409579.08999999997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17227.25</v>
      </c>
      <c r="G315" s="18">
        <v>11738.28</v>
      </c>
      <c r="H315" s="18">
        <v>119238.24</v>
      </c>
      <c r="I315" s="18">
        <v>14955.85</v>
      </c>
      <c r="J315" s="18">
        <v>12620.38</v>
      </c>
      <c r="K315" s="18"/>
      <c r="L315" s="19">
        <f>SUM(F315:K315)</f>
        <v>175780.00000000003</v>
      </c>
      <c r="M315" s="8"/>
      <c r="N315" s="265"/>
    </row>
    <row r="316" spans="1:14" s="3" customFormat="1" ht="12.2" customHeight="1" x14ac:dyDescent="0.15">
      <c r="A316" s="1" t="s">
        <v>439</v>
      </c>
      <c r="B316" s="2" t="s">
        <v>359</v>
      </c>
      <c r="C316" s="2" t="s">
        <v>291</v>
      </c>
      <c r="D316" s="2" t="s">
        <v>431</v>
      </c>
      <c r="E316" s="6">
        <v>1200</v>
      </c>
      <c r="F316" s="18">
        <v>99000</v>
      </c>
      <c r="G316" s="18">
        <v>1356.44</v>
      </c>
      <c r="H316" s="18">
        <v>10440</v>
      </c>
      <c r="I316" s="18">
        <v>765.41</v>
      </c>
      <c r="J316" s="18">
        <v>1898.22</v>
      </c>
      <c r="K316" s="18"/>
      <c r="L316" s="19">
        <f>SUM(F316:K316)</f>
        <v>113460.07</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116227.25</v>
      </c>
      <c r="G329" s="42">
        <f t="shared" si="17"/>
        <v>13094.720000000001</v>
      </c>
      <c r="H329" s="42">
        <f t="shared" si="17"/>
        <v>129678.24</v>
      </c>
      <c r="I329" s="42">
        <f t="shared" si="17"/>
        <v>15721.26</v>
      </c>
      <c r="J329" s="42">
        <f t="shared" si="17"/>
        <v>14518.599999999999</v>
      </c>
      <c r="K329" s="42">
        <f t="shared" si="17"/>
        <v>0</v>
      </c>
      <c r="L329" s="41">
        <f t="shared" si="17"/>
        <v>289240.07000000007</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218624.21000000002</v>
      </c>
      <c r="G339" s="41">
        <f t="shared" si="20"/>
        <v>20274.280000000002</v>
      </c>
      <c r="H339" s="41">
        <f t="shared" si="20"/>
        <v>262654.17</v>
      </c>
      <c r="I339" s="41">
        <f t="shared" si="20"/>
        <v>24340.760000000002</v>
      </c>
      <c r="J339" s="41">
        <f t="shared" si="20"/>
        <v>172925.74000000002</v>
      </c>
      <c r="K339" s="41">
        <f t="shared" si="20"/>
        <v>0</v>
      </c>
      <c r="L339" s="41">
        <f t="shared" si="20"/>
        <v>698819.16</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218624.21000000002</v>
      </c>
      <c r="G353" s="41">
        <f>G339</f>
        <v>20274.280000000002</v>
      </c>
      <c r="H353" s="41">
        <f>H339</f>
        <v>262654.17</v>
      </c>
      <c r="I353" s="41">
        <f>I339</f>
        <v>24340.760000000002</v>
      </c>
      <c r="J353" s="41">
        <f>J339</f>
        <v>172925.74000000002</v>
      </c>
      <c r="K353" s="47">
        <f>K339+K352</f>
        <v>0</v>
      </c>
      <c r="L353" s="41">
        <f>L339+L352</f>
        <v>698819.16</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67070.850000000006</v>
      </c>
      <c r="G359" s="18">
        <v>21575.96</v>
      </c>
      <c r="H359" s="18">
        <f>9643.11+0+0</f>
        <v>9643.11</v>
      </c>
      <c r="I359" s="18">
        <v>143287.82999999999</v>
      </c>
      <c r="J359" s="18">
        <v>26.97</v>
      </c>
      <c r="K359" s="18"/>
      <c r="L359" s="13">
        <f>SUM(F359:K359)</f>
        <v>241604.72</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f>18774.7+530165</f>
        <v>548939.69999999995</v>
      </c>
      <c r="I361" s="18">
        <v>0</v>
      </c>
      <c r="J361" s="18">
        <v>900</v>
      </c>
      <c r="K361" s="18"/>
      <c r="L361" s="19">
        <f>SUM(F361:K361)</f>
        <v>549839.69999999995</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67070.850000000006</v>
      </c>
      <c r="G363" s="47">
        <f t="shared" si="22"/>
        <v>21575.96</v>
      </c>
      <c r="H363" s="47">
        <f t="shared" si="22"/>
        <v>558582.80999999994</v>
      </c>
      <c r="I363" s="47">
        <f t="shared" si="22"/>
        <v>143287.82999999999</v>
      </c>
      <c r="J363" s="47">
        <f t="shared" si="22"/>
        <v>926.97</v>
      </c>
      <c r="K363" s="47">
        <f t="shared" si="22"/>
        <v>0</v>
      </c>
      <c r="L363" s="47">
        <f t="shared" si="22"/>
        <v>791444.41999999993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131786.26</v>
      </c>
      <c r="G368" s="18"/>
      <c r="H368" s="18"/>
      <c r="I368" s="56">
        <f>SUM(F368:H368)</f>
        <v>131786.26</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11501.57</v>
      </c>
      <c r="G369" s="63"/>
      <c r="H369" s="63"/>
      <c r="I369" s="56">
        <f>SUM(F369:H369)</f>
        <v>11501.57</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143287.83000000002</v>
      </c>
      <c r="G370" s="47">
        <f>SUM(G368:G369)</f>
        <v>0</v>
      </c>
      <c r="H370" s="47">
        <f>SUM(H368:H369)</f>
        <v>0</v>
      </c>
      <c r="I370" s="47">
        <f>SUM(I368:I369)</f>
        <v>143287.83000000002</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v>32790.53</v>
      </c>
      <c r="K376" s="18"/>
      <c r="L376" s="13">
        <f t="shared" ref="L376:L382" si="23">SUM(F376:K376)</f>
        <v>32790.53</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v>276119.62</v>
      </c>
      <c r="I380" s="18"/>
      <c r="J380" s="18">
        <v>140553.14000000001</v>
      </c>
      <c r="K380" s="18"/>
      <c r="L380" s="13">
        <f t="shared" si="23"/>
        <v>416672.76</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276119.62</v>
      </c>
      <c r="I383" s="41">
        <f t="shared" si="24"/>
        <v>0</v>
      </c>
      <c r="J383" s="47">
        <f t="shared" si="24"/>
        <v>173343.67</v>
      </c>
      <c r="K383" s="47">
        <f t="shared" si="24"/>
        <v>0</v>
      </c>
      <c r="L383" s="47">
        <f t="shared" si="24"/>
        <v>449463.29000000004</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2762</v>
      </c>
      <c r="I401" s="18"/>
      <c r="J401" s="24" t="s">
        <v>288</v>
      </c>
      <c r="K401" s="24" t="s">
        <v>288</v>
      </c>
      <c r="L401" s="56">
        <f t="shared" si="26"/>
        <v>2762</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2762</v>
      </c>
      <c r="I402" s="47">
        <f>SUM(I396:I401)</f>
        <v>0</v>
      </c>
      <c r="J402" s="45" t="s">
        <v>288</v>
      </c>
      <c r="K402" s="45" t="s">
        <v>288</v>
      </c>
      <c r="L402" s="47">
        <f>SUM(L396:L401)</f>
        <v>2762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2762</v>
      </c>
      <c r="I409" s="47">
        <f>I394+I402+I408</f>
        <v>0</v>
      </c>
      <c r="J409" s="24" t="s">
        <v>288</v>
      </c>
      <c r="K409" s="24" t="s">
        <v>288</v>
      </c>
      <c r="L409" s="47">
        <f>L394+L402+L408</f>
        <v>2762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45875</v>
      </c>
      <c r="H440" s="18"/>
      <c r="I440" s="56">
        <f t="shared" ref="I440:I446" si="33">SUM(F440:H440)</f>
        <v>45875</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45875</v>
      </c>
      <c r="H447" s="13">
        <f>SUM(H440:H446)</f>
        <v>0</v>
      </c>
      <c r="I447" s="13">
        <f>SUM(I440:I446)</f>
        <v>45875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45875</v>
      </c>
      <c r="H460" s="18"/>
      <c r="I460" s="56">
        <f t="shared" si="34"/>
        <v>45875</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45875</v>
      </c>
      <c r="H461" s="83">
        <f>SUM(H455:H460)</f>
        <v>0</v>
      </c>
      <c r="I461" s="83">
        <f>SUM(I455:I460)</f>
        <v>45875</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45875</v>
      </c>
      <c r="H462" s="42">
        <f>H453+H461</f>
        <v>0</v>
      </c>
      <c r="I462" s="42">
        <f>I453+I461</f>
        <v>45875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965604.76</v>
      </c>
      <c r="G466" s="18">
        <v>7.0000000000000007E-2</v>
      </c>
      <c r="H466" s="18">
        <v>306563.81</v>
      </c>
      <c r="I466" s="18">
        <v>32790.53</v>
      </c>
      <c r="J466" s="18">
        <v>43113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27146920.199999999</v>
      </c>
      <c r="G469" s="18">
        <v>800579.28</v>
      </c>
      <c r="H469" s="18">
        <v>646733</v>
      </c>
      <c r="I469" s="18">
        <v>441957.56</v>
      </c>
      <c r="J469" s="18">
        <v>2762</v>
      </c>
      <c r="K469" s="24" t="s">
        <v>288</v>
      </c>
      <c r="L469" s="24" t="s">
        <v>288</v>
      </c>
      <c r="N469" s="264"/>
    </row>
    <row r="470" spans="1:14" s="52" customFormat="1" ht="12.2" customHeight="1" x14ac:dyDescent="0.2">
      <c r="A470" s="93" t="s">
        <v>611</v>
      </c>
      <c r="B470" s="75">
        <v>19</v>
      </c>
      <c r="C470" s="80">
        <v>3</v>
      </c>
      <c r="D470" s="2" t="s">
        <v>432</v>
      </c>
      <c r="E470" s="80"/>
      <c r="F470" s="18">
        <v>50526.17</v>
      </c>
      <c r="G470" s="18"/>
      <c r="H470" s="18"/>
      <c r="I470" s="18">
        <v>0.08</v>
      </c>
      <c r="J470" s="18"/>
      <c r="K470" s="24" t="s">
        <v>288</v>
      </c>
      <c r="L470" s="24" t="s">
        <v>288</v>
      </c>
      <c r="N470" s="264"/>
    </row>
    <row r="471" spans="1:14" s="52" customFormat="1" ht="12.2" customHeight="1" x14ac:dyDescent="0.2">
      <c r="A471" s="92" t="s">
        <v>425</v>
      </c>
      <c r="B471" s="75">
        <v>19</v>
      </c>
      <c r="C471" s="80">
        <v>4</v>
      </c>
      <c r="D471" s="2" t="s">
        <v>432</v>
      </c>
      <c r="E471" s="80"/>
      <c r="F471" s="53">
        <f>SUM(F469:F470)</f>
        <v>27197446.370000001</v>
      </c>
      <c r="G471" s="53">
        <f>SUM(G469:G470)</f>
        <v>800579.28</v>
      </c>
      <c r="H471" s="53">
        <f>SUM(H469:H470)</f>
        <v>646733</v>
      </c>
      <c r="I471" s="53">
        <f>SUM(I469:I470)</f>
        <v>441957.64</v>
      </c>
      <c r="J471" s="53">
        <f>SUM(J469:J470)</f>
        <v>2762</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27690013.879999999</v>
      </c>
      <c r="G473" s="18">
        <v>791444.42</v>
      </c>
      <c r="H473" s="18">
        <v>698819.16</v>
      </c>
      <c r="I473" s="18">
        <v>449463.29</v>
      </c>
      <c r="J473" s="18"/>
      <c r="K473" s="24" t="s">
        <v>288</v>
      </c>
      <c r="L473" s="24" t="s">
        <v>288</v>
      </c>
      <c r="N473" s="264"/>
    </row>
    <row r="474" spans="1:14" s="52" customFormat="1" ht="12.2" customHeight="1" x14ac:dyDescent="0.2">
      <c r="A474" s="93" t="s">
        <v>613</v>
      </c>
      <c r="B474" s="75">
        <v>19</v>
      </c>
      <c r="C474" s="80">
        <v>6</v>
      </c>
      <c r="D474" s="2" t="s">
        <v>432</v>
      </c>
      <c r="E474" s="80"/>
      <c r="F474" s="18">
        <v>9401.93</v>
      </c>
      <c r="G474" s="18"/>
      <c r="H474" s="18">
        <v>36970</v>
      </c>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27699415.809999999</v>
      </c>
      <c r="G475" s="53">
        <f>SUM(G473:G474)</f>
        <v>791444.42</v>
      </c>
      <c r="H475" s="53">
        <f>SUM(H473:H474)</f>
        <v>735789.16</v>
      </c>
      <c r="I475" s="53">
        <f>SUM(I473:I474)</f>
        <v>449463.29</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463635.32000000402</v>
      </c>
      <c r="G477" s="53">
        <f>(G466+G471)- G475</f>
        <v>9134.9299999999348</v>
      </c>
      <c r="H477" s="53">
        <f>(H466+H471)- H475</f>
        <v>217507.65000000002</v>
      </c>
      <c r="I477" s="53">
        <f>(I466+I471)- I475</f>
        <v>25284.880000000063</v>
      </c>
      <c r="J477" s="53">
        <f>(J466+J471)- J475</f>
        <v>45875</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1802</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8" t="s">
        <v>1802</v>
      </c>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v>20</v>
      </c>
      <c r="H491" s="154">
        <v>20</v>
      </c>
      <c r="I491" s="154">
        <v>20</v>
      </c>
      <c r="J491" s="154">
        <v>15</v>
      </c>
      <c r="K491" s="24" t="s">
        <v>288</v>
      </c>
      <c r="L491" s="24" t="s">
        <v>288</v>
      </c>
      <c r="N491" s="264"/>
    </row>
    <row r="492" spans="1:14" s="52" customFormat="1" ht="12.2" customHeight="1" x14ac:dyDescent="0.2">
      <c r="A492" s="22" t="s">
        <v>615</v>
      </c>
      <c r="B492" s="75">
        <v>20</v>
      </c>
      <c r="C492" s="115">
        <v>2</v>
      </c>
      <c r="D492" s="2" t="s">
        <v>432</v>
      </c>
      <c r="E492" s="115"/>
      <c r="F492" s="155" t="s">
        <v>1803</v>
      </c>
      <c r="G492" s="155" t="s">
        <v>1805</v>
      </c>
      <c r="H492" s="155" t="s">
        <v>1807</v>
      </c>
      <c r="I492" s="155" t="s">
        <v>1809</v>
      </c>
      <c r="J492" s="155" t="s">
        <v>1811</v>
      </c>
      <c r="K492" s="24" t="s">
        <v>288</v>
      </c>
      <c r="L492" s="24" t="s">
        <v>288</v>
      </c>
      <c r="N492" s="264"/>
    </row>
    <row r="493" spans="1:14" s="52" customFormat="1" ht="12.2" customHeight="1" x14ac:dyDescent="0.2">
      <c r="A493" s="22" t="s">
        <v>616</v>
      </c>
      <c r="B493" s="75">
        <v>20</v>
      </c>
      <c r="C493" s="115">
        <v>3</v>
      </c>
      <c r="D493" s="2" t="s">
        <v>432</v>
      </c>
      <c r="E493" s="115"/>
      <c r="F493" s="155" t="s">
        <v>1804</v>
      </c>
      <c r="G493" s="155" t="s">
        <v>1806</v>
      </c>
      <c r="H493" s="155" t="s">
        <v>1808</v>
      </c>
      <c r="I493" s="155" t="s">
        <v>1810</v>
      </c>
      <c r="J493" s="155" t="s">
        <v>1812</v>
      </c>
      <c r="K493" s="24" t="s">
        <v>288</v>
      </c>
      <c r="L493" s="24" t="s">
        <v>288</v>
      </c>
      <c r="N493" s="264"/>
    </row>
    <row r="494" spans="1:14" s="52" customFormat="1" ht="12.2" customHeight="1" x14ac:dyDescent="0.2">
      <c r="A494" s="22" t="s">
        <v>617</v>
      </c>
      <c r="B494" s="75">
        <v>20</v>
      </c>
      <c r="C494" s="115">
        <v>4</v>
      </c>
      <c r="D494" s="2" t="s">
        <v>432</v>
      </c>
      <c r="E494" s="115"/>
      <c r="F494" s="18">
        <v>2532900</v>
      </c>
      <c r="G494" s="18">
        <v>4000000</v>
      </c>
      <c r="H494" s="18">
        <v>38460936</v>
      </c>
      <c r="I494" s="18">
        <v>1100000</v>
      </c>
      <c r="J494" s="18">
        <v>900000</v>
      </c>
      <c r="K494" s="24" t="s">
        <v>288</v>
      </c>
      <c r="L494" s="24" t="s">
        <v>288</v>
      </c>
      <c r="N494" s="264"/>
    </row>
    <row r="495" spans="1:14" s="52" customFormat="1" ht="12.2" customHeight="1" x14ac:dyDescent="0.2">
      <c r="A495" s="22" t="s">
        <v>618</v>
      </c>
      <c r="B495" s="75">
        <v>20</v>
      </c>
      <c r="C495" s="115">
        <v>5</v>
      </c>
      <c r="D495" s="2" t="s">
        <v>432</v>
      </c>
      <c r="E495" s="115"/>
      <c r="F495" s="18">
        <v>4.08</v>
      </c>
      <c r="G495" s="18">
        <v>4.47</v>
      </c>
      <c r="H495" s="18">
        <v>4.62</v>
      </c>
      <c r="I495" s="18">
        <v>4.71</v>
      </c>
      <c r="J495" s="18">
        <v>2.8</v>
      </c>
      <c r="K495" s="24" t="s">
        <v>288</v>
      </c>
      <c r="L495" s="24" t="s">
        <v>288</v>
      </c>
      <c r="N495" s="264"/>
    </row>
    <row r="496" spans="1:14" s="52" customFormat="1" ht="12.2" customHeight="1" x14ac:dyDescent="0.2">
      <c r="A496" s="22" t="s">
        <v>619</v>
      </c>
      <c r="B496" s="75">
        <v>20</v>
      </c>
      <c r="C496" s="115">
        <v>6</v>
      </c>
      <c r="D496" s="2" t="s">
        <v>432</v>
      </c>
      <c r="E496" s="115"/>
      <c r="F496" s="18">
        <v>545395</v>
      </c>
      <c r="G496" s="18">
        <v>544080</v>
      </c>
      <c r="H496" s="18">
        <v>3625602</v>
      </c>
      <c r="I496" s="18">
        <v>55000</v>
      </c>
      <c r="J496" s="18">
        <v>840000</v>
      </c>
      <c r="K496" s="53">
        <f>SUM(F496:J496)</f>
        <v>5610077</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100927</v>
      </c>
      <c r="G498" s="18">
        <v>144833</v>
      </c>
      <c r="H498" s="18">
        <v>1265070</v>
      </c>
      <c r="I498" s="18">
        <v>55000</v>
      </c>
      <c r="J498" s="18">
        <v>60000</v>
      </c>
      <c r="K498" s="53">
        <f t="shared" si="35"/>
        <v>1625830</v>
      </c>
      <c r="L498" s="24" t="s">
        <v>288</v>
      </c>
      <c r="N498" s="264"/>
    </row>
    <row r="499" spans="1:14" s="52" customFormat="1" ht="12.2" customHeight="1" x14ac:dyDescent="0.2">
      <c r="A499" s="199" t="s">
        <v>622</v>
      </c>
      <c r="B499" s="200">
        <v>20</v>
      </c>
      <c r="C499" s="201">
        <v>9</v>
      </c>
      <c r="D499" s="202" t="s">
        <v>432</v>
      </c>
      <c r="E499" s="201"/>
      <c r="F499" s="203">
        <f>F496-F498</f>
        <v>444468</v>
      </c>
      <c r="G499" s="203">
        <f>G496-G498</f>
        <v>399247</v>
      </c>
      <c r="H499" s="203">
        <f>H496-H498</f>
        <v>2360532</v>
      </c>
      <c r="I499" s="203">
        <v>0</v>
      </c>
      <c r="J499" s="203">
        <f>J496-J498</f>
        <v>780000</v>
      </c>
      <c r="K499" s="204">
        <f t="shared" si="35"/>
        <v>3984247</v>
      </c>
      <c r="L499" s="205" t="s">
        <v>288</v>
      </c>
      <c r="N499" s="264"/>
    </row>
    <row r="500" spans="1:14" s="52" customFormat="1" ht="12.2" customHeight="1" thickBot="1" x14ac:dyDescent="0.25">
      <c r="A500" s="22" t="s">
        <v>623</v>
      </c>
      <c r="B500" s="75">
        <v>20</v>
      </c>
      <c r="C500" s="115">
        <v>10</v>
      </c>
      <c r="D500" s="2" t="s">
        <v>432</v>
      </c>
      <c r="E500" s="115"/>
      <c r="F500" s="18">
        <f>568743-81130</f>
        <v>487613</v>
      </c>
      <c r="G500" s="18">
        <f>690276-161523</f>
        <v>528753</v>
      </c>
      <c r="H500" s="18">
        <f>5213536-1681524</f>
        <v>3532012</v>
      </c>
      <c r="I500" s="18">
        <v>0</v>
      </c>
      <c r="J500" s="18">
        <f>84000-23520</f>
        <v>60480</v>
      </c>
      <c r="K500" s="53">
        <f t="shared" si="35"/>
        <v>4608858</v>
      </c>
      <c r="L500" s="24" t="s">
        <v>288</v>
      </c>
      <c r="N500" s="264"/>
    </row>
    <row r="501" spans="1:14" s="52" customFormat="1" ht="12.2" customHeight="1" thickTop="1" x14ac:dyDescent="0.2">
      <c r="A501" s="139" t="s">
        <v>624</v>
      </c>
      <c r="B501" s="44">
        <v>20</v>
      </c>
      <c r="C501" s="194">
        <v>11</v>
      </c>
      <c r="D501" s="39" t="s">
        <v>432</v>
      </c>
      <c r="E501" s="194"/>
      <c r="F501" s="42">
        <f>SUM(F499:F500)</f>
        <v>932081</v>
      </c>
      <c r="G501" s="42">
        <f>SUM(G499:G500)</f>
        <v>928000</v>
      </c>
      <c r="H501" s="42">
        <f>SUM(H499:H500)</f>
        <v>5892544</v>
      </c>
      <c r="I501" s="42">
        <f>SUM(I499:I500)</f>
        <v>0</v>
      </c>
      <c r="J501" s="42">
        <f>SUM(J499:J500)</f>
        <v>840480</v>
      </c>
      <c r="K501" s="42">
        <f t="shared" si="35"/>
        <v>8593105</v>
      </c>
      <c r="L501" s="45" t="s">
        <v>288</v>
      </c>
      <c r="N501" s="264"/>
    </row>
    <row r="502" spans="1:14" s="52" customFormat="1" ht="12.2" customHeight="1" x14ac:dyDescent="0.2">
      <c r="A502" s="199" t="s">
        <v>651</v>
      </c>
      <c r="B502" s="200">
        <v>20</v>
      </c>
      <c r="C502" s="201">
        <v>12</v>
      </c>
      <c r="D502" s="202" t="s">
        <v>432</v>
      </c>
      <c r="E502" s="201"/>
      <c r="F502" s="203">
        <v>98327</v>
      </c>
      <c r="G502" s="203">
        <v>140276</v>
      </c>
      <c r="H502" s="203">
        <v>1207991</v>
      </c>
      <c r="I502" s="203"/>
      <c r="J502" s="203">
        <v>60000</v>
      </c>
      <c r="K502" s="204">
        <f t="shared" si="35"/>
        <v>1506594</v>
      </c>
      <c r="L502" s="205" t="s">
        <v>288</v>
      </c>
      <c r="N502" s="264"/>
    </row>
    <row r="503" spans="1:14" s="52" customFormat="1" ht="12.2" customHeight="1" thickBot="1" x14ac:dyDescent="0.25">
      <c r="A503" s="22" t="s">
        <v>625</v>
      </c>
      <c r="B503" s="75">
        <v>20</v>
      </c>
      <c r="C503" s="115">
        <v>13</v>
      </c>
      <c r="D503" s="2" t="s">
        <v>432</v>
      </c>
      <c r="E503" s="115"/>
      <c r="F503" s="18">
        <v>86979</v>
      </c>
      <c r="G503" s="18">
        <v>169924</v>
      </c>
      <c r="H503" s="18">
        <v>1739215</v>
      </c>
      <c r="I503" s="18"/>
      <c r="J503" s="18">
        <v>21840</v>
      </c>
      <c r="K503" s="53">
        <f t="shared" si="35"/>
        <v>2017958</v>
      </c>
      <c r="L503" s="24" t="s">
        <v>288</v>
      </c>
      <c r="N503" s="264"/>
    </row>
    <row r="504" spans="1:14" s="52" customFormat="1" ht="12.2" customHeight="1" thickTop="1" x14ac:dyDescent="0.2">
      <c r="A504" s="139" t="s">
        <v>626</v>
      </c>
      <c r="B504" s="44">
        <v>20</v>
      </c>
      <c r="C504" s="194">
        <v>14</v>
      </c>
      <c r="D504" s="39" t="s">
        <v>432</v>
      </c>
      <c r="E504" s="194"/>
      <c r="F504" s="42">
        <f>SUM(F502:F503)</f>
        <v>185306</v>
      </c>
      <c r="G504" s="42">
        <f>SUM(G502:G503)</f>
        <v>310200</v>
      </c>
      <c r="H504" s="42">
        <f>SUM(H502:H503)</f>
        <v>2947206</v>
      </c>
      <c r="I504" s="42">
        <f>SUM(I502:I503)</f>
        <v>0</v>
      </c>
      <c r="J504" s="42">
        <f>SUM(J502:J503)</f>
        <v>81840</v>
      </c>
      <c r="K504" s="42">
        <f t="shared" si="35"/>
        <v>3524552</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1152207.1599999999</v>
      </c>
      <c r="G522" s="18">
        <v>233467.22</v>
      </c>
      <c r="H522" s="18">
        <v>49532.5</v>
      </c>
      <c r="I522" s="18">
        <v>4209.01</v>
      </c>
      <c r="J522" s="18">
        <v>2542.7600000000002</v>
      </c>
      <c r="K522" s="18"/>
      <c r="L522" s="88">
        <f>SUM(F522:K522)</f>
        <v>1441958.65</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v>907508.47</v>
      </c>
      <c r="G524" s="18">
        <v>142684.37</v>
      </c>
      <c r="H524" s="18">
        <v>15148.38</v>
      </c>
      <c r="I524" s="18">
        <v>2336.9499999999998</v>
      </c>
      <c r="J524" s="18">
        <v>1898.22</v>
      </c>
      <c r="K524" s="18">
        <v>265</v>
      </c>
      <c r="L524" s="88">
        <f>SUM(F524:K524)</f>
        <v>1069841.3899999997</v>
      </c>
      <c r="N524" s="264"/>
    </row>
    <row r="525" spans="1:14" s="52" customFormat="1" ht="12.2" customHeight="1" thickTop="1" x14ac:dyDescent="0.2">
      <c r="A525" s="139" t="s">
        <v>63</v>
      </c>
      <c r="B525" s="107">
        <v>21</v>
      </c>
      <c r="C525" s="194">
        <v>4</v>
      </c>
      <c r="D525" s="195" t="s">
        <v>432</v>
      </c>
      <c r="E525" s="194"/>
      <c r="F525" s="108">
        <f>SUM(F522:F524)</f>
        <v>2059715.63</v>
      </c>
      <c r="G525" s="108">
        <f t="shared" ref="G525:L525" si="36">SUM(G522:G524)</f>
        <v>376151.58999999997</v>
      </c>
      <c r="H525" s="108">
        <f t="shared" si="36"/>
        <v>64680.88</v>
      </c>
      <c r="I525" s="108">
        <f t="shared" si="36"/>
        <v>6545.96</v>
      </c>
      <c r="J525" s="108">
        <f t="shared" si="36"/>
        <v>4440.9800000000005</v>
      </c>
      <c r="K525" s="108">
        <f t="shared" si="36"/>
        <v>265</v>
      </c>
      <c r="L525" s="89">
        <f t="shared" si="36"/>
        <v>2511800.0399999996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12593.5</v>
      </c>
      <c r="I527" s="18"/>
      <c r="J527" s="18"/>
      <c r="K527" s="18"/>
      <c r="L527" s="88">
        <f>SUM(F527:K527)</f>
        <v>12593.5</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v>6125.22</v>
      </c>
      <c r="I529" s="18"/>
      <c r="J529" s="18"/>
      <c r="K529" s="18"/>
      <c r="L529" s="88">
        <f>SUM(F529:K529)</f>
        <v>6125.22</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18718.72</v>
      </c>
      <c r="I530" s="89">
        <f t="shared" si="37"/>
        <v>0</v>
      </c>
      <c r="J530" s="89">
        <f t="shared" si="37"/>
        <v>0</v>
      </c>
      <c r="K530" s="89">
        <f t="shared" si="37"/>
        <v>0</v>
      </c>
      <c r="L530" s="89">
        <f t="shared" si="37"/>
        <v>18718.72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29485</v>
      </c>
      <c r="G532" s="18">
        <v>10096</v>
      </c>
      <c r="H532" s="18">
        <v>974</v>
      </c>
      <c r="I532" s="18"/>
      <c r="J532" s="18"/>
      <c r="K532" s="18"/>
      <c r="L532" s="88">
        <f>SUM(F532:K532)</f>
        <v>40555</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v>56022</v>
      </c>
      <c r="G534" s="18">
        <v>20892</v>
      </c>
      <c r="H534" s="18">
        <v>1851</v>
      </c>
      <c r="I534" s="18"/>
      <c r="J534" s="18"/>
      <c r="K534" s="18"/>
      <c r="L534" s="88">
        <f>SUM(F534:K534)</f>
        <v>78765</v>
      </c>
      <c r="M534" s="8"/>
      <c r="N534" s="265"/>
    </row>
    <row r="535" spans="1:14" s="3" customFormat="1" ht="12.2" customHeight="1" thickTop="1" x14ac:dyDescent="0.15">
      <c r="A535" s="139" t="s">
        <v>67</v>
      </c>
      <c r="B535" s="107">
        <v>21</v>
      </c>
      <c r="C535" s="107">
        <v>12</v>
      </c>
      <c r="D535" s="158" t="s">
        <v>432</v>
      </c>
      <c r="E535" s="107"/>
      <c r="F535" s="89">
        <f>SUM(F532:F534)</f>
        <v>85507</v>
      </c>
      <c r="G535" s="89">
        <f t="shared" ref="G535:L535" si="38">SUM(G532:G534)</f>
        <v>30988</v>
      </c>
      <c r="H535" s="89">
        <f t="shared" si="38"/>
        <v>2825</v>
      </c>
      <c r="I535" s="89">
        <f t="shared" si="38"/>
        <v>0</v>
      </c>
      <c r="J535" s="89">
        <f t="shared" si="38"/>
        <v>0</v>
      </c>
      <c r="K535" s="89">
        <f t="shared" si="38"/>
        <v>0</v>
      </c>
      <c r="L535" s="89">
        <f t="shared" si="38"/>
        <v>119320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2875.8</v>
      </c>
      <c r="I537" s="18"/>
      <c r="J537" s="18"/>
      <c r="K537" s="18"/>
      <c r="L537" s="88">
        <f>SUM(F537:K537)</f>
        <v>2875.8</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v>5838.75</v>
      </c>
      <c r="I539" s="18"/>
      <c r="J539" s="18"/>
      <c r="K539" s="18"/>
      <c r="L539" s="88">
        <f>SUM(F539:K539)</f>
        <v>5838.75</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8714.5499999999993</v>
      </c>
      <c r="I540" s="89">
        <f t="shared" si="39"/>
        <v>0</v>
      </c>
      <c r="J540" s="89">
        <f t="shared" si="39"/>
        <v>0</v>
      </c>
      <c r="K540" s="89">
        <f t="shared" si="39"/>
        <v>0</v>
      </c>
      <c r="L540" s="89">
        <f t="shared" si="39"/>
        <v>8714.5499999999993</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500</v>
      </c>
      <c r="I542" s="18"/>
      <c r="J542" s="18"/>
      <c r="K542" s="18"/>
      <c r="L542" s="88">
        <f>SUM(F542:K542)</f>
        <v>500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500</v>
      </c>
      <c r="I545" s="192">
        <f t="shared" si="40"/>
        <v>0</v>
      </c>
      <c r="J545" s="192">
        <f t="shared" si="40"/>
        <v>0</v>
      </c>
      <c r="K545" s="192">
        <f t="shared" si="40"/>
        <v>0</v>
      </c>
      <c r="L545" s="192">
        <f t="shared" si="40"/>
        <v>500</v>
      </c>
      <c r="M545" s="8"/>
      <c r="N545" s="265"/>
    </row>
    <row r="546" spans="1:14" s="3" customFormat="1" ht="12.2" customHeight="1" thickTop="1" x14ac:dyDescent="0.15">
      <c r="A546" s="98" t="s">
        <v>72</v>
      </c>
      <c r="B546" s="107">
        <v>21</v>
      </c>
      <c r="C546" s="107">
        <v>21</v>
      </c>
      <c r="D546" s="158" t="s">
        <v>432</v>
      </c>
      <c r="E546" s="107"/>
      <c r="F546" s="89">
        <f>F525+F530+F535+F540+F545</f>
        <v>2145222.63</v>
      </c>
      <c r="G546" s="89">
        <f t="shared" ref="G546:L546" si="41">G525+G530+G535+G540+G545</f>
        <v>407139.58999999997</v>
      </c>
      <c r="H546" s="89">
        <f t="shared" si="41"/>
        <v>95439.150000000009</v>
      </c>
      <c r="I546" s="89">
        <f t="shared" si="41"/>
        <v>6545.96</v>
      </c>
      <c r="J546" s="89">
        <f t="shared" si="41"/>
        <v>4440.9800000000005</v>
      </c>
      <c r="K546" s="89">
        <f t="shared" si="41"/>
        <v>265</v>
      </c>
      <c r="L546" s="89">
        <f t="shared" si="41"/>
        <v>2659053.3099999996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1441958.65</v>
      </c>
      <c r="G550" s="87">
        <f>L527</f>
        <v>12593.5</v>
      </c>
      <c r="H550" s="87">
        <f>L532</f>
        <v>40555</v>
      </c>
      <c r="I550" s="87">
        <f>L537</f>
        <v>2875.8</v>
      </c>
      <c r="J550" s="87">
        <f>L542</f>
        <v>500</v>
      </c>
      <c r="K550" s="87">
        <f>SUM(F550:J550)</f>
        <v>1498482.95</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1069841.3899999997</v>
      </c>
      <c r="G552" s="87">
        <f>L529</f>
        <v>6125.22</v>
      </c>
      <c r="H552" s="87">
        <f>L534</f>
        <v>78765</v>
      </c>
      <c r="I552" s="87">
        <f>L539</f>
        <v>5838.75</v>
      </c>
      <c r="J552" s="87">
        <f>L544</f>
        <v>0</v>
      </c>
      <c r="K552" s="87">
        <f>SUM(F552:J552)</f>
        <v>1160570.3599999996</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2511800.0399999996</v>
      </c>
      <c r="G553" s="89">
        <f t="shared" si="42"/>
        <v>18718.72</v>
      </c>
      <c r="H553" s="89">
        <f t="shared" si="42"/>
        <v>119320</v>
      </c>
      <c r="I553" s="89">
        <f t="shared" si="42"/>
        <v>8714.5499999999993</v>
      </c>
      <c r="J553" s="89">
        <f t="shared" si="42"/>
        <v>500</v>
      </c>
      <c r="K553" s="89">
        <f t="shared" si="42"/>
        <v>2659053.3099999996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v>41130</v>
      </c>
      <c r="I577" s="87">
        <f t="shared" ref="I577:I588" si="47">SUM(F577:H577)</f>
        <v>41130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67700</v>
      </c>
      <c r="G579" s="18"/>
      <c r="H579" s="18"/>
      <c r="I579" s="87">
        <f t="shared" si="47"/>
        <v>67700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27499</v>
      </c>
      <c r="G581" s="18"/>
      <c r="H581" s="18"/>
      <c r="I581" s="87">
        <f t="shared" si="47"/>
        <v>27499</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v>133467.63</v>
      </c>
      <c r="I586" s="87">
        <f t="shared" si="47"/>
        <v>133467.63</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c r="I592" s="18"/>
      <c r="J592" s="18">
        <v>48798.98</v>
      </c>
      <c r="K592" s="104">
        <f t="shared" ref="K592:K598" si="48">SUM(H592:J592)</f>
        <v>48798.98</v>
      </c>
      <c r="L592" s="24" t="s">
        <v>288</v>
      </c>
      <c r="M592" s="8"/>
      <c r="N592" s="265"/>
    </row>
    <row r="593" spans="1:14" s="3" customFormat="1" ht="12.2" customHeight="1" x14ac:dyDescent="0.15">
      <c r="A593" s="3" t="s">
        <v>638</v>
      </c>
      <c r="B593" s="75">
        <v>23</v>
      </c>
      <c r="C593" s="75">
        <v>2</v>
      </c>
      <c r="D593" s="2" t="s">
        <v>432</v>
      </c>
      <c r="E593" s="75"/>
      <c r="F593" s="102">
        <v>2722</v>
      </c>
      <c r="G593" s="103" t="s">
        <v>97</v>
      </c>
      <c r="H593" s="18">
        <v>500</v>
      </c>
      <c r="I593" s="18"/>
      <c r="J593" s="18"/>
      <c r="K593" s="104">
        <f t="shared" si="48"/>
        <v>500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56728.2</v>
      </c>
      <c r="K594" s="104">
        <f t="shared" si="48"/>
        <v>56728.2</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v>83190.69</v>
      </c>
      <c r="K595" s="104">
        <f t="shared" si="48"/>
        <v>83190.69</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2169.6999999999998</v>
      </c>
      <c r="I596" s="18"/>
      <c r="J596" s="18">
        <v>10919.74</v>
      </c>
      <c r="K596" s="104">
        <f t="shared" si="48"/>
        <v>13089.439999999999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4080.68</v>
      </c>
      <c r="I597" s="18"/>
      <c r="J597" s="18"/>
      <c r="K597" s="104">
        <f t="shared" si="48"/>
        <v>4080.68</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6750.3799999999992</v>
      </c>
      <c r="I599" s="108">
        <f>SUM(I592:I598)</f>
        <v>0</v>
      </c>
      <c r="J599" s="108">
        <f>SUM(J592:J598)</f>
        <v>199637.61</v>
      </c>
      <c r="K599" s="108">
        <f>SUM(K592:K598)</f>
        <v>206387.99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293863.53999999998</v>
      </c>
      <c r="I605" s="18"/>
      <c r="J605" s="18">
        <v>339893.56</v>
      </c>
      <c r="K605" s="104">
        <f>SUM(H605:J605)</f>
        <v>633757.1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293863.53999999998</v>
      </c>
      <c r="I606" s="108">
        <f>SUM(I603:I605)</f>
        <v>0</v>
      </c>
      <c r="J606" s="108">
        <f>SUM(J603:J605)</f>
        <v>339893.56</v>
      </c>
      <c r="K606" s="108">
        <f>SUM(K603:K605)</f>
        <v>633757.1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3041.65</v>
      </c>
      <c r="G612" s="18">
        <v>762.89</v>
      </c>
      <c r="H612" s="18">
        <v>456</v>
      </c>
      <c r="I612" s="18"/>
      <c r="J612" s="18"/>
      <c r="K612" s="18"/>
      <c r="L612" s="88">
        <f>SUM(F612:K612)</f>
        <v>4260.54</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v>9754</v>
      </c>
      <c r="G614" s="18">
        <v>1075.94</v>
      </c>
      <c r="H614" s="18"/>
      <c r="I614" s="18"/>
      <c r="J614" s="18"/>
      <c r="K614" s="18"/>
      <c r="L614" s="88">
        <f>SUM(F614:K614)</f>
        <v>10829.94</v>
      </c>
      <c r="M614" s="8"/>
      <c r="N614" s="265"/>
    </row>
    <row r="615" spans="1:14" s="3" customFormat="1" ht="12.2" customHeight="1" thickTop="1" x14ac:dyDescent="0.15">
      <c r="A615" s="98" t="s">
        <v>340</v>
      </c>
      <c r="B615" s="107">
        <v>23</v>
      </c>
      <c r="C615" s="107">
        <v>16</v>
      </c>
      <c r="D615" s="39" t="s">
        <v>432</v>
      </c>
      <c r="E615" s="107"/>
      <c r="F615" s="108">
        <f t="shared" ref="F615:L615" si="49">SUM(F612:F614)</f>
        <v>12795.65</v>
      </c>
      <c r="G615" s="108">
        <f t="shared" si="49"/>
        <v>1838.83</v>
      </c>
      <c r="H615" s="108">
        <f t="shared" si="49"/>
        <v>456</v>
      </c>
      <c r="I615" s="108">
        <f t="shared" si="49"/>
        <v>0</v>
      </c>
      <c r="J615" s="108">
        <f t="shared" si="49"/>
        <v>0</v>
      </c>
      <c r="K615" s="108">
        <f t="shared" si="49"/>
        <v>0</v>
      </c>
      <c r="L615" s="89">
        <f t="shared" si="49"/>
        <v>15090.48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474997.66</v>
      </c>
      <c r="H618" s="109">
        <f>SUM(F52)</f>
        <v>474997.66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609.85</v>
      </c>
      <c r="H619" s="109">
        <f>SUM(G52)</f>
        <v>609.85000000000036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192983.77</v>
      </c>
      <c r="H620" s="109">
        <f>SUM(H52)</f>
        <v>192983.77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45875</v>
      </c>
      <c r="H622" s="109">
        <f>SUM(J52)</f>
        <v>45875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463635.32</v>
      </c>
      <c r="H623" s="109">
        <f>F477</f>
        <v>463635.32000000402</v>
      </c>
      <c r="I623" s="121" t="s">
        <v>101</v>
      </c>
      <c r="J623" s="109">
        <f t="shared" ref="J623:J656" si="50">G623-H623</f>
        <v>-4.0163286030292511E-9</v>
      </c>
      <c r="K623" s="109"/>
      <c r="L623" s="109"/>
      <c r="M623" s="8"/>
    </row>
    <row r="624" spans="1:14" s="3" customFormat="1" ht="12.2" customHeight="1" x14ac:dyDescent="0.15">
      <c r="A624" s="97"/>
      <c r="B624" s="105"/>
      <c r="C624" s="119"/>
      <c r="D624" s="119"/>
      <c r="E624" s="119"/>
      <c r="F624" s="119" t="s">
        <v>866</v>
      </c>
      <c r="G624" s="109">
        <f>G51</f>
        <v>9134.93</v>
      </c>
      <c r="H624" s="109">
        <f>G477</f>
        <v>9134.9299999999348</v>
      </c>
      <c r="I624" s="121" t="s">
        <v>102</v>
      </c>
      <c r="J624" s="109">
        <f t="shared" si="50"/>
        <v>6.5483618527650833E-11</v>
      </c>
      <c r="K624" s="109"/>
      <c r="L624" s="109"/>
      <c r="M624" s="8"/>
    </row>
    <row r="625" spans="1:13" s="3" customFormat="1" ht="12.2" customHeight="1" x14ac:dyDescent="0.15">
      <c r="A625" s="97"/>
      <c r="B625" s="105"/>
      <c r="C625" s="105"/>
      <c r="D625" s="105"/>
      <c r="E625" s="105"/>
      <c r="F625" s="120" t="s">
        <v>867</v>
      </c>
      <c r="G625" s="109">
        <f>H51</f>
        <v>217507.65</v>
      </c>
      <c r="H625" s="109">
        <f>H477</f>
        <v>217507.65000000002</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25284.880000000001</v>
      </c>
      <c r="H626" s="109">
        <f>I477</f>
        <v>25284.880000000063</v>
      </c>
      <c r="I626" s="121" t="s">
        <v>104</v>
      </c>
      <c r="J626" s="109">
        <f t="shared" si="50"/>
        <v>-6.184563972055912E-11</v>
      </c>
      <c r="K626" s="109"/>
      <c r="L626" s="109"/>
      <c r="M626" s="8"/>
    </row>
    <row r="627" spans="1:13" s="3" customFormat="1" ht="12.2" customHeight="1" x14ac:dyDescent="0.15">
      <c r="A627" s="22"/>
      <c r="B627" s="105"/>
      <c r="C627" s="105"/>
      <c r="D627" s="105"/>
      <c r="E627" s="105"/>
      <c r="F627" s="120" t="s">
        <v>869</v>
      </c>
      <c r="G627" s="109">
        <f>J51</f>
        <v>45875</v>
      </c>
      <c r="H627" s="109">
        <f>J477</f>
        <v>45875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27146920.199999999</v>
      </c>
      <c r="H628" s="104">
        <f>SUM(F469)</f>
        <v>27146920.199999999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800579.28000000014</v>
      </c>
      <c r="H629" s="104">
        <f>SUM(G469)</f>
        <v>800579.28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646733</v>
      </c>
      <c r="H630" s="104">
        <f>SUM(H469)</f>
        <v>646733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441957.56</v>
      </c>
      <c r="H631" s="104">
        <f>SUM(I469)</f>
        <v>441957.56</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2762</v>
      </c>
      <c r="H632" s="104">
        <f>SUM(J469)</f>
        <v>2762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27690013.879999999</v>
      </c>
      <c r="H633" s="104">
        <f>SUM(F473)</f>
        <v>27690013.879999999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698819.16</v>
      </c>
      <c r="H634" s="104">
        <f>SUM(H473)</f>
        <v>698819.16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143287.82999999999</v>
      </c>
      <c r="H635" s="104">
        <f>I370</f>
        <v>143287.83000000002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791444.41999999993</v>
      </c>
      <c r="H636" s="104">
        <f>SUM(G473)</f>
        <v>791444.42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449463.29000000004</v>
      </c>
      <c r="H637" s="104">
        <f>SUM(I473)</f>
        <v>449463.29</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2762</v>
      </c>
      <c r="H638" s="164">
        <f>SUM(J469)</f>
        <v>2762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45875</v>
      </c>
      <c r="H641" s="104">
        <f>SUM(G462)</f>
        <v>45875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45875</v>
      </c>
      <c r="H643" s="104">
        <f>SUM(I462)</f>
        <v>45875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2762</v>
      </c>
      <c r="H645" s="104">
        <f>H409</f>
        <v>2762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2762</v>
      </c>
      <c r="H647" s="104">
        <f>L409</f>
        <v>2762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206387.99</v>
      </c>
      <c r="H648" s="104">
        <f>L209+L227+L245</f>
        <v>206387.99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633757.1</v>
      </c>
      <c r="H649" s="104">
        <f>(J258+J339)-(J256+J337)</f>
        <v>633757.1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6750.38</v>
      </c>
      <c r="H650" s="104">
        <f>H599</f>
        <v>6750.3799999999992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199637.61</v>
      </c>
      <c r="H652" s="104">
        <f>J599</f>
        <v>199637.61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67318.3</v>
      </c>
      <c r="H653" s="104">
        <f>K264+K346</f>
        <v>67318.3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9234488.0500000007</v>
      </c>
      <c r="G661" s="19">
        <f>(L230+L310+L360)</f>
        <v>0</v>
      </c>
      <c r="H661" s="19">
        <f>(L248+L329+L361)</f>
        <v>16233713.069999998</v>
      </c>
      <c r="I661" s="19">
        <f>SUM(F661:H661)</f>
        <v>25468201.119999997</v>
      </c>
      <c r="J661" s="13"/>
      <c r="K661" s="13"/>
      <c r="L661" s="13"/>
      <c r="M661" s="9"/>
    </row>
    <row r="662" spans="1:13" s="3" customFormat="1" ht="12.2" customHeight="1" x14ac:dyDescent="0.2">
      <c r="A662" s="1" t="s">
        <v>127</v>
      </c>
      <c r="F662" s="19">
        <f>(L359/IF(SUM(L359:L361)=0,1,SUM(L359:L361))*(SUM(G97:G110)))</f>
        <v>223843.0258435907</v>
      </c>
      <c r="G662" s="19">
        <f>(L360/IF(SUM(L359:L361)=0,1,SUM(L359:L361))*(SUM(G97:G110)))</f>
        <v>0</v>
      </c>
      <c r="H662" s="19">
        <f>(L361/IF(SUM(L359:L361)=0,1,SUM(L359:L361))*(SUM(G97:G110)))</f>
        <v>509417.95415640943</v>
      </c>
      <c r="I662" s="19">
        <f>SUM(F662:H662)</f>
        <v>733260.9800000001</v>
      </c>
      <c r="J662"/>
      <c r="K662" s="13"/>
      <c r="L662" s="13"/>
      <c r="M662" s="8"/>
    </row>
    <row r="663" spans="1:13" s="3" customFormat="1" ht="12.2" customHeight="1" x14ac:dyDescent="0.2">
      <c r="A663" s="1" t="s">
        <v>128</v>
      </c>
      <c r="F663" s="19">
        <f>(L209+L288)-(J209+J288)</f>
        <v>6750.38</v>
      </c>
      <c r="G663" s="19">
        <f>(L227+L307)-(J227+J307)</f>
        <v>0</v>
      </c>
      <c r="H663" s="19">
        <f>(L245+L326)-(J245+J326)</f>
        <v>199637.61</v>
      </c>
      <c r="I663" s="19">
        <f>SUM(F663:H663)</f>
        <v>206387.99</v>
      </c>
      <c r="J663"/>
      <c r="K663" s="13"/>
      <c r="L663" s="13"/>
      <c r="M663" s="9"/>
    </row>
    <row r="664" spans="1:13" s="3" customFormat="1" ht="12.2" customHeight="1" x14ac:dyDescent="0.15">
      <c r="A664" s="197" t="s">
        <v>129</v>
      </c>
      <c r="B664" s="169"/>
      <c r="C664" s="169"/>
      <c r="D664" s="169"/>
      <c r="E664" s="169"/>
      <c r="F664" s="198">
        <f>SUM(F576:F588)+SUM(H603:H605)+SUM(L612)</f>
        <v>393323.07999999996</v>
      </c>
      <c r="G664" s="198">
        <f>SUM(G576:G588)+SUM(I603:I605)+L613</f>
        <v>0</v>
      </c>
      <c r="H664" s="198">
        <f>SUM(H576:H588)+SUM(J603:J605)+L614</f>
        <v>525321.13</v>
      </c>
      <c r="I664" s="19">
        <f>SUM(F664:H664)</f>
        <v>918644.21</v>
      </c>
      <c r="J664" s="13"/>
      <c r="K664" s="13"/>
      <c r="L664" s="13"/>
      <c r="M664" s="9"/>
    </row>
    <row r="665" spans="1:13" s="3" customFormat="1" ht="12.2" customHeight="1" x14ac:dyDescent="0.15">
      <c r="A665" s="1" t="s">
        <v>130</v>
      </c>
      <c r="F665" s="19">
        <f>F661-SUM(F662:F664)</f>
        <v>8610571.5641564094</v>
      </c>
      <c r="G665" s="19">
        <f>G661-SUM(G662:G664)</f>
        <v>0</v>
      </c>
      <c r="H665" s="19">
        <f>H661-SUM(H662:H664)</f>
        <v>14999336.375843588</v>
      </c>
      <c r="I665" s="19">
        <f>I661-SUM(I662:I664)</f>
        <v>23609907.939999998</v>
      </c>
      <c r="J665" s="13"/>
      <c r="K665" s="13"/>
      <c r="L665" s="13"/>
      <c r="M665" s="8"/>
    </row>
    <row r="666" spans="1:13" s="3" customFormat="1" ht="12.2" customHeight="1" x14ac:dyDescent="0.2">
      <c r="A666" s="1" t="s">
        <v>131</v>
      </c>
      <c r="F666" s="245">
        <v>348.15</v>
      </c>
      <c r="G666" s="246"/>
      <c r="H666" s="246">
        <v>682.2</v>
      </c>
      <c r="I666" s="19">
        <f>SUM(F666:H666)</f>
        <v>1030.3499999999999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24732.36</v>
      </c>
      <c r="G668" s="19" t="e">
        <f>ROUND(G665/G666,2)</f>
        <v>#DIV/0!</v>
      </c>
      <c r="H668" s="19">
        <f>ROUND(H665/H666,2)</f>
        <v>21986.71</v>
      </c>
      <c r="I668" s="19">
        <f>ROUND(I665/I666,2)</f>
        <v>22914.45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-3.11</v>
      </c>
      <c r="I671" s="19">
        <f>SUM(F671:H671)</f>
        <v>-3.11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24732.36</v>
      </c>
      <c r="G673" s="19" t="e">
        <f>ROUND((G665+G670)/(G666+G671),2)</f>
        <v>#DIV/0!</v>
      </c>
      <c r="H673" s="19">
        <f>ROUND((H665+H670)/(H666+H671),2)</f>
        <v>22087.41</v>
      </c>
      <c r="I673" s="19">
        <f>ROUND((I665+I670)/(I666+I671),2)</f>
        <v>22983.83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5" bottom="0.5" header="0.2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26857.9</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26857.9</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1813</v>
      </c>
      <c r="C3" s="315"/>
      <c r="D3" s="315"/>
      <c r="E3" s="315"/>
      <c r="F3" s="315"/>
      <c r="G3" s="315"/>
      <c r="H3" s="315"/>
      <c r="I3" t="s">
        <v>1613</v>
      </c>
    </row>
    <row r="4" spans="1:9" x14ac:dyDescent="0.2">
      <c r="I4" t="s">
        <v>1614</v>
      </c>
    </row>
    <row r="5" spans="1:9" ht="15.75" x14ac:dyDescent="0.25">
      <c r="A5" s="311" t="s">
        <v>908</v>
      </c>
      <c r="B5" s="374" t="str">
        <f>'DOE25'!A2</f>
        <v>Dresden</v>
      </c>
      <c r="C5" s="375"/>
      <c r="D5" s="375"/>
      <c r="E5" s="375"/>
      <c r="F5" s="375"/>
    </row>
    <row r="8" spans="1:9" ht="18" x14ac:dyDescent="0.25">
      <c r="A8" s="312" t="s">
        <v>1568</v>
      </c>
      <c r="F8" s="319" t="s">
        <v>1586</v>
      </c>
    </row>
    <row r="9" spans="1:9" ht="15" x14ac:dyDescent="0.2">
      <c r="A9" s="310" t="s">
        <v>1569</v>
      </c>
      <c r="B9" s="313">
        <f>'DOE25'!G97</f>
        <v>733260.9800000001</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733260.9800000001</v>
      </c>
    </row>
    <row r="16" spans="1:9" ht="18" x14ac:dyDescent="0.25">
      <c r="A16" s="312" t="s">
        <v>786</v>
      </c>
      <c r="F16" s="319" t="s">
        <v>1587</v>
      </c>
    </row>
    <row r="17" spans="1:6" ht="15" x14ac:dyDescent="0.2">
      <c r="A17" s="310" t="s">
        <v>1574</v>
      </c>
      <c r="B17" s="313">
        <f>'DOE25'!L363-'DOE25'!L362</f>
        <v>791444.41999999993</v>
      </c>
      <c r="F17" s="310" t="s">
        <v>1588</v>
      </c>
    </row>
    <row r="18" spans="1:6" ht="15" x14ac:dyDescent="0.2">
      <c r="A18" s="310" t="s">
        <v>1575</v>
      </c>
      <c r="B18" s="323"/>
      <c r="F18" s="319" t="s">
        <v>1612</v>
      </c>
    </row>
    <row r="19" spans="1:6" ht="18" x14ac:dyDescent="0.25">
      <c r="A19" s="312" t="s">
        <v>725</v>
      </c>
      <c r="B19" s="314">
        <f>SUM(B17:B18)</f>
        <v>791444.41999999993</v>
      </c>
    </row>
    <row r="21" spans="1:6" ht="18.75" thickBot="1" x14ac:dyDescent="0.3">
      <c r="A21" s="312" t="s">
        <v>1576</v>
      </c>
    </row>
    <row r="22" spans="1:6" ht="18.75" thickTop="1" x14ac:dyDescent="0.25">
      <c r="A22" s="312" t="s">
        <v>1577</v>
      </c>
      <c r="B22" s="318">
        <f>B14-B19</f>
        <v>-58183.439999999828</v>
      </c>
      <c r="F22" s="310" t="s">
        <v>1589</v>
      </c>
    </row>
    <row r="26" spans="1:6" ht="18" x14ac:dyDescent="0.25">
      <c r="A26" s="312" t="s">
        <v>186</v>
      </c>
    </row>
    <row r="27" spans="1:6" ht="15" x14ac:dyDescent="0.2">
      <c r="A27" s="310" t="s">
        <v>1578</v>
      </c>
      <c r="B27" s="313">
        <f>'DOE25'!G180</f>
        <v>67318.3</v>
      </c>
      <c r="F27" s="310" t="s">
        <v>1590</v>
      </c>
    </row>
    <row r="28" spans="1:6" ht="15" x14ac:dyDescent="0.2">
      <c r="A28" s="310" t="s">
        <v>1580</v>
      </c>
      <c r="B28" s="313">
        <f>'DOE25'!L362</f>
        <v>0</v>
      </c>
      <c r="F28" s="310" t="s">
        <v>1591</v>
      </c>
    </row>
    <row r="31" spans="1:6" ht="15" x14ac:dyDescent="0.2">
      <c r="A31" s="310" t="s">
        <v>1634</v>
      </c>
      <c r="B31" s="313">
        <f>'DOE25'!G466</f>
        <v>7.0000000000000007E-2</v>
      </c>
      <c r="F31" s="310" t="s">
        <v>1592</v>
      </c>
    </row>
    <row r="33" spans="1:6" ht="15" x14ac:dyDescent="0.2">
      <c r="A33" s="310" t="s">
        <v>1635</v>
      </c>
      <c r="B33" s="313">
        <f>'DOE25'!G477</f>
        <v>9134.9299999999348</v>
      </c>
      <c r="F33" s="310" t="s">
        <v>1593</v>
      </c>
    </row>
    <row r="36" spans="1:6" ht="15" x14ac:dyDescent="0.2">
      <c r="A36" s="310" t="s">
        <v>1579</v>
      </c>
      <c r="B36" s="324">
        <v>0</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Dresden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7958089.9999999991</v>
      </c>
      <c r="C9" s="228">
        <f>'DOE25'!G198+'DOE25'!G216+'DOE25'!G234+'DOE25'!G277+'DOE25'!G296+'DOE25'!G315</f>
        <v>2898330.6599999997</v>
      </c>
    </row>
    <row r="10" spans="1:3" x14ac:dyDescent="0.2">
      <c r="A10" t="s">
        <v>775</v>
      </c>
      <c r="B10" s="239">
        <v>7435682.9900000002</v>
      </c>
      <c r="C10" s="239">
        <v>2668499.2599999998</v>
      </c>
    </row>
    <row r="11" spans="1:3" x14ac:dyDescent="0.2">
      <c r="A11" t="s">
        <v>776</v>
      </c>
      <c r="B11" s="239">
        <v>298875.24</v>
      </c>
      <c r="C11" s="239">
        <v>159128.49</v>
      </c>
    </row>
    <row r="12" spans="1:3" x14ac:dyDescent="0.2">
      <c r="A12" t="s">
        <v>777</v>
      </c>
      <c r="B12" s="239">
        <v>223531.77</v>
      </c>
      <c r="C12" s="239">
        <v>70702.91</v>
      </c>
    </row>
    <row r="13" spans="1:3" x14ac:dyDescent="0.2">
      <c r="A13" t="str">
        <f>IF(B9=B13,IF(C9=C13,"Check Total OK","Check Total Error"),"Check Total Error")</f>
        <v>Check Total OK</v>
      </c>
      <c r="B13" s="230">
        <f>SUM(B10:B12)</f>
        <v>7958090</v>
      </c>
      <c r="C13" s="230">
        <f>SUM(C10:C12)</f>
        <v>2898330.66</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2059715.63</v>
      </c>
      <c r="C18" s="228">
        <f>'DOE25'!G199+'DOE25'!G217+'DOE25'!G235+'DOE25'!G278+'DOE25'!G297+'DOE25'!G316</f>
        <v>1176157.73</v>
      </c>
    </row>
    <row r="19" spans="1:3" x14ac:dyDescent="0.2">
      <c r="A19" t="s">
        <v>775</v>
      </c>
      <c r="B19" s="239">
        <v>1411784.63</v>
      </c>
      <c r="C19" s="239">
        <v>712300.58</v>
      </c>
    </row>
    <row r="20" spans="1:3" x14ac:dyDescent="0.2">
      <c r="A20" t="s">
        <v>776</v>
      </c>
      <c r="B20" s="239">
        <v>647931</v>
      </c>
      <c r="C20" s="239">
        <v>463857.15</v>
      </c>
    </row>
    <row r="21" spans="1:3" x14ac:dyDescent="0.2">
      <c r="A21" t="s">
        <v>777</v>
      </c>
      <c r="B21" s="239">
        <v>0</v>
      </c>
      <c r="C21" s="239">
        <v>0</v>
      </c>
    </row>
    <row r="22" spans="1:3" x14ac:dyDescent="0.2">
      <c r="A22" t="str">
        <f>IF(B18=B22,IF(C18=C22,"Check Total OK","Check Total Error"),"Check Total Error")</f>
        <v>Check Total OK</v>
      </c>
      <c r="B22" s="230">
        <f>SUM(B19:B21)</f>
        <v>2059715.63</v>
      </c>
      <c r="C22" s="230">
        <f>SUM(C19:C21)</f>
        <v>1176157.73</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534819.05000000005</v>
      </c>
      <c r="C36" s="234">
        <f>'DOE25'!G201+'DOE25'!G219+'DOE25'!G237+'DOE25'!G280+'DOE25'!G299+'DOE25'!G318</f>
        <v>137376.91</v>
      </c>
    </row>
    <row r="37" spans="1:3" x14ac:dyDescent="0.2">
      <c r="A37" t="s">
        <v>775</v>
      </c>
      <c r="B37" s="239"/>
      <c r="C37" s="239"/>
    </row>
    <row r="38" spans="1:3" x14ac:dyDescent="0.2">
      <c r="A38" t="s">
        <v>776</v>
      </c>
      <c r="B38" s="239"/>
      <c r="C38" s="239"/>
    </row>
    <row r="39" spans="1:3" x14ac:dyDescent="0.2">
      <c r="A39" t="s">
        <v>777</v>
      </c>
      <c r="B39" s="239">
        <v>534819.05000000005</v>
      </c>
      <c r="C39" s="239">
        <v>137376.91</v>
      </c>
    </row>
    <row r="40" spans="1:3" x14ac:dyDescent="0.2">
      <c r="A40" t="str">
        <f>IF(B36=B40,IF(C36=C40,"Check Total OK","Check Total Error"),"Check Total Error")</f>
        <v>Check Total OK</v>
      </c>
      <c r="B40" s="230">
        <f>SUM(B37:B39)</f>
        <v>534819.05000000005</v>
      </c>
      <c r="C40" s="230">
        <f>SUM(C37:C39)</f>
        <v>137376.91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13"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Dresden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15785153.260000002</v>
      </c>
      <c r="D5" s="20">
        <f>SUM('DOE25'!L198:L201)+SUM('DOE25'!L216:L219)+SUM('DOE25'!L234:L237)-F5-G5-H5</f>
        <v>15358546.880000003</v>
      </c>
      <c r="E5" s="242"/>
      <c r="F5" s="243"/>
      <c r="G5" s="53">
        <f>SUM('DOE25'!J198:J201)+SUM('DOE25'!J216:J219)+SUM('DOE25'!J234:J237)</f>
        <v>412199.18</v>
      </c>
      <c r="H5" s="53">
        <f>SUM('DOE25'!K198:K201)+SUM('DOE25'!K216:K219)+SUM('DOE25'!K234:K237)</f>
        <v>14407.2</v>
      </c>
      <c r="I5" s="255"/>
    </row>
    <row r="6" spans="1:9" x14ac:dyDescent="0.2">
      <c r="A6" s="32">
        <v>2100</v>
      </c>
      <c r="B6" t="s">
        <v>796</v>
      </c>
      <c r="C6" s="274">
        <f t="shared" si="0"/>
        <v>1545253.11</v>
      </c>
      <c r="D6" s="20">
        <f>'DOE25'!L203+'DOE25'!L221+'DOE25'!L239-F6-G6-H6</f>
        <v>1543283.11</v>
      </c>
      <c r="E6" s="242"/>
      <c r="F6" s="243"/>
      <c r="G6" s="53">
        <f>'DOE25'!J203+'DOE25'!J221+'DOE25'!J239</f>
        <v>1795</v>
      </c>
      <c r="H6" s="53">
        <f>'DOE25'!K203+'DOE25'!K221+'DOE25'!K239</f>
        <v>175</v>
      </c>
      <c r="I6" s="255"/>
    </row>
    <row r="7" spans="1:9" x14ac:dyDescent="0.2">
      <c r="A7" s="32">
        <v>2200</v>
      </c>
      <c r="B7" t="s">
        <v>821</v>
      </c>
      <c r="C7" s="274">
        <f t="shared" si="0"/>
        <v>713306.71</v>
      </c>
      <c r="D7" s="20">
        <f>'DOE25'!L204+'DOE25'!L222+'DOE25'!L240-F7-G7-H7</f>
        <v>676296.92999999993</v>
      </c>
      <c r="E7" s="242"/>
      <c r="F7" s="243"/>
      <c r="G7" s="53">
        <f>'DOE25'!J204+'DOE25'!J222+'DOE25'!J240</f>
        <v>36218.78</v>
      </c>
      <c r="H7" s="53">
        <f>'DOE25'!K204+'DOE25'!K222+'DOE25'!K240</f>
        <v>791</v>
      </c>
      <c r="I7" s="255"/>
    </row>
    <row r="8" spans="1:9" x14ac:dyDescent="0.2">
      <c r="A8" s="32">
        <v>2300</v>
      </c>
      <c r="B8" t="s">
        <v>797</v>
      </c>
      <c r="C8" s="274">
        <f t="shared" si="0"/>
        <v>1248433.43</v>
      </c>
      <c r="D8" s="242"/>
      <c r="E8" s="20">
        <f>'DOE25'!L205+'DOE25'!L223+'DOE25'!L241-F8-G8-H8-D9-D11</f>
        <v>1240215.3</v>
      </c>
      <c r="F8" s="243"/>
      <c r="G8" s="53">
        <f>'DOE25'!J205+'DOE25'!J223+'DOE25'!J241</f>
        <v>0</v>
      </c>
      <c r="H8" s="53">
        <f>'DOE25'!K205+'DOE25'!K223+'DOE25'!K241</f>
        <v>8218.1299999999992</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2278280.7000000002</v>
      </c>
      <c r="D12" s="20">
        <f>'DOE25'!L206+'DOE25'!L224+'DOE25'!L242-F12-G12-H12</f>
        <v>2271588.7200000002</v>
      </c>
      <c r="E12" s="242"/>
      <c r="F12" s="243"/>
      <c r="G12" s="53">
        <f>'DOE25'!J206+'DOE25'!J224+'DOE25'!J242</f>
        <v>1101.98</v>
      </c>
      <c r="H12" s="53">
        <f>'DOE25'!K206+'DOE25'!K224+'DOE25'!K242</f>
        <v>5590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2201122.34</v>
      </c>
      <c r="D14" s="20">
        <f>'DOE25'!L208+'DOE25'!L226+'DOE25'!L244-F14-G14-H14</f>
        <v>2191605.92</v>
      </c>
      <c r="E14" s="242"/>
      <c r="F14" s="243"/>
      <c r="G14" s="53">
        <f>'DOE25'!J208+'DOE25'!J226+'DOE25'!J244</f>
        <v>9516.42</v>
      </c>
      <c r="H14" s="53">
        <f>'DOE25'!K208+'DOE25'!K226+'DOE25'!K244</f>
        <v>0</v>
      </c>
      <c r="I14" s="255"/>
    </row>
    <row r="15" spans="1:9" x14ac:dyDescent="0.2">
      <c r="A15" s="32">
        <v>2700</v>
      </c>
      <c r="B15" t="s">
        <v>799</v>
      </c>
      <c r="C15" s="274">
        <f t="shared" si="0"/>
        <v>206387.99</v>
      </c>
      <c r="D15" s="20">
        <f>'DOE25'!L209+'DOE25'!L227+'DOE25'!L245-F15-G15-H15</f>
        <v>206387.99</v>
      </c>
      <c r="E15" s="242"/>
      <c r="F15" s="243"/>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70694.460000000006</v>
      </c>
      <c r="D22" s="242"/>
      <c r="E22" s="242"/>
      <c r="F22" s="242"/>
      <c r="G22" s="53">
        <f>'DOE25'!L256+'DOE25'!L337</f>
        <v>70694.460000000006</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3574063.58</v>
      </c>
      <c r="D25" s="242"/>
      <c r="E25" s="242"/>
      <c r="F25" s="254"/>
      <c r="G25" s="252"/>
      <c r="H25" s="252"/>
      <c r="I25" s="253">
        <f>'DOE25'!L261+'DOE25'!L262+'DOE25'!L342+'DOE25'!L343</f>
        <v>3574063.58</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659658.15999999992</v>
      </c>
      <c r="D29" s="282">
        <f>'DOE25'!L359+'DOE25'!L360+'DOE25'!L361-'DOE25'!I368-F29-G29-H29</f>
        <v>658731.18999999994</v>
      </c>
      <c r="E29" s="242"/>
      <c r="F29" s="243"/>
      <c r="G29" s="53">
        <f>'DOE25'!J359+'DOE25'!J360+'DOE25'!J361</f>
        <v>926.97</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698819.16</v>
      </c>
      <c r="D31" s="20">
        <f>'DOE25'!L291+'DOE25'!L310+'DOE25'!L329+'DOE25'!L334+'DOE25'!L335+'DOE25'!L336-F31-G31-H31</f>
        <v>525893.42000000004</v>
      </c>
      <c r="E31" s="242"/>
      <c r="F31" s="243"/>
      <c r="G31" s="53">
        <f>'DOE25'!J291+'DOE25'!J310+'DOE25'!J329+'DOE25'!J334+'DOE25'!J335+'DOE25'!J336</f>
        <v>172925.74000000002</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23432334.160000004</v>
      </c>
      <c r="E33" s="244">
        <f t="shared" si="1"/>
        <v>1240215.3</v>
      </c>
      <c r="F33" s="244">
        <f t="shared" si="1"/>
        <v>0</v>
      </c>
      <c r="G33" s="244">
        <f t="shared" si="1"/>
        <v>705378.52999999991</v>
      </c>
      <c r="H33" s="244">
        <f t="shared" si="1"/>
        <v>29181.33</v>
      </c>
      <c r="I33" s="244">
        <f t="shared" si="1"/>
        <v>3574063.58</v>
      </c>
    </row>
    <row r="35" spans="1:9" ht="12" thickBot="1" x14ac:dyDescent="0.25">
      <c r="B35" s="250" t="s">
        <v>831</v>
      </c>
      <c r="D35" s="251">
        <f>E33</f>
        <v>1240215.3</v>
      </c>
      <c r="E35" s="247"/>
      <c r="F35" s="328" t="s">
        <v>1617</v>
      </c>
      <c r="G35" s="329"/>
      <c r="H35" s="329"/>
      <c r="I35" s="329"/>
    </row>
    <row r="36" spans="1:9" ht="12" thickTop="1" x14ac:dyDescent="0.2">
      <c r="B36" t="s">
        <v>810</v>
      </c>
      <c r="D36" s="20">
        <f>D33</f>
        <v>23432334.160000004</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39" sqref="E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Dresden</v>
      </c>
      <c r="B2" s="126">
        <f>'DOE25'!B2</f>
        <v>142</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8992883.3300000001</v>
      </c>
      <c r="G4" s="299">
        <f>'DOE25'!L212+'DOE25'!L291</f>
        <v>8992883.3300000001</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95199</v>
      </c>
      <c r="E5" s="290"/>
      <c r="F5" s="303">
        <f>D5+E5</f>
        <v>95199</v>
      </c>
      <c r="G5" s="293"/>
      <c r="H5" s="293"/>
      <c r="I5" s="384"/>
      <c r="N5"/>
    </row>
    <row r="6" spans="1:18" x14ac:dyDescent="0.2">
      <c r="A6" s="126" t="str" cm="1">
        <f t="array" ref="A6">IFERROR(INDEX('School Tables'!$A$4:$G$325,'School Tables'!$J4,3),"")</f>
        <v>Frances C. Richmond School</v>
      </c>
      <c r="B6" s="300">
        <f>IFERROR(VLOOKUP(A6,'School Tables'!$C$3:$D$365,2,FALSE),"")</f>
        <v>20825</v>
      </c>
      <c r="C6" s="293" t="str">
        <f>IFERROR(INDEX('School Tables'!$B$3:$B$365,MATCH('School Level Expenditures'!B6,'School Tables'!$D$3:$D$365,0)),"")</f>
        <v>Dresden</v>
      </c>
      <c r="D6" s="290">
        <v>8488105.2400000002</v>
      </c>
      <c r="E6" s="290">
        <v>409579.09</v>
      </c>
      <c r="F6" s="303">
        <f t="shared" ref="F6:F20" si="0">D6+E6</f>
        <v>8897684.3300000001</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8583304.2400000002</v>
      </c>
      <c r="E21" s="338">
        <f>SUM(E5:E20)</f>
        <v>409579.09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15683873.370000001</v>
      </c>
      <c r="G36" s="299">
        <f>'DOE25'!L248+'DOE25'!L329</f>
        <v>15683873.369999999</v>
      </c>
      <c r="H36" s="340">
        <f>F36-G36</f>
        <v>0</v>
      </c>
      <c r="I36" s="383" t="str">
        <f>IF(H36=0,"","ISSUES!! Please review page 9 and 13 totals in comparison with total on this page")</f>
        <v/>
      </c>
      <c r="N36"/>
    </row>
    <row r="37" spans="1:14" x14ac:dyDescent="0.2">
      <c r="A37" s="126" t="s">
        <v>1548</v>
      </c>
      <c r="B37" s="300">
        <v>99999</v>
      </c>
      <c r="C37" s="293" t="s">
        <v>1548</v>
      </c>
      <c r="D37" s="290">
        <v>174597.63</v>
      </c>
      <c r="E37" s="290"/>
      <c r="F37" s="303">
        <f t="shared" ref="F37:F42" si="2">D37+E37</f>
        <v>174597.63</v>
      </c>
      <c r="G37" s="293"/>
      <c r="H37" s="293"/>
      <c r="I37" s="384"/>
      <c r="N37"/>
    </row>
    <row r="38" spans="1:14" x14ac:dyDescent="0.2">
      <c r="A38" s="126" t="str" cm="1">
        <f t="array" ref="A38">IFERROR(INDEX('School Tables'!$W$4:$AC$100,'School Tables'!$AF4,3),"")</f>
        <v>Hanover High School</v>
      </c>
      <c r="B38" s="300">
        <f>IFERROR(VLOOKUP(A38,'School Tables'!$Y$4:$Z$100,2,FALSE),"")</f>
        <v>20820</v>
      </c>
      <c r="C38" s="293" t="str">
        <f>IFERROR(INDEX('School Tables'!$X$4:$X$100,MATCH('School Level Expenditures'!A38,'School Tables'!$Y$4:$Y$100,0)),"")</f>
        <v>Dresden</v>
      </c>
      <c r="D38" s="290">
        <v>15220035.67</v>
      </c>
      <c r="E38" s="290">
        <v>289240.07</v>
      </c>
      <c r="F38" s="303">
        <f t="shared" si="2"/>
        <v>15509275.74</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15394633.300000001</v>
      </c>
      <c r="E43" s="339">
        <f>SUM(E37:E42)</f>
        <v>289240.07</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5"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Dresden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-432891.76</v>
      </c>
      <c r="D8" s="95">
        <f>'DOE25'!G9</f>
        <v>0</v>
      </c>
      <c r="E8" s="95">
        <f>'DOE25'!H9</f>
        <v>0</v>
      </c>
      <c r="F8" s="95">
        <f>'DOE25'!I9</f>
        <v>0</v>
      </c>
      <c r="G8" s="95">
        <f>'DOE25'!J9</f>
        <v>45875</v>
      </c>
      <c r="H8" s="124">
        <f>SUM(C8:G8)</f>
        <v>-387016.76</v>
      </c>
      <c r="I8" s="124"/>
    </row>
    <row r="9" spans="1:9" x14ac:dyDescent="0.2">
      <c r="A9" s="1" t="s">
        <v>140</v>
      </c>
      <c r="B9" s="6">
        <v>110</v>
      </c>
      <c r="C9" s="95">
        <f>'DOE25'!F10</f>
        <v>838521.21</v>
      </c>
      <c r="D9" s="95">
        <f>'DOE25'!G10</f>
        <v>0</v>
      </c>
      <c r="E9" s="95">
        <f>'DOE25'!H10</f>
        <v>0</v>
      </c>
      <c r="F9" s="95">
        <f>'DOE25'!I10</f>
        <v>0</v>
      </c>
      <c r="G9" s="95">
        <f>'DOE25'!J10</f>
        <v>0</v>
      </c>
      <c r="H9" s="124">
        <f t="shared" ref="H9:H18" si="0">SUM(C9:G9)</f>
        <v>838521.21</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38837.19</v>
      </c>
      <c r="D12" s="95">
        <f>'DOE25'!G13</f>
        <v>0</v>
      </c>
      <c r="E12" s="95">
        <f>'DOE25'!H13</f>
        <v>192983.77</v>
      </c>
      <c r="F12" s="95">
        <f>'DOE25'!I13</f>
        <v>0</v>
      </c>
      <c r="G12" s="95">
        <f>'DOE25'!J13</f>
        <v>0</v>
      </c>
      <c r="H12" s="124">
        <f t="shared" si="0"/>
        <v>231820.96</v>
      </c>
      <c r="I12" s="124"/>
    </row>
    <row r="13" spans="1:9" x14ac:dyDescent="0.2">
      <c r="A13" s="1" t="s">
        <v>144</v>
      </c>
      <c r="B13" s="6">
        <v>150</v>
      </c>
      <c r="C13" s="95">
        <f>'DOE25'!F14</f>
        <v>4519.45</v>
      </c>
      <c r="D13" s="95">
        <f>'DOE25'!G14</f>
        <v>609.85</v>
      </c>
      <c r="E13" s="95">
        <f>'DOE25'!H14</f>
        <v>0</v>
      </c>
      <c r="F13" s="95">
        <f>'DOE25'!I14</f>
        <v>0</v>
      </c>
      <c r="G13" s="95">
        <f>'DOE25'!J14</f>
        <v>0</v>
      </c>
      <c r="H13" s="124">
        <f t="shared" si="0"/>
        <v>5129.3</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26011.57</v>
      </c>
      <c r="D16" s="95">
        <f>'DOE25'!G17</f>
        <v>0</v>
      </c>
      <c r="E16" s="95">
        <f>'DOE25'!H17</f>
        <v>0</v>
      </c>
      <c r="F16" s="95">
        <f>'DOE25'!I17</f>
        <v>0</v>
      </c>
      <c r="G16" s="95">
        <f>'DOE25'!J17</f>
        <v>0</v>
      </c>
      <c r="H16" s="124">
        <f t="shared" si="0"/>
        <v>26011.57</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474997.66</v>
      </c>
      <c r="D18" s="41">
        <f>SUM(D8:D17)</f>
        <v>609.85</v>
      </c>
      <c r="E18" s="41">
        <f>SUM(E8:E17)</f>
        <v>192983.77</v>
      </c>
      <c r="F18" s="41">
        <f>SUM(F8:F17)</f>
        <v>0</v>
      </c>
      <c r="G18" s="41">
        <f>SUM(G8:G17)</f>
        <v>45875</v>
      </c>
      <c r="H18" s="41">
        <f t="shared" si="0"/>
        <v>714466.27999999991</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-95427.860000000015</v>
      </c>
      <c r="D21" s="95">
        <f>'DOE25'!G22</f>
        <v>-193008.2</v>
      </c>
      <c r="E21" s="95">
        <f>'DOE25'!H22</f>
        <v>-24837.88</v>
      </c>
      <c r="F21" s="95">
        <f>'DOE25'!I22</f>
        <v>-25284.880000000001</v>
      </c>
      <c r="G21" s="95">
        <f>'DOE25'!J22</f>
        <v>0</v>
      </c>
      <c r="H21" s="124">
        <f t="shared" ref="H21:H31" si="1">SUM(C21:G21)</f>
        <v>-338558.82000000007</v>
      </c>
      <c r="I21" s="124"/>
    </row>
    <row r="22" spans="1:9" x14ac:dyDescent="0.2">
      <c r="A22" s="1" t="s">
        <v>151</v>
      </c>
      <c r="B22" s="6">
        <v>410</v>
      </c>
      <c r="C22" s="95">
        <f>'DOE25'!F23</f>
        <v>0</v>
      </c>
      <c r="D22" s="95">
        <f>'DOE25'!G23</f>
        <v>174096.2</v>
      </c>
      <c r="E22" s="95">
        <f>'DOE25'!H23</f>
        <v>0</v>
      </c>
      <c r="F22" s="95">
        <f>'DOE25'!I23</f>
        <v>0</v>
      </c>
      <c r="G22" s="95">
        <f>'DOE25'!J23</f>
        <v>0</v>
      </c>
      <c r="H22" s="124">
        <f t="shared" si="1"/>
        <v>174096.2</v>
      </c>
      <c r="I22" s="124"/>
    </row>
    <row r="23" spans="1:9" x14ac:dyDescent="0.2">
      <c r="A23" s="1" t="s">
        <v>152</v>
      </c>
      <c r="B23" s="6">
        <v>420</v>
      </c>
      <c r="C23" s="95">
        <f>'DOE25'!F24</f>
        <v>0</v>
      </c>
      <c r="D23" s="95">
        <f>'DOE25'!G24</f>
        <v>0</v>
      </c>
      <c r="E23" s="95">
        <f>'DOE25'!H24</f>
        <v>314</v>
      </c>
      <c r="F23" s="95">
        <f>'DOE25'!I24</f>
        <v>0</v>
      </c>
      <c r="G23" s="95">
        <f>'DOE25'!J24</f>
        <v>0</v>
      </c>
      <c r="H23" s="124">
        <f t="shared" si="1"/>
        <v>314</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61272.5</v>
      </c>
      <c r="D27" s="95">
        <f>'DOE25'!G28</f>
        <v>0</v>
      </c>
      <c r="E27" s="95">
        <f>'DOE25'!H28</f>
        <v>0</v>
      </c>
      <c r="F27" s="95">
        <f>'DOE25'!I28</f>
        <v>0</v>
      </c>
      <c r="G27" s="24" t="s">
        <v>288</v>
      </c>
      <c r="H27" s="124">
        <f t="shared" si="1"/>
        <v>61272.5</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-1982.3</v>
      </c>
      <c r="D29" s="95">
        <f>'DOE25'!G30</f>
        <v>10386.92</v>
      </c>
      <c r="E29" s="95">
        <f>'DOE25'!H30</f>
        <v>0</v>
      </c>
      <c r="F29" s="95">
        <f>'DOE25'!I30</f>
        <v>0</v>
      </c>
      <c r="G29" s="24" t="s">
        <v>288</v>
      </c>
      <c r="H29" s="124">
        <f t="shared" si="1"/>
        <v>8404.6200000000008</v>
      </c>
      <c r="I29" s="124"/>
    </row>
    <row r="30" spans="1:9" ht="12" thickBot="1" x14ac:dyDescent="0.25">
      <c r="A30" s="1" t="s">
        <v>159</v>
      </c>
      <c r="B30" s="71">
        <v>490</v>
      </c>
      <c r="C30" s="95">
        <f>'DOE25'!F31</f>
        <v>47500</v>
      </c>
      <c r="D30" s="95">
        <f>'DOE25'!G31</f>
        <v>0</v>
      </c>
      <c r="E30" s="95">
        <f>'DOE25'!H31</f>
        <v>0</v>
      </c>
      <c r="F30" s="95">
        <f>'DOE25'!I31</f>
        <v>0</v>
      </c>
      <c r="G30" s="95">
        <f>'DOE25'!J31</f>
        <v>0</v>
      </c>
      <c r="H30" s="124">
        <f t="shared" si="1"/>
        <v>47500</v>
      </c>
      <c r="I30" s="124"/>
    </row>
    <row r="31" spans="1:9" ht="12" thickTop="1" x14ac:dyDescent="0.2">
      <c r="A31" s="38" t="s">
        <v>160</v>
      </c>
      <c r="B31" s="2"/>
      <c r="C31" s="41">
        <f>SUM(C21:C30)</f>
        <v>11362.339999999982</v>
      </c>
      <c r="D31" s="41">
        <f>SUM(D21:D30)</f>
        <v>-8525.08</v>
      </c>
      <c r="E31" s="41">
        <f>SUM(E21:E30)</f>
        <v>-24523.88</v>
      </c>
      <c r="F31" s="41">
        <f>SUM(F21:F30)</f>
        <v>-25284.880000000001</v>
      </c>
      <c r="G31" s="41">
        <f>SUM(G21:G30)</f>
        <v>0</v>
      </c>
      <c r="H31" s="41">
        <f t="shared" si="1"/>
        <v>-46971.500000000015</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26012.06</v>
      </c>
      <c r="D35" s="95">
        <f>'DOE25'!G36</f>
        <v>0</v>
      </c>
      <c r="E35" s="95">
        <f>'DOE25'!H36</f>
        <v>0</v>
      </c>
      <c r="F35" s="95">
        <f>'DOE25'!I36</f>
        <v>0</v>
      </c>
      <c r="G35" s="24" t="s">
        <v>288</v>
      </c>
      <c r="H35" s="124">
        <f t="shared" si="2"/>
        <v>26012.06</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9134.93</v>
      </c>
      <c r="E39" s="24" t="s">
        <v>288</v>
      </c>
      <c r="F39" s="24" t="s">
        <v>288</v>
      </c>
      <c r="G39" s="24" t="s">
        <v>288</v>
      </c>
      <c r="H39" s="124">
        <f t="shared" si="2"/>
        <v>9134.93</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37623.26</v>
      </c>
      <c r="D45" s="24" t="s">
        <v>288</v>
      </c>
      <c r="E45" s="24" t="s">
        <v>288</v>
      </c>
      <c r="F45" s="24" t="s">
        <v>288</v>
      </c>
      <c r="G45" s="24" t="s">
        <v>288</v>
      </c>
      <c r="H45" s="124">
        <f t="shared" si="2"/>
        <v>37623.26</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217507.65</v>
      </c>
      <c r="F47" s="95">
        <f>'DOE25'!I48</f>
        <v>25284.880000000001</v>
      </c>
      <c r="G47" s="95">
        <f>'DOE25'!J48</f>
        <v>45875</v>
      </c>
      <c r="H47" s="124">
        <f t="shared" si="2"/>
        <v>288667.53000000003</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400000</v>
      </c>
      <c r="D49" s="24" t="s">
        <v>288</v>
      </c>
      <c r="E49" s="24" t="s">
        <v>288</v>
      </c>
      <c r="F49" s="24" t="s">
        <v>288</v>
      </c>
      <c r="G49" s="24" t="s">
        <v>288</v>
      </c>
      <c r="H49" s="124">
        <f t="shared" si="2"/>
        <v>400000</v>
      </c>
      <c r="I49" s="124"/>
    </row>
    <row r="50" spans="1:9" ht="12.75" thickTop="1" thickBot="1" x14ac:dyDescent="0.25">
      <c r="A50" s="38" t="s">
        <v>884</v>
      </c>
      <c r="B50" s="48"/>
      <c r="C50" s="41">
        <f>SUM(C34:C49)</f>
        <v>463635.32</v>
      </c>
      <c r="D50" s="41">
        <f>SUM(D34:D49)</f>
        <v>9134.93</v>
      </c>
      <c r="E50" s="41">
        <f>SUM(E34:E49)</f>
        <v>217507.65</v>
      </c>
      <c r="F50" s="41">
        <f>SUM(F34:F49)</f>
        <v>25284.880000000001</v>
      </c>
      <c r="G50" s="41">
        <f>SUM(G34:G49)</f>
        <v>45875</v>
      </c>
      <c r="H50" s="41">
        <f t="shared" si="2"/>
        <v>761437.78</v>
      </c>
      <c r="I50" s="124"/>
    </row>
    <row r="51" spans="1:9" ht="12" thickTop="1" x14ac:dyDescent="0.2">
      <c r="A51" s="38" t="s">
        <v>885</v>
      </c>
      <c r="B51" s="2"/>
      <c r="C51" s="41">
        <f>C50+C31</f>
        <v>474997.66</v>
      </c>
      <c r="D51" s="41">
        <f>D50+D31</f>
        <v>609.85000000000036</v>
      </c>
      <c r="E51" s="41">
        <f>E50+E31</f>
        <v>192983.77</v>
      </c>
      <c r="F51" s="41">
        <f>F50+F31</f>
        <v>0</v>
      </c>
      <c r="G51" s="41">
        <f>G50+G31</f>
        <v>45875</v>
      </c>
      <c r="H51" s="41">
        <f t="shared" si="2"/>
        <v>714466.27999999991</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19648550</v>
      </c>
      <c r="D56" s="95">
        <f>'DOE25'!G60</f>
        <v>0</v>
      </c>
      <c r="E56" s="95">
        <f>'DOE25'!H60</f>
        <v>0</v>
      </c>
      <c r="F56" s="95">
        <f>'DOE25'!I60</f>
        <v>0</v>
      </c>
      <c r="G56" s="95">
        <f>'DOE25'!J60</f>
        <v>0</v>
      </c>
      <c r="H56" s="124">
        <f t="shared" ref="H56:H63" si="3">SUM(C56:G56)</f>
        <v>19648550</v>
      </c>
      <c r="I56"/>
    </row>
    <row r="57" spans="1:9" x14ac:dyDescent="0.2">
      <c r="A57" s="1" t="s">
        <v>164</v>
      </c>
      <c r="B57" s="6" t="s">
        <v>165</v>
      </c>
      <c r="C57" s="95">
        <f>'DOE25'!F79</f>
        <v>4601087.46</v>
      </c>
      <c r="D57" s="24" t="s">
        <v>288</v>
      </c>
      <c r="E57" s="95">
        <f>'DOE25'!H79</f>
        <v>0</v>
      </c>
      <c r="F57" s="24" t="s">
        <v>288</v>
      </c>
      <c r="G57" s="24" t="s">
        <v>288</v>
      </c>
      <c r="H57" s="124">
        <f t="shared" si="3"/>
        <v>4601087.46</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4856.5600000000004</v>
      </c>
      <c r="D59" s="95">
        <f>'DOE25'!G96</f>
        <v>0</v>
      </c>
      <c r="E59" s="95">
        <f>'DOE25'!H96</f>
        <v>0</v>
      </c>
      <c r="F59" s="95">
        <f>'DOE25'!I96</f>
        <v>0</v>
      </c>
      <c r="G59" s="95">
        <f>'DOE25'!J96</f>
        <v>2762</v>
      </c>
      <c r="H59" s="124">
        <f t="shared" si="3"/>
        <v>7618.56</v>
      </c>
      <c r="I59"/>
    </row>
    <row r="60" spans="1:9" x14ac:dyDescent="0.2">
      <c r="A60" s="1" t="s">
        <v>170</v>
      </c>
      <c r="B60" s="118" t="s">
        <v>171</v>
      </c>
      <c r="C60" s="24" t="s">
        <v>288</v>
      </c>
      <c r="D60" s="95">
        <f>'DOE25'!G97</f>
        <v>733260.9800000001</v>
      </c>
      <c r="E60" s="24" t="s">
        <v>288</v>
      </c>
      <c r="F60" s="24" t="s">
        <v>288</v>
      </c>
      <c r="G60" s="24" t="s">
        <v>288</v>
      </c>
      <c r="H60" s="124">
        <f t="shared" si="3"/>
        <v>733260.9800000001</v>
      </c>
      <c r="I60"/>
    </row>
    <row r="61" spans="1:9" ht="12" thickBot="1" x14ac:dyDescent="0.25">
      <c r="A61" s="1" t="s">
        <v>172</v>
      </c>
      <c r="B61" s="118" t="s">
        <v>173</v>
      </c>
      <c r="C61" s="95">
        <f>SUM('DOE25'!F98:F110)</f>
        <v>212749.97999999998</v>
      </c>
      <c r="D61" s="95">
        <f>SUM('DOE25'!G98:G110)</f>
        <v>0</v>
      </c>
      <c r="E61" s="95">
        <f>SUM('DOE25'!H98:H110)</f>
        <v>155622.94</v>
      </c>
      <c r="F61" s="95">
        <f>SUM('DOE25'!I98:I110)</f>
        <v>0</v>
      </c>
      <c r="G61" s="95">
        <f>SUM('DOE25'!J98:J110)</f>
        <v>0</v>
      </c>
      <c r="H61" s="124">
        <f t="shared" si="3"/>
        <v>368372.92</v>
      </c>
      <c r="I61"/>
    </row>
    <row r="62" spans="1:9" ht="12.75" thickTop="1" thickBot="1" x14ac:dyDescent="0.25">
      <c r="A62" s="29" t="s">
        <v>174</v>
      </c>
      <c r="B62" s="6"/>
      <c r="C62" s="130">
        <f>SUM(C57:C61)</f>
        <v>4818694</v>
      </c>
      <c r="D62" s="130">
        <f>SUM(D57:D61)</f>
        <v>733260.9800000001</v>
      </c>
      <c r="E62" s="130">
        <f>SUM(E57:E61)</f>
        <v>155622.94</v>
      </c>
      <c r="F62" s="130">
        <f>SUM(F57:F61)</f>
        <v>0</v>
      </c>
      <c r="G62" s="130">
        <f>SUM(G57:G61)</f>
        <v>2762</v>
      </c>
      <c r="H62" s="124">
        <f t="shared" si="3"/>
        <v>5710339.9200000009</v>
      </c>
      <c r="I62"/>
    </row>
    <row r="63" spans="1:9" ht="12" thickTop="1" x14ac:dyDescent="0.2">
      <c r="A63" s="29" t="s">
        <v>175</v>
      </c>
      <c r="B63" s="6"/>
      <c r="C63" s="22">
        <f>C56+C62</f>
        <v>24467244</v>
      </c>
      <c r="D63" s="22">
        <f>D56+D62</f>
        <v>733260.9800000001</v>
      </c>
      <c r="E63" s="22">
        <f>E56+E62</f>
        <v>155622.94</v>
      </c>
      <c r="F63" s="22">
        <f>F56+F62</f>
        <v>0</v>
      </c>
      <c r="G63" s="22">
        <f>G56+G62</f>
        <v>2762</v>
      </c>
      <c r="H63" s="124">
        <f t="shared" si="3"/>
        <v>25358889.920000002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2275253</v>
      </c>
      <c r="D67" s="24"/>
      <c r="E67" s="24"/>
      <c r="F67" s="24"/>
      <c r="G67" s="24"/>
      <c r="H67" s="124">
        <f t="shared" si="4"/>
        <v>2275253</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2275253</v>
      </c>
      <c r="D70" s="139">
        <f>D69</f>
        <v>0</v>
      </c>
      <c r="E70" s="139">
        <f>E69</f>
        <v>0</v>
      </c>
      <c r="F70" s="139">
        <f>F69</f>
        <v>0</v>
      </c>
      <c r="G70" s="139">
        <f>G69</f>
        <v>0</v>
      </c>
      <c r="H70" s="124">
        <f t="shared" si="4"/>
        <v>2275253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348881.86</v>
      </c>
      <c r="D72" s="24" t="s">
        <v>288</v>
      </c>
      <c r="E72" s="24" t="s">
        <v>288</v>
      </c>
      <c r="F72" s="95">
        <f>'DOE25'!I123</f>
        <v>0</v>
      </c>
      <c r="G72" s="24" t="s">
        <v>288</v>
      </c>
      <c r="H72" s="124">
        <f t="shared" si="4"/>
        <v>348881.86</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55541.34</v>
      </c>
      <c r="D76" s="24" t="s">
        <v>288</v>
      </c>
      <c r="E76" s="95">
        <f>SUM('DOE25'!H127:H130)</f>
        <v>0</v>
      </c>
      <c r="F76" s="95">
        <f>SUM('DOE25'!I127:I130)</f>
        <v>0</v>
      </c>
      <c r="G76" s="24" t="s">
        <v>288</v>
      </c>
      <c r="H76" s="124">
        <f t="shared" si="4"/>
        <v>55541.34</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404423.19999999995</v>
      </c>
      <c r="D78" s="130">
        <f>SUM(D72:D77)</f>
        <v>0</v>
      </c>
      <c r="E78" s="130">
        <f>SUM(E72:E77)</f>
        <v>0</v>
      </c>
      <c r="F78" s="130">
        <f>SUM(F72:F77)</f>
        <v>0</v>
      </c>
      <c r="G78" s="130">
        <f>SUM(G72:G77)</f>
        <v>0</v>
      </c>
      <c r="H78" s="124">
        <f t="shared" si="4"/>
        <v>404423.19999999995</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2679676.2000000002</v>
      </c>
      <c r="D81" s="130">
        <f>SUM(D79:D80)+D78+D70</f>
        <v>0</v>
      </c>
      <c r="E81" s="130">
        <f>SUM(E79:E80)+E78+E70</f>
        <v>0</v>
      </c>
      <c r="F81" s="130">
        <f>SUM(F79:F80)+F78+F70</f>
        <v>0</v>
      </c>
      <c r="G81" s="130">
        <f>SUM(G79:G80)+G78+G70</f>
        <v>0</v>
      </c>
      <c r="H81" s="130">
        <f t="shared" si="4"/>
        <v>2679676.2000000002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0</v>
      </c>
      <c r="E88" s="326">
        <f>SUM('DOE25'!H153:H162)</f>
        <v>491110.05999999994</v>
      </c>
      <c r="F88" s="326">
        <f>SUM('DOE25'!I153:I162)</f>
        <v>0</v>
      </c>
      <c r="G88" s="24" t="s">
        <v>288</v>
      </c>
      <c r="H88" s="124">
        <f t="shared" si="5"/>
        <v>491110.05999999994</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0</v>
      </c>
      <c r="E91" s="131">
        <f>SUM(E85:E90)</f>
        <v>491110.05999999994</v>
      </c>
      <c r="F91" s="131">
        <f>SUM(F85:F90)</f>
        <v>0</v>
      </c>
      <c r="G91" s="24" t="s">
        <v>288</v>
      </c>
      <c r="H91" s="124">
        <f t="shared" si="5"/>
        <v>491110.05999999994</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441957.56</v>
      </c>
      <c r="G93" s="24" t="s">
        <v>288</v>
      </c>
      <c r="H93" s="124">
        <f t="shared" si="5"/>
        <v>441957.56</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67318.3</v>
      </c>
      <c r="E96" s="95">
        <f>'DOE25'!H180</f>
        <v>0</v>
      </c>
      <c r="F96" s="95">
        <f>'DOE25'!I180</f>
        <v>0</v>
      </c>
      <c r="G96" s="95">
        <f>'DOE25'!J180</f>
        <v>0</v>
      </c>
      <c r="H96" s="124">
        <f t="shared" si="5"/>
        <v>67318.3</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67318.3</v>
      </c>
      <c r="E103" s="86">
        <f>SUM(E93:E102)</f>
        <v>0</v>
      </c>
      <c r="F103" s="86">
        <f>SUM(F93:F102)</f>
        <v>441957.56</v>
      </c>
      <c r="G103" s="86">
        <f>SUM(G93:G102)</f>
        <v>0</v>
      </c>
      <c r="H103" s="86">
        <f t="shared" si="5"/>
        <v>509275.86</v>
      </c>
    </row>
    <row r="104" spans="1:8" ht="12.75" thickTop="1" thickBot="1" x14ac:dyDescent="0.25">
      <c r="A104" s="33" t="s">
        <v>761</v>
      </c>
      <c r="C104" s="86">
        <f>C63+C81+C91+C103</f>
        <v>27146920.199999999</v>
      </c>
      <c r="D104" s="86">
        <f>D63+D81+D91+D103</f>
        <v>800579.28000000014</v>
      </c>
      <c r="E104" s="86">
        <f>E63+E81+E91+E103</f>
        <v>646733</v>
      </c>
      <c r="F104" s="86">
        <f>F63+F81+F91+F103</f>
        <v>441957.56</v>
      </c>
      <c r="G104" s="86">
        <f>G63+G81+G103</f>
        <v>2762</v>
      </c>
      <c r="H104" s="86">
        <f t="shared" si="5"/>
        <v>29038952.039999999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11690343.4</v>
      </c>
      <c r="D109" s="24" t="s">
        <v>288</v>
      </c>
      <c r="E109" s="95">
        <f>('DOE25'!L277)+('DOE25'!L296)+('DOE25'!L315)</f>
        <v>451412.47999999998</v>
      </c>
      <c r="F109" s="24" t="s">
        <v>288</v>
      </c>
      <c r="G109" s="24" t="s">
        <v>288</v>
      </c>
      <c r="H109" s="124">
        <f t="shared" ref="H109:H115" si="6">SUM(C109:G109)</f>
        <v>12141755.880000001</v>
      </c>
    </row>
    <row r="110" spans="1:8" x14ac:dyDescent="0.2">
      <c r="A110" t="s">
        <v>198</v>
      </c>
      <c r="B110" s="32" t="s">
        <v>199</v>
      </c>
      <c r="C110" s="95">
        <f>('DOE25'!L199)+('DOE25'!L217)+('DOE25'!L235)</f>
        <v>3065559.21</v>
      </c>
      <c r="D110" s="24" t="s">
        <v>288</v>
      </c>
      <c r="E110" s="95">
        <f>('DOE25'!L278)+('DOE25'!L297)+('DOE25'!L316)</f>
        <v>247406.68</v>
      </c>
      <c r="F110" s="24" t="s">
        <v>288</v>
      </c>
      <c r="G110" s="24" t="s">
        <v>288</v>
      </c>
      <c r="H110" s="124">
        <f t="shared" si="6"/>
        <v>3312965.89</v>
      </c>
    </row>
    <row r="111" spans="1:8" x14ac:dyDescent="0.2">
      <c r="A111" t="s">
        <v>200</v>
      </c>
      <c r="B111" s="32" t="s">
        <v>165</v>
      </c>
      <c r="C111" s="95">
        <f>('DOE25'!L200)+('DOE25'!L218)+('DOE25'!L236)</f>
        <v>133467.63</v>
      </c>
      <c r="D111" s="24" t="s">
        <v>288</v>
      </c>
      <c r="E111" s="95">
        <f>('DOE25'!L279)+('DOE25'!L298)+('DOE25'!L317)</f>
        <v>0</v>
      </c>
      <c r="F111" s="24" t="s">
        <v>288</v>
      </c>
      <c r="G111" s="24" t="s">
        <v>288</v>
      </c>
      <c r="H111" s="124">
        <f t="shared" si="6"/>
        <v>133467.63</v>
      </c>
    </row>
    <row r="112" spans="1:8" x14ac:dyDescent="0.2">
      <c r="A112" t="s">
        <v>201</v>
      </c>
      <c r="B112" s="32" t="s">
        <v>167</v>
      </c>
      <c r="C112" s="95">
        <f>('DOE25'!L201)+('DOE25'!L219)+('DOE25'!L237)</f>
        <v>895783.02</v>
      </c>
      <c r="D112" s="24" t="s">
        <v>288</v>
      </c>
      <c r="E112" s="95">
        <f>+('DOE25'!L280)+('DOE25'!L299)+('DOE25'!L318)</f>
        <v>0</v>
      </c>
      <c r="F112" s="24" t="s">
        <v>288</v>
      </c>
      <c r="G112" s="24" t="s">
        <v>288</v>
      </c>
      <c r="H112" s="124">
        <f t="shared" si="6"/>
        <v>895783.02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15785153.26</v>
      </c>
      <c r="D115" s="86">
        <f>SUM(D109:D114)</f>
        <v>0</v>
      </c>
      <c r="E115" s="86">
        <f>SUM(E109:E114)</f>
        <v>698819.15999999992</v>
      </c>
      <c r="F115" s="86">
        <f>SUM(F109:F114)</f>
        <v>0</v>
      </c>
      <c r="G115" s="86">
        <f>SUM(G109:G114)</f>
        <v>0</v>
      </c>
      <c r="H115" s="86">
        <f t="shared" si="6"/>
        <v>16483972.42</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1545253.11</v>
      </c>
      <c r="D118" s="24" t="s">
        <v>288</v>
      </c>
      <c r="E118" s="95">
        <f>+('DOE25'!L282)+('DOE25'!L301)+('DOE25'!L320)</f>
        <v>0</v>
      </c>
      <c r="F118" s="24" t="s">
        <v>288</v>
      </c>
      <c r="G118" s="24" t="s">
        <v>288</v>
      </c>
      <c r="H118" s="124">
        <f t="shared" ref="H118:H145" si="7">SUM(C118:G118)</f>
        <v>1545253.11</v>
      </c>
    </row>
    <row r="119" spans="1:8" x14ac:dyDescent="0.2">
      <c r="A119" t="s">
        <v>208</v>
      </c>
      <c r="B119" s="32" t="s">
        <v>209</v>
      </c>
      <c r="C119" s="95">
        <f>('DOE25'!L204)+('DOE25'!L222)+('DOE25'!L240)</f>
        <v>713306.71</v>
      </c>
      <c r="D119" s="24" t="s">
        <v>288</v>
      </c>
      <c r="E119" s="95">
        <f>+('DOE25'!L283)+('DOE25'!L302)+('DOE25'!L321)</f>
        <v>0</v>
      </c>
      <c r="F119" s="24" t="s">
        <v>288</v>
      </c>
      <c r="G119" s="24" t="s">
        <v>288</v>
      </c>
      <c r="H119" s="124">
        <f t="shared" si="7"/>
        <v>713306.71</v>
      </c>
    </row>
    <row r="120" spans="1:8" x14ac:dyDescent="0.2">
      <c r="A120" t="s">
        <v>210</v>
      </c>
      <c r="B120" s="32" t="s">
        <v>211</v>
      </c>
      <c r="C120" s="95">
        <f>('DOE25'!L205)+('DOE25'!L223)+('DOE25'!L241)</f>
        <v>1248433.43</v>
      </c>
      <c r="D120" s="24" t="s">
        <v>288</v>
      </c>
      <c r="E120" s="95">
        <f>+('DOE25'!L284)+('DOE25'!L303)+('DOE25'!L322)</f>
        <v>0</v>
      </c>
      <c r="F120" s="24" t="s">
        <v>288</v>
      </c>
      <c r="G120" s="24" t="s">
        <v>288</v>
      </c>
      <c r="H120" s="124">
        <f t="shared" si="7"/>
        <v>1248433.43</v>
      </c>
    </row>
    <row r="121" spans="1:8" x14ac:dyDescent="0.2">
      <c r="A121" t="s">
        <v>212</v>
      </c>
      <c r="B121" s="32" t="s">
        <v>213</v>
      </c>
      <c r="C121" s="95">
        <f>('DOE25'!L206)+('DOE25'!L224)+('DOE25'!L242)</f>
        <v>2278280.7000000002</v>
      </c>
      <c r="D121" s="24" t="s">
        <v>288</v>
      </c>
      <c r="E121" s="95">
        <f>+('DOE25'!L285)+('DOE25'!L304)+('DOE25'!L323)</f>
        <v>0</v>
      </c>
      <c r="F121" s="24" t="s">
        <v>288</v>
      </c>
      <c r="G121" s="24" t="s">
        <v>288</v>
      </c>
      <c r="H121" s="124">
        <f t="shared" si="7"/>
        <v>2278280.7000000002</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2201122.34</v>
      </c>
      <c r="D123" s="24" t="s">
        <v>288</v>
      </c>
      <c r="E123" s="95">
        <f>+('DOE25'!L287)+('DOE25'!L306)+('DOE25'!L325)</f>
        <v>0</v>
      </c>
      <c r="F123" s="24" t="s">
        <v>288</v>
      </c>
      <c r="G123" s="24" t="s">
        <v>288</v>
      </c>
      <c r="H123" s="124">
        <f t="shared" si="7"/>
        <v>2201122.34</v>
      </c>
    </row>
    <row r="124" spans="1:8" x14ac:dyDescent="0.2">
      <c r="A124" t="s">
        <v>218</v>
      </c>
      <c r="B124" s="32" t="s">
        <v>219</v>
      </c>
      <c r="C124" s="95">
        <f>('DOE25'!L209)+('DOE25'!L227)+('DOE25'!L245+'DOE25'!L255)</f>
        <v>206387.99</v>
      </c>
      <c r="D124" s="24" t="s">
        <v>288</v>
      </c>
      <c r="E124" s="95">
        <f>+('DOE25'!L288)+('DOE25'!L307)+('DOE25'!L326)</f>
        <v>0</v>
      </c>
      <c r="F124" s="24" t="s">
        <v>288</v>
      </c>
      <c r="G124" s="24" t="s">
        <v>288</v>
      </c>
      <c r="H124" s="124">
        <f t="shared" si="7"/>
        <v>206387.99</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791444.41999999993</v>
      </c>
      <c r="E127" s="24" t="s">
        <v>288</v>
      </c>
      <c r="F127" s="24" t="s">
        <v>288</v>
      </c>
      <c r="G127" s="24" t="s">
        <v>288</v>
      </c>
      <c r="H127" s="124">
        <f t="shared" si="7"/>
        <v>791444.41999999993</v>
      </c>
    </row>
    <row r="128" spans="1:8" ht="12.75" thickTop="1" thickBot="1" x14ac:dyDescent="0.25">
      <c r="A128" s="33" t="s">
        <v>226</v>
      </c>
      <c r="C128" s="86">
        <f>SUM(C118:C127)</f>
        <v>8192784.2800000003</v>
      </c>
      <c r="D128" s="86">
        <f>SUM(D118:D127)</f>
        <v>791444.41999999993</v>
      </c>
      <c r="E128" s="86">
        <f>SUM(E118:E127)</f>
        <v>0</v>
      </c>
      <c r="F128" s="86">
        <f>SUM(F118:F127)</f>
        <v>0</v>
      </c>
      <c r="G128" s="86">
        <f>SUM(G118:G127)</f>
        <v>0</v>
      </c>
      <c r="H128" s="86">
        <f t="shared" si="7"/>
        <v>8984228.6999999993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70694.460000000006</v>
      </c>
      <c r="D130" s="24" t="s">
        <v>288</v>
      </c>
      <c r="E130" s="129">
        <f>'DOE25'!L337</f>
        <v>0</v>
      </c>
      <c r="F130" s="129">
        <f>SUM('DOE25'!L375:'DOE25'!L381)</f>
        <v>449463.29000000004</v>
      </c>
      <c r="G130" s="24" t="s">
        <v>288</v>
      </c>
      <c r="H130" s="124">
        <f t="shared" si="7"/>
        <v>520157.75000000006</v>
      </c>
    </row>
    <row r="131" spans="1:8" x14ac:dyDescent="0.2">
      <c r="A131" t="s">
        <v>229</v>
      </c>
      <c r="B131" s="32">
        <v>5110</v>
      </c>
      <c r="C131" s="95">
        <f>'DOE25'!L261</f>
        <v>1625829.76</v>
      </c>
      <c r="D131" s="24" t="s">
        <v>288</v>
      </c>
      <c r="E131" s="129">
        <f>'DOE25'!L342</f>
        <v>0</v>
      </c>
      <c r="F131" s="24" t="s">
        <v>288</v>
      </c>
      <c r="G131" s="24" t="s">
        <v>288</v>
      </c>
      <c r="H131" s="124">
        <f t="shared" si="7"/>
        <v>1625829.76</v>
      </c>
    </row>
    <row r="132" spans="1:8" x14ac:dyDescent="0.2">
      <c r="A132" t="s">
        <v>230</v>
      </c>
      <c r="B132" s="32">
        <v>5120</v>
      </c>
      <c r="C132" s="95">
        <f>'DOE25'!L262</f>
        <v>1948233.82</v>
      </c>
      <c r="D132" s="24" t="s">
        <v>288</v>
      </c>
      <c r="E132" s="129">
        <f>'DOE25'!L343</f>
        <v>0</v>
      </c>
      <c r="F132" s="24" t="s">
        <v>288</v>
      </c>
      <c r="G132" s="24" t="s">
        <v>288</v>
      </c>
      <c r="H132" s="124">
        <f t="shared" si="7"/>
        <v>1948233.82</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67318.3</v>
      </c>
      <c r="D135" s="24" t="s">
        <v>288</v>
      </c>
      <c r="E135" s="129">
        <f>'DOE25'!L346</f>
        <v>0</v>
      </c>
      <c r="F135" s="24" t="s">
        <v>288</v>
      </c>
      <c r="G135" s="24" t="s">
        <v>288</v>
      </c>
      <c r="H135" s="124">
        <f t="shared" si="7"/>
        <v>67318.3</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2762</v>
      </c>
      <c r="D139" s="24" t="s">
        <v>288</v>
      </c>
      <c r="E139" s="24" t="s">
        <v>288</v>
      </c>
      <c r="F139" s="24" t="s">
        <v>288</v>
      </c>
      <c r="G139" s="24" t="s">
        <v>288</v>
      </c>
      <c r="H139" s="124">
        <f t="shared" si="7"/>
        <v>2762</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-2762</v>
      </c>
      <c r="D141" s="24" t="s">
        <v>288</v>
      </c>
      <c r="E141" s="24" t="s">
        <v>288</v>
      </c>
      <c r="F141" s="24" t="s">
        <v>288</v>
      </c>
      <c r="G141" s="24" t="s">
        <v>288</v>
      </c>
      <c r="H141" s="124">
        <f t="shared" si="7"/>
        <v>-2762</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3712076.34</v>
      </c>
      <c r="D144" s="141">
        <f>SUM(D130:D143)</f>
        <v>0</v>
      </c>
      <c r="E144" s="141">
        <f>SUM(E130:E143)</f>
        <v>0</v>
      </c>
      <c r="F144" s="141">
        <f>SUM(F130:F143)</f>
        <v>449463.29000000004</v>
      </c>
      <c r="G144" s="141">
        <f>SUM(G130:G143)</f>
        <v>0</v>
      </c>
      <c r="H144" s="141">
        <f t="shared" si="7"/>
        <v>4161539.63</v>
      </c>
    </row>
    <row r="145" spans="1:9" ht="12.75" thickTop="1" thickBot="1" x14ac:dyDescent="0.25">
      <c r="A145" s="33" t="s">
        <v>244</v>
      </c>
      <c r="C145" s="86">
        <f>(C115+C128+C144)</f>
        <v>27690013.879999999</v>
      </c>
      <c r="D145" s="86">
        <f>(D115+D128+D144)</f>
        <v>791444.41999999993</v>
      </c>
      <c r="E145" s="86">
        <f>(E115+E128+E144)</f>
        <v>698819.15999999992</v>
      </c>
      <c r="F145" s="86">
        <f>(F115+F128+F144)</f>
        <v>449463.29000000004</v>
      </c>
      <c r="G145" s="86">
        <f>(G115+G128+G144)</f>
        <v>0</v>
      </c>
      <c r="H145" s="86">
        <f t="shared" si="7"/>
        <v>29629740.749999996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20</v>
      </c>
      <c r="E151" s="153">
        <f>'DOE25'!I491</f>
        <v>20</v>
      </c>
      <c r="F151" s="153">
        <f>'DOE25'!J491</f>
        <v>15</v>
      </c>
      <c r="G151" s="24" t="s">
        <v>288</v>
      </c>
    </row>
    <row r="152" spans="1:9" x14ac:dyDescent="0.2">
      <c r="A152" s="136" t="s">
        <v>28</v>
      </c>
      <c r="B152" s="152" t="str">
        <f>'DOE25'!F492</f>
        <v>01/15/07</v>
      </c>
      <c r="C152" s="152" t="str">
        <f>'DOE25'!G492</f>
        <v>12/22/04</v>
      </c>
      <c r="D152" s="152" t="str">
        <f>'DOE25'!H492</f>
        <v>08/15/03</v>
      </c>
      <c r="E152" s="152" t="str">
        <f>'DOE25'!I492</f>
        <v>08/15/01</v>
      </c>
      <c r="F152" s="152" t="str">
        <f>'DOE25'!J492</f>
        <v>09/19</v>
      </c>
      <c r="G152" s="24" t="s">
        <v>288</v>
      </c>
    </row>
    <row r="153" spans="1:9" x14ac:dyDescent="0.2">
      <c r="A153" s="136" t="s">
        <v>29</v>
      </c>
      <c r="B153" s="152" t="str">
        <f>'DOE25'!F493</f>
        <v>08/27</v>
      </c>
      <c r="C153" s="152" t="str">
        <f>'DOE25'!G493</f>
        <v>01/25</v>
      </c>
      <c r="D153" s="152" t="str">
        <f>'DOE25'!H493</f>
        <v>08/24</v>
      </c>
      <c r="E153" s="152" t="str">
        <f>'DOE25'!I493</f>
        <v>08/22</v>
      </c>
      <c r="F153" s="152" t="str">
        <f>'DOE25'!J493</f>
        <v>09/34</v>
      </c>
      <c r="G153" s="24" t="s">
        <v>288</v>
      </c>
    </row>
    <row r="154" spans="1:9" x14ac:dyDescent="0.2">
      <c r="A154" s="136" t="s">
        <v>30</v>
      </c>
      <c r="B154" s="137">
        <f>'DOE25'!F494</f>
        <v>2532900</v>
      </c>
      <c r="C154" s="137">
        <f>'DOE25'!G494</f>
        <v>4000000</v>
      </c>
      <c r="D154" s="137">
        <f>'DOE25'!H494</f>
        <v>38460936</v>
      </c>
      <c r="E154" s="137">
        <f>'DOE25'!I494</f>
        <v>1100000</v>
      </c>
      <c r="F154" s="137">
        <f>'DOE25'!J494</f>
        <v>900000</v>
      </c>
      <c r="G154" s="24" t="s">
        <v>288</v>
      </c>
    </row>
    <row r="155" spans="1:9" x14ac:dyDescent="0.2">
      <c r="A155" s="136" t="s">
        <v>31</v>
      </c>
      <c r="B155" s="137">
        <f>'DOE25'!F495</f>
        <v>4.08</v>
      </c>
      <c r="C155" s="137">
        <f>'DOE25'!G495</f>
        <v>4.47</v>
      </c>
      <c r="D155" s="137">
        <f>'DOE25'!H495</f>
        <v>4.62</v>
      </c>
      <c r="E155" s="137">
        <f>'DOE25'!I495</f>
        <v>4.71</v>
      </c>
      <c r="F155" s="137">
        <f>'DOE25'!J495</f>
        <v>2.8</v>
      </c>
      <c r="G155" s="24" t="s">
        <v>288</v>
      </c>
    </row>
    <row r="156" spans="1:9" x14ac:dyDescent="0.2">
      <c r="A156" s="22" t="s">
        <v>32</v>
      </c>
      <c r="B156" s="137">
        <f>'DOE25'!F496</f>
        <v>545395</v>
      </c>
      <c r="C156" s="137">
        <f>'DOE25'!G496</f>
        <v>544080</v>
      </c>
      <c r="D156" s="137">
        <f>'DOE25'!H496</f>
        <v>3625602</v>
      </c>
      <c r="E156" s="137">
        <f>'DOE25'!I496</f>
        <v>55000</v>
      </c>
      <c r="F156" s="137">
        <f>'DOE25'!J496</f>
        <v>840000</v>
      </c>
      <c r="G156" s="138">
        <f>SUM(B156:F156)</f>
        <v>5610077</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100927</v>
      </c>
      <c r="C158" s="137">
        <f>'DOE25'!G498</f>
        <v>144833</v>
      </c>
      <c r="D158" s="137">
        <f>'DOE25'!H498</f>
        <v>1265070</v>
      </c>
      <c r="E158" s="137">
        <f>'DOE25'!I498</f>
        <v>55000</v>
      </c>
      <c r="F158" s="137">
        <f>'DOE25'!J498</f>
        <v>60000</v>
      </c>
      <c r="G158" s="138">
        <f t="shared" si="8"/>
        <v>1625830</v>
      </c>
    </row>
    <row r="159" spans="1:9" x14ac:dyDescent="0.2">
      <c r="A159" s="22" t="s">
        <v>35</v>
      </c>
      <c r="B159" s="137">
        <f>'DOE25'!F499</f>
        <v>444468</v>
      </c>
      <c r="C159" s="137">
        <f>'DOE25'!G499</f>
        <v>399247</v>
      </c>
      <c r="D159" s="137">
        <f>'DOE25'!H499</f>
        <v>2360532</v>
      </c>
      <c r="E159" s="137">
        <f>'DOE25'!I499</f>
        <v>0</v>
      </c>
      <c r="F159" s="137">
        <f>'DOE25'!J499</f>
        <v>780000</v>
      </c>
      <c r="G159" s="138">
        <f t="shared" si="8"/>
        <v>3984247</v>
      </c>
    </row>
    <row r="160" spans="1:9" x14ac:dyDescent="0.2">
      <c r="A160" s="22" t="s">
        <v>36</v>
      </c>
      <c r="B160" s="137">
        <f>'DOE25'!F500</f>
        <v>487613</v>
      </c>
      <c r="C160" s="137">
        <f>'DOE25'!G500</f>
        <v>528753</v>
      </c>
      <c r="D160" s="137">
        <f>'DOE25'!H500</f>
        <v>3532012</v>
      </c>
      <c r="E160" s="137">
        <f>'DOE25'!I500</f>
        <v>0</v>
      </c>
      <c r="F160" s="137">
        <f>'DOE25'!J500</f>
        <v>60480</v>
      </c>
      <c r="G160" s="138">
        <f t="shared" si="8"/>
        <v>4608858</v>
      </c>
    </row>
    <row r="161" spans="1:7" x14ac:dyDescent="0.2">
      <c r="A161" s="22" t="s">
        <v>37</v>
      </c>
      <c r="B161" s="137">
        <f>'DOE25'!F501</f>
        <v>932081</v>
      </c>
      <c r="C161" s="137">
        <f>'DOE25'!G501</f>
        <v>928000</v>
      </c>
      <c r="D161" s="137">
        <f>'DOE25'!H501</f>
        <v>5892544</v>
      </c>
      <c r="E161" s="137">
        <f>'DOE25'!I501</f>
        <v>0</v>
      </c>
      <c r="F161" s="137">
        <f>'DOE25'!J501</f>
        <v>840480</v>
      </c>
      <c r="G161" s="138">
        <f t="shared" si="8"/>
        <v>8593105</v>
      </c>
    </row>
    <row r="162" spans="1:7" x14ac:dyDescent="0.2">
      <c r="A162" s="22" t="s">
        <v>38</v>
      </c>
      <c r="B162" s="137">
        <f>'DOE25'!F502</f>
        <v>98327</v>
      </c>
      <c r="C162" s="137">
        <f>'DOE25'!G502</f>
        <v>140276</v>
      </c>
      <c r="D162" s="137">
        <f>'DOE25'!H502</f>
        <v>1207991</v>
      </c>
      <c r="E162" s="137">
        <f>'DOE25'!I502</f>
        <v>0</v>
      </c>
      <c r="F162" s="137">
        <f>'DOE25'!J502</f>
        <v>60000</v>
      </c>
      <c r="G162" s="138">
        <f t="shared" si="8"/>
        <v>1506594</v>
      </c>
    </row>
    <row r="163" spans="1:7" x14ac:dyDescent="0.2">
      <c r="A163" s="22" t="s">
        <v>39</v>
      </c>
      <c r="B163" s="137">
        <f>'DOE25'!F503</f>
        <v>86979</v>
      </c>
      <c r="C163" s="137">
        <f>'DOE25'!G503</f>
        <v>169924</v>
      </c>
      <c r="D163" s="137">
        <f>'DOE25'!H503</f>
        <v>1739215</v>
      </c>
      <c r="E163" s="137">
        <f>'DOE25'!I503</f>
        <v>0</v>
      </c>
      <c r="F163" s="137">
        <f>'DOE25'!J503</f>
        <v>21840</v>
      </c>
      <c r="G163" s="138">
        <f t="shared" si="8"/>
        <v>2017958</v>
      </c>
    </row>
    <row r="164" spans="1:7" x14ac:dyDescent="0.2">
      <c r="A164" s="22" t="s">
        <v>246</v>
      </c>
      <c r="B164" s="137">
        <f>'DOE25'!F504</f>
        <v>185306</v>
      </c>
      <c r="C164" s="137">
        <f>'DOE25'!G504</f>
        <v>310200</v>
      </c>
      <c r="D164" s="137">
        <f>'DOE25'!H504</f>
        <v>2947206</v>
      </c>
      <c r="E164" s="137">
        <f>'DOE25'!I504</f>
        <v>0</v>
      </c>
      <c r="F164" s="137">
        <f>'DOE25'!J504</f>
        <v>81840</v>
      </c>
      <c r="G164" s="138">
        <f t="shared" si="8"/>
        <v>3524552</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2" orientation="landscape" r:id="rId1"/>
  <headerFooter alignWithMargins="0">
    <oddHeader>&amp;C&amp;A
2021-2022</oddHeader>
    <oddFooter>&amp;CPage &amp;P&amp;R&amp;D&amp;T</oddFooter>
  </headerFooter>
  <rowBreaks count="4" manualBreakCount="4">
    <brk id="52" max="16383" man="1"/>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Dresden</v>
      </c>
    </row>
    <row r="3" spans="1:4" x14ac:dyDescent="0.2">
      <c r="B3" s="187" t="s">
        <v>1799</v>
      </c>
    </row>
    <row r="4" spans="1:4" x14ac:dyDescent="0.2">
      <c r="B4" t="s">
        <v>61</v>
      </c>
      <c r="C4" s="178">
        <f>IF('DOE25'!F666+'DOE25'!F671=0,0,ROUND('DOE25'!F673,0))</f>
        <v>24732</v>
      </c>
    </row>
    <row r="5" spans="1:4" x14ac:dyDescent="0.2">
      <c r="B5" t="s">
        <v>700</v>
      </c>
      <c r="C5" s="178">
        <f>IF('DOE25'!G666+'DOE25'!G671=0,0,ROUND('DOE25'!G673,0))</f>
        <v>0</v>
      </c>
    </row>
    <row r="6" spans="1:4" x14ac:dyDescent="0.2">
      <c r="B6" t="s">
        <v>62</v>
      </c>
      <c r="C6" s="178">
        <f>IF('DOE25'!H666+'DOE25'!H671=0,0,ROUND('DOE25'!H673,0))</f>
        <v>22087</v>
      </c>
    </row>
    <row r="7" spans="1:4" x14ac:dyDescent="0.2">
      <c r="B7" t="s">
        <v>701</v>
      </c>
      <c r="C7" s="178">
        <f>IF('DOE25'!I666+'DOE25'!I671=0,0,ROUND('DOE25'!I673,0))</f>
        <v>22984</v>
      </c>
    </row>
    <row r="9" spans="1:4" x14ac:dyDescent="0.2">
      <c r="A9" s="186" t="s">
        <v>94</v>
      </c>
      <c r="B9" s="187" t="s">
        <v>1800</v>
      </c>
      <c r="C9" s="180" t="s">
        <v>720</v>
      </c>
      <c r="D9" s="180" t="s">
        <v>721</v>
      </c>
    </row>
    <row r="10" spans="1:4" x14ac:dyDescent="0.2">
      <c r="A10">
        <v>1100</v>
      </c>
      <c r="B10" t="s">
        <v>702</v>
      </c>
      <c r="C10" s="178">
        <f>ROUND('DOE25'!L198+'DOE25'!L216+'DOE25'!L234+'DOE25'!L277+'DOE25'!L296+'DOE25'!L315,0)</f>
        <v>12141756</v>
      </c>
      <c r="D10" s="181">
        <f>ROUND((C10/$C$28)*100,1)</f>
        <v>45.5</v>
      </c>
    </row>
    <row r="11" spans="1:4" x14ac:dyDescent="0.2">
      <c r="A11">
        <v>1200</v>
      </c>
      <c r="B11" t="s">
        <v>703</v>
      </c>
      <c r="C11" s="178">
        <f>ROUND('DOE25'!L199+'DOE25'!L217+'DOE25'!L235+'DOE25'!L278+'DOE25'!L297+'DOE25'!L316,0)</f>
        <v>3312966</v>
      </c>
      <c r="D11" s="181">
        <f>ROUND((C11/$C$28)*100,1)</f>
        <v>12.4</v>
      </c>
    </row>
    <row r="12" spans="1:4" x14ac:dyDescent="0.2">
      <c r="A12">
        <v>1300</v>
      </c>
      <c r="B12" t="s">
        <v>704</v>
      </c>
      <c r="C12" s="178">
        <f>ROUND('DOE25'!L200+'DOE25'!L218+'DOE25'!L236+'DOE25'!L279+'DOE25'!L298+'DOE25'!L317,0)</f>
        <v>133468</v>
      </c>
      <c r="D12" s="181">
        <f>ROUND((C12/$C$28)*100,1)</f>
        <v>0.5</v>
      </c>
    </row>
    <row r="13" spans="1:4" x14ac:dyDescent="0.2">
      <c r="A13">
        <v>1400</v>
      </c>
      <c r="B13" t="s">
        <v>705</v>
      </c>
      <c r="C13" s="178">
        <f>ROUND('DOE25'!L201+'DOE25'!L219+'DOE25'!L237+'DOE25'!L280+'DOE25'!L299+'DOE25'!L318,0)</f>
        <v>895783</v>
      </c>
      <c r="D13" s="181">
        <f>ROUND((C13/$C$28)*100,1)</f>
        <v>3.4</v>
      </c>
    </row>
    <row r="14" spans="1:4" x14ac:dyDescent="0.2">
      <c r="D14" s="181"/>
    </row>
    <row r="15" spans="1:4" x14ac:dyDescent="0.2">
      <c r="A15">
        <v>2100</v>
      </c>
      <c r="B15" t="s">
        <v>706</v>
      </c>
      <c r="C15" s="178">
        <f>ROUND('DOE25'!L203+'DOE25'!L221+'DOE25'!L239+'DOE25'!L282+'DOE25'!L301+'DOE25'!L320,0)</f>
        <v>1545253</v>
      </c>
      <c r="D15" s="181">
        <f t="shared" ref="D15:D27" si="0">ROUND((C15/$C$28)*100,1)</f>
        <v>5.8</v>
      </c>
    </row>
    <row r="16" spans="1:4" x14ac:dyDescent="0.2">
      <c r="A16">
        <v>2200</v>
      </c>
      <c r="B16" t="s">
        <v>707</v>
      </c>
      <c r="C16" s="178">
        <f>ROUND('DOE25'!L204+'DOE25'!L222+'DOE25'!L240+'DOE25'!L283+'DOE25'!L302+'DOE25'!L321,0)</f>
        <v>713307</v>
      </c>
      <c r="D16" s="181">
        <f t="shared" si="0"/>
        <v>2.7</v>
      </c>
    </row>
    <row r="17" spans="1:4" x14ac:dyDescent="0.2">
      <c r="A17" s="182" t="s">
        <v>723</v>
      </c>
      <c r="B17" t="s">
        <v>738</v>
      </c>
      <c r="C17" s="178">
        <f>ROUND('DOE25'!L205+'DOE25'!L210+'DOE25'!L223+'DOE25'!L228+'DOE25'!L241+'DOE25'!L246+'DOE25'!L284+'DOE25'!L289+'DOE25'!L303+'DOE25'!L308+'DOE25'!L322+'DOE25'!L327,0)</f>
        <v>1248433</v>
      </c>
      <c r="D17" s="181">
        <f t="shared" si="0"/>
        <v>4.7</v>
      </c>
    </row>
    <row r="18" spans="1:4" x14ac:dyDescent="0.2">
      <c r="A18">
        <v>2400</v>
      </c>
      <c r="B18" t="s">
        <v>711</v>
      </c>
      <c r="C18" s="178">
        <f>ROUND('DOE25'!L206+'DOE25'!L224+'DOE25'!L242+'DOE25'!L285+'DOE25'!L304+'DOE25'!L323,0)</f>
        <v>2278281</v>
      </c>
      <c r="D18" s="181">
        <f t="shared" si="0"/>
        <v>8.5</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2201122</v>
      </c>
      <c r="D20" s="181">
        <f t="shared" si="0"/>
        <v>8.1999999999999993</v>
      </c>
    </row>
    <row r="21" spans="1:4" x14ac:dyDescent="0.2">
      <c r="A21">
        <v>2700</v>
      </c>
      <c r="B21" t="s">
        <v>710</v>
      </c>
      <c r="C21" s="178">
        <f>ROUND('DOE25'!L209+'DOE25'!L227+'DOE25'!L245+'DOE25'!L288+'DOE25'!L307+'DOE25'!L326,0)</f>
        <v>206388</v>
      </c>
      <c r="D21" s="181">
        <f t="shared" si="0"/>
        <v>0.8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1948234</v>
      </c>
      <c r="D25" s="181">
        <f t="shared" si="0"/>
        <v>7.3</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58183.019999999902</v>
      </c>
      <c r="D27" s="181">
        <f t="shared" si="0"/>
        <v>0.2</v>
      </c>
    </row>
    <row r="28" spans="1:4" x14ac:dyDescent="0.2">
      <c r="B28" s="186" t="s">
        <v>719</v>
      </c>
      <c r="C28" s="179">
        <f>SUM(C10:C27)</f>
        <v>26683174.02</v>
      </c>
      <c r="D28" s="183">
        <f>ROUND(SUM(D10:D27),0)</f>
        <v>100</v>
      </c>
    </row>
    <row r="29" spans="1:4" x14ac:dyDescent="0.2">
      <c r="A29">
        <v>4000</v>
      </c>
      <c r="B29" t="s">
        <v>724</v>
      </c>
      <c r="C29" s="178">
        <f>ROUND('DOE25'!L256+'DOE25'!L337+'DOE25'!L375+'DOE25'!L376+'DOE25'!L377+'DOE25'!L378+'DOE25'!L379+'DOE25'!L380+'DOE25'!L381,0)</f>
        <v>520158</v>
      </c>
    </row>
    <row r="30" spans="1:4" x14ac:dyDescent="0.2">
      <c r="B30" s="186" t="s">
        <v>725</v>
      </c>
      <c r="C30" s="179">
        <f>SUM(C28:C29)</f>
        <v>27203332.02</v>
      </c>
    </row>
    <row r="31" spans="1:4" x14ac:dyDescent="0.2">
      <c r="B31" s="33"/>
      <c r="C31" s="179"/>
    </row>
    <row r="32" spans="1:4" x14ac:dyDescent="0.2">
      <c r="A32">
        <v>5100</v>
      </c>
      <c r="B32" s="33" t="s">
        <v>726</v>
      </c>
      <c r="C32" s="179">
        <f>ROUND('DOE25'!L261+'DOE25'!L342,0)</f>
        <v>1625830</v>
      </c>
    </row>
    <row r="34" spans="1:4" x14ac:dyDescent="0.2">
      <c r="A34" s="186" t="s">
        <v>94</v>
      </c>
      <c r="B34" s="187" t="s">
        <v>1801</v>
      </c>
      <c r="C34" s="180" t="s">
        <v>720</v>
      </c>
      <c r="D34" s="180" t="s">
        <v>721</v>
      </c>
    </row>
    <row r="35" spans="1:4" x14ac:dyDescent="0.2">
      <c r="A35">
        <v>1100</v>
      </c>
      <c r="B35" s="184" t="s">
        <v>727</v>
      </c>
      <c r="C35" s="178">
        <f>ROUND('DOE25'!F60+'DOE25'!G60+'DOE25'!H60+'DOE25'!I60+'DOE25'!J60,0)</f>
        <v>19648550</v>
      </c>
      <c r="D35" s="181">
        <f t="shared" ref="D35:D40" si="1">ROUND((C35/$C$41)*100,1)</f>
        <v>70.7</v>
      </c>
    </row>
    <row r="36" spans="1:4" x14ac:dyDescent="0.2">
      <c r="B36" s="184" t="s">
        <v>739</v>
      </c>
      <c r="C36" s="178">
        <f>SUM('DOE25'!F112:J112)-SUM('DOE25'!G97:G110)+('DOE25'!F175+'DOE25'!F176+'DOE25'!I175+'DOE25'!I176)-C35</f>
        <v>4977078.9400000013</v>
      </c>
      <c r="D36" s="181">
        <f t="shared" si="1"/>
        <v>17.899999999999999</v>
      </c>
    </row>
    <row r="37" spans="1:4" x14ac:dyDescent="0.2">
      <c r="A37" s="182" t="s">
        <v>835</v>
      </c>
      <c r="B37" s="184" t="s">
        <v>728</v>
      </c>
      <c r="C37" s="178">
        <f>ROUND('DOE25'!F117+'DOE25'!F118,0)</f>
        <v>2275253</v>
      </c>
      <c r="D37" s="181">
        <f t="shared" si="1"/>
        <v>8.1999999999999993</v>
      </c>
    </row>
    <row r="38" spans="1:4" x14ac:dyDescent="0.2">
      <c r="A38" s="182" t="s">
        <v>734</v>
      </c>
      <c r="B38" s="184" t="s">
        <v>729</v>
      </c>
      <c r="C38" s="178">
        <f>ROUND(SUM('DOE25'!F140:J140)-SUM('DOE25'!F117:F119),0)</f>
        <v>404423</v>
      </c>
      <c r="D38" s="181">
        <f t="shared" si="1"/>
        <v>1.5</v>
      </c>
    </row>
    <row r="39" spans="1:4" x14ac:dyDescent="0.2">
      <c r="A39">
        <v>4000</v>
      </c>
      <c r="B39" s="184" t="s">
        <v>730</v>
      </c>
      <c r="C39" s="178">
        <f>ROUND('DOE25'!F170+'DOE25'!G170+'DOE25'!H170+'DOE25'!I170,0)</f>
        <v>491110</v>
      </c>
      <c r="D39" s="181">
        <f t="shared" si="1"/>
        <v>1.8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27796414.940000001</v>
      </c>
      <c r="D41" s="183">
        <f>SUM(D35:D40)</f>
        <v>100.1</v>
      </c>
    </row>
    <row r="42" spans="1:4" x14ac:dyDescent="0.2">
      <c r="A42" s="182" t="s">
        <v>737</v>
      </c>
      <c r="B42" s="184" t="s">
        <v>733</v>
      </c>
      <c r="C42" s="178">
        <f>ROUND('DOE25'!F174+'DOE25'!I174+'DOE25'!F177+'DOE25'!I177,0)</f>
        <v>441958</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Dresden</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86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29</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f>IF('School Level Expenditures'!$B$2='School Tables'!W32,'School Tables'!AD32,"")</f>
        <v>29</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f>IF('School Level Expenditures'!$B$2=A89,'School Tables'!H89,"")</f>
        <v>86</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2022-10-03T05:41:08Z</cp:lastPrinted>
  <dcterms:created xsi:type="dcterms:W3CDTF">1997-12-04T19:04:30Z</dcterms:created>
  <dcterms:modified xsi:type="dcterms:W3CDTF">2022-12-21T15:53:16Z</dcterms:modified>
</cp:coreProperties>
</file>