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2A917CD7-3778-4DA9-9A6A-B93D2F839AB7}"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22" i="1" l="1"/>
  <c r="G522" i="1"/>
  <c r="C19" i="12" l="1"/>
  <c r="B19" i="12"/>
  <c r="F50" i="1"/>
  <c r="F24" i="1"/>
  <c r="F22" i="1"/>
  <c r="F110" i="1"/>
  <c r="F368" i="1"/>
  <c r="I359" i="1"/>
  <c r="G158" i="1"/>
  <c r="F199" i="1"/>
  <c r="H592" i="1"/>
  <c r="H209" i="1"/>
  <c r="G460" i="1"/>
  <c r="F460" i="1"/>
  <c r="G441" i="1"/>
  <c r="H397" i="1"/>
  <c r="G397" i="1"/>
  <c r="H398" i="1"/>
  <c r="J180" i="1"/>
  <c r="J96" i="1"/>
  <c r="D37" i="14" l="1"/>
  <c r="D25" i="14"/>
  <c r="E6" i="14"/>
  <c r="F6" i="13"/>
  <c r="F15" i="13"/>
  <c r="C10" i="12" l="1"/>
  <c r="B10" i="12" l="1"/>
  <c r="H155" i="1"/>
  <c r="H150" i="1"/>
  <c r="E22" i="17"/>
  <c r="E13" i="17"/>
  <c r="E9" i="17"/>
  <c r="H605" i="1"/>
  <c r="H529" i="1"/>
  <c r="G527" i="1"/>
  <c r="I527" i="1"/>
  <c r="F527" i="1"/>
  <c r="H528" i="1"/>
  <c r="H527" i="1"/>
  <c r="H524" i="1"/>
  <c r="H523" i="1"/>
  <c r="J522" i="1"/>
  <c r="I522" i="1"/>
  <c r="F29" i="1" l="1"/>
  <c r="F17" i="1"/>
  <c r="H245" i="1" l="1"/>
  <c r="H227" i="1"/>
  <c r="I208" i="1"/>
  <c r="H208" i="1"/>
  <c r="F208" i="1"/>
  <c r="I206" i="1"/>
  <c r="H206" i="1"/>
  <c r="F206" i="1"/>
  <c r="H205" i="1"/>
  <c r="F205" i="1"/>
  <c r="G205" i="1"/>
  <c r="I205" i="1"/>
  <c r="K205" i="1"/>
  <c r="J204" i="1"/>
  <c r="H204" i="1"/>
  <c r="G204" i="1"/>
  <c r="I204" i="1"/>
  <c r="F204" i="1"/>
  <c r="H239" i="1"/>
  <c r="G203" i="1"/>
  <c r="I203" i="1"/>
  <c r="F203" i="1"/>
  <c r="H221" i="1"/>
  <c r="H203" i="1"/>
  <c r="H201" i="1"/>
  <c r="K201" i="1"/>
  <c r="H235" i="1"/>
  <c r="H217" i="1"/>
  <c r="J199" i="1"/>
  <c r="I199" i="1"/>
  <c r="H199" i="1"/>
  <c r="G198" i="1"/>
  <c r="F198" i="1"/>
  <c r="I198" i="1"/>
  <c r="H198" i="1"/>
  <c r="K277" i="1"/>
  <c r="I277" i="1"/>
  <c r="K283" i="1"/>
  <c r="H283" i="1"/>
  <c r="G283" i="1"/>
  <c r="F283" i="1"/>
  <c r="J277" i="1"/>
  <c r="J283" i="1"/>
  <c r="G277" i="1"/>
  <c r="F277" i="1"/>
  <c r="K278" i="1"/>
  <c r="G278" i="1"/>
  <c r="F278" i="1"/>
  <c r="H162" i="1"/>
  <c r="H159" i="1"/>
  <c r="H154" i="1"/>
  <c r="H359"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7" i="14"/>
  <c r="F8" i="14"/>
  <c r="F9" i="14"/>
  <c r="F10" i="14"/>
  <c r="F11" i="14"/>
  <c r="F12" i="14"/>
  <c r="F13" i="14"/>
  <c r="F14" i="14"/>
  <c r="F15" i="14"/>
  <c r="F16" i="14"/>
  <c r="F17" i="14"/>
  <c r="F18" i="14"/>
  <c r="F19" i="14"/>
  <c r="F20" i="14"/>
  <c r="F25" i="14"/>
  <c r="F5" i="14"/>
  <c r="F36" i="14" l="1"/>
  <c r="F2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I121" i="1"/>
  <c r="I136" i="1"/>
  <c r="J121" i="1"/>
  <c r="J136" i="1"/>
  <c r="F147" i="1"/>
  <c r="C85" i="2" s="1"/>
  <c r="G147" i="1"/>
  <c r="D85" i="2" s="1"/>
  <c r="H147" i="1"/>
  <c r="H170" i="1" s="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H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G69" i="2"/>
  <c r="G70" i="2" s="1"/>
  <c r="C72" i="2"/>
  <c r="F72" i="2"/>
  <c r="C73" i="2"/>
  <c r="F73" i="2"/>
  <c r="C74" i="2"/>
  <c r="H74" i="2" s="1"/>
  <c r="C75" i="2"/>
  <c r="H75" i="2" s="1"/>
  <c r="C76" i="2"/>
  <c r="E76" i="2"/>
  <c r="F76" i="2"/>
  <c r="C77" i="2"/>
  <c r="D77" i="2"/>
  <c r="E77" i="2"/>
  <c r="F77" i="2"/>
  <c r="G77" i="2"/>
  <c r="G78" i="2" s="1"/>
  <c r="C79" i="2"/>
  <c r="D79" i="2"/>
  <c r="E79" i="2"/>
  <c r="C80" i="2"/>
  <c r="E80" i="2"/>
  <c r="C87" i="2"/>
  <c r="E87" i="2"/>
  <c r="F87" i="2"/>
  <c r="C89" i="2"/>
  <c r="D89" i="2"/>
  <c r="E89" i="2"/>
  <c r="F89" i="2"/>
  <c r="C90" i="2"/>
  <c r="H90" i="2" s="1"/>
  <c r="C93" i="2"/>
  <c r="F93" i="2"/>
  <c r="C94" i="2"/>
  <c r="F94" i="2"/>
  <c r="H94" i="2" s="1"/>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4" i="2"/>
  <c r="E125" i="2"/>
  <c r="F128" i="2"/>
  <c r="G128" i="2"/>
  <c r="D134" i="2"/>
  <c r="F134" i="2"/>
  <c r="K420" i="1"/>
  <c r="K428" i="1"/>
  <c r="K434" i="1"/>
  <c r="L264" i="1"/>
  <c r="C135"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H631" i="1"/>
  <c r="H637" i="1"/>
  <c r="H639" i="1"/>
  <c r="G641" i="1"/>
  <c r="G644" i="1"/>
  <c r="G645" i="1"/>
  <c r="G652" i="1"/>
  <c r="H653" i="1"/>
  <c r="G654" i="1"/>
  <c r="H655" i="1"/>
  <c r="I170" i="1"/>
  <c r="G646" i="1" l="1"/>
  <c r="J140" i="1"/>
  <c r="J112" i="1"/>
  <c r="I409" i="1"/>
  <c r="G409" i="1"/>
  <c r="H646" i="1" s="1"/>
  <c r="G62" i="2"/>
  <c r="J652" i="1"/>
  <c r="H25" i="2"/>
  <c r="D18" i="13"/>
  <c r="C18" i="13" s="1"/>
  <c r="H38" i="2"/>
  <c r="H43" i="2"/>
  <c r="H47" i="2"/>
  <c r="H125" i="2"/>
  <c r="H93" i="2"/>
  <c r="F170" i="1"/>
  <c r="H80" i="2"/>
  <c r="H79" i="2"/>
  <c r="H73" i="2"/>
  <c r="H72" i="2"/>
  <c r="H58" i="2"/>
  <c r="H26" i="2"/>
  <c r="H15" i="2"/>
  <c r="H11" i="2"/>
  <c r="H113" i="2"/>
  <c r="H143" i="2"/>
  <c r="H132" i="2"/>
  <c r="D15" i="13"/>
  <c r="C15" i="13" s="1"/>
  <c r="G651" i="1"/>
  <c r="E13" i="13"/>
  <c r="C13" i="13" s="1"/>
  <c r="C121" i="2"/>
  <c r="C119" i="2"/>
  <c r="D6" i="13"/>
  <c r="C6" i="13" s="1"/>
  <c r="C13" i="10"/>
  <c r="C112" i="2"/>
  <c r="H112" i="2" s="1"/>
  <c r="H137" i="2"/>
  <c r="C110" i="2"/>
  <c r="C120" i="2"/>
  <c r="H120" i="2" s="1"/>
  <c r="E121" i="2"/>
  <c r="H121" i="2" s="1"/>
  <c r="C12" i="10"/>
  <c r="A40" i="12"/>
  <c r="H98" i="2"/>
  <c r="H96" i="2"/>
  <c r="H87" i="2"/>
  <c r="H76" i="2"/>
  <c r="H140" i="1"/>
  <c r="H23" i="2"/>
  <c r="H48" i="2"/>
  <c r="H44" i="2"/>
  <c r="H36" i="2"/>
  <c r="H35" i="2"/>
  <c r="H34" i="2"/>
  <c r="H30" i="2"/>
  <c r="H28" i="2"/>
  <c r="H27" i="2"/>
  <c r="H24" i="2"/>
  <c r="H22" i="2"/>
  <c r="H17" i="2"/>
  <c r="H12" i="2"/>
  <c r="H9" i="2"/>
  <c r="H8" i="2"/>
  <c r="H29" i="2"/>
  <c r="H13" i="2"/>
  <c r="D144" i="2"/>
  <c r="G662" i="1"/>
  <c r="H101" i="2"/>
  <c r="H102" i="2"/>
  <c r="H99" i="2"/>
  <c r="H100" i="2"/>
  <c r="H97" i="2"/>
  <c r="H89" i="2"/>
  <c r="D78" i="2"/>
  <c r="H77" i="2"/>
  <c r="F70" i="2"/>
  <c r="H69" i="2"/>
  <c r="H61" i="2"/>
  <c r="H59" i="2"/>
  <c r="E119" i="2"/>
  <c r="H409" i="1"/>
  <c r="H645" i="1" s="1"/>
  <c r="J645" i="1" s="1"/>
  <c r="G339" i="1"/>
  <c r="G353" i="1" s="1"/>
  <c r="J258" i="1"/>
  <c r="J272" i="1" s="1"/>
  <c r="E123" i="2"/>
  <c r="E110" i="2"/>
  <c r="K339" i="1"/>
  <c r="K353" i="1" s="1"/>
  <c r="J572" i="1"/>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F662" i="1"/>
  <c r="F572" i="1"/>
  <c r="L420" i="1"/>
  <c r="D91" i="2"/>
  <c r="D81" i="2"/>
  <c r="E78" i="2"/>
  <c r="E81" i="2" s="1"/>
  <c r="G546" i="1"/>
  <c r="J644" i="1"/>
  <c r="J646" i="1"/>
  <c r="F112" i="1"/>
  <c r="L394" i="1"/>
  <c r="C138" i="2" s="1"/>
  <c r="H138" i="2" s="1"/>
  <c r="L363" i="1"/>
  <c r="B28" i="16"/>
  <c r="L329" i="1"/>
  <c r="E122" i="2"/>
  <c r="L291" i="1"/>
  <c r="L615" i="1"/>
  <c r="K599" i="1"/>
  <c r="G648" i="1" s="1"/>
  <c r="K572" i="1"/>
  <c r="L571" i="1"/>
  <c r="H572" i="1"/>
  <c r="L566" i="1"/>
  <c r="I572" i="1"/>
  <c r="K546" i="1"/>
  <c r="H52" i="1"/>
  <c r="H620" i="1" s="1"/>
  <c r="J620" i="1" s="1"/>
  <c r="C114" i="2"/>
  <c r="G112" i="1"/>
  <c r="B10" i="16" s="1"/>
  <c r="E118" i="2"/>
  <c r="L248" i="1"/>
  <c r="L212" i="1"/>
  <c r="D6" i="14" s="1"/>
  <c r="H648" i="1"/>
  <c r="G626" i="1"/>
  <c r="L530" i="1"/>
  <c r="H546" i="1"/>
  <c r="G164" i="2"/>
  <c r="G161" i="2"/>
  <c r="G157" i="2"/>
  <c r="G156" i="2"/>
  <c r="G81" i="2"/>
  <c r="C78" i="2"/>
  <c r="F78" i="2"/>
  <c r="C70" i="2"/>
  <c r="D62" i="2"/>
  <c r="E57" i="2"/>
  <c r="C26" i="10"/>
  <c r="C18" i="10"/>
  <c r="J641" i="1"/>
  <c r="J546" i="1"/>
  <c r="I477" i="1"/>
  <c r="H626" i="1" s="1"/>
  <c r="L434" i="1"/>
  <c r="L428" i="1"/>
  <c r="I258" i="1"/>
  <c r="I272" i="1" s="1"/>
  <c r="K258" i="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G21" i="2"/>
  <c r="G31" i="2" s="1"/>
  <c r="J32" i="1"/>
  <c r="J435" i="1"/>
  <c r="F435" i="1"/>
  <c r="K435" i="1"/>
  <c r="G134" i="2" s="1"/>
  <c r="G144" i="2" s="1"/>
  <c r="G145" i="2" s="1"/>
  <c r="G31" i="13"/>
  <c r="J194" i="1"/>
  <c r="G140" i="1"/>
  <c r="B11" i="16" s="1"/>
  <c r="F140" i="1"/>
  <c r="G63" i="2"/>
  <c r="G42" i="2"/>
  <c r="G50" i="2" s="1"/>
  <c r="J51" i="1"/>
  <c r="G16" i="2"/>
  <c r="G18" i="2" s="1"/>
  <c r="J19" i="1"/>
  <c r="G622" i="1" s="1"/>
  <c r="F546" i="1"/>
  <c r="H435" i="1"/>
  <c r="D103" i="2"/>
  <c r="I140" i="1"/>
  <c r="A22" i="12"/>
  <c r="J653" i="1"/>
  <c r="G572" i="1"/>
  <c r="I435" i="1"/>
  <c r="G435" i="1"/>
  <c r="I664" i="1"/>
  <c r="H110" i="2" l="1"/>
  <c r="D21" i="14"/>
  <c r="F6" i="14"/>
  <c r="F4" i="14" s="1"/>
  <c r="G647" i="1"/>
  <c r="J469" i="1"/>
  <c r="H21" i="2"/>
  <c r="L572" i="1"/>
  <c r="H134" i="2"/>
  <c r="H16" i="2"/>
  <c r="C81" i="2"/>
  <c r="H42" i="2"/>
  <c r="B17" i="16"/>
  <c r="B19" i="16" s="1"/>
  <c r="G473" i="1"/>
  <c r="H122" i="2"/>
  <c r="H123" i="2"/>
  <c r="H119" i="2"/>
  <c r="H118" i="2"/>
  <c r="H114" i="2"/>
  <c r="F194" i="1"/>
  <c r="F469" i="1" s="1"/>
  <c r="H70" i="2"/>
  <c r="E144" i="2"/>
  <c r="H85" i="2"/>
  <c r="E62" i="2"/>
  <c r="E63" i="2" s="1"/>
  <c r="E104" i="2" s="1"/>
  <c r="H57" i="2"/>
  <c r="E51" i="2"/>
  <c r="E128" i="2"/>
  <c r="F661" i="1"/>
  <c r="F665" i="1" s="1"/>
  <c r="F668" i="1" s="1"/>
  <c r="E115" i="2"/>
  <c r="H109" i="2"/>
  <c r="H31" i="2"/>
  <c r="H18" i="2"/>
  <c r="D128" i="2"/>
  <c r="H127" i="2"/>
  <c r="H103" i="2"/>
  <c r="H91" i="2"/>
  <c r="H78" i="2"/>
  <c r="F81" i="2"/>
  <c r="H81" i="2" s="1"/>
  <c r="D63" i="2"/>
  <c r="F144" i="2"/>
  <c r="H130" i="2"/>
  <c r="H661" i="1"/>
  <c r="H665" i="1" s="1"/>
  <c r="H668" i="1" s="1"/>
  <c r="H194" i="1"/>
  <c r="H649" i="1"/>
  <c r="J649" i="1" s="1"/>
  <c r="F51" i="2"/>
  <c r="G36" i="14"/>
  <c r="H36" i="14" s="1"/>
  <c r="I36" i="14" s="1"/>
  <c r="C36" i="10"/>
  <c r="L435" i="1"/>
  <c r="G639" i="1" s="1"/>
  <c r="J639" i="1" s="1"/>
  <c r="I662" i="1"/>
  <c r="G104" i="2"/>
  <c r="L339" i="1"/>
  <c r="L353" i="1" s="1"/>
  <c r="I194" i="1"/>
  <c r="G631" i="1" s="1"/>
  <c r="J631" i="1" s="1"/>
  <c r="G636" i="1"/>
  <c r="G51" i="2"/>
  <c r="L409" i="1"/>
  <c r="C27" i="10"/>
  <c r="C28" i="10" s="1"/>
  <c r="D23" i="10" s="1"/>
  <c r="G4" i="14"/>
  <c r="H4" i="14" s="1"/>
  <c r="I4" i="14" s="1"/>
  <c r="L546" i="1"/>
  <c r="J626" i="1"/>
  <c r="B14" i="16"/>
  <c r="E33" i="13"/>
  <c r="D35" i="13" s="1"/>
  <c r="J648" i="1"/>
  <c r="L258" i="1"/>
  <c r="C115" i="2"/>
  <c r="C63" i="2"/>
  <c r="C104" i="2" s="1"/>
  <c r="C39" i="10"/>
  <c r="G33" i="13"/>
  <c r="C128" i="2"/>
  <c r="D31" i="13"/>
  <c r="C31" i="13" s="1"/>
  <c r="I462" i="1"/>
  <c r="H643" i="1" s="1"/>
  <c r="J643" i="1" s="1"/>
  <c r="G661" i="1"/>
  <c r="G665" i="1" s="1"/>
  <c r="G673" i="1" s="1"/>
  <c r="C5" i="10" s="1"/>
  <c r="C25" i="13"/>
  <c r="I33" i="13"/>
  <c r="K553" i="1"/>
  <c r="C51" i="2"/>
  <c r="G632" i="1"/>
  <c r="G194" i="1"/>
  <c r="G627" i="1"/>
  <c r="J52" i="1"/>
  <c r="H622" i="1" s="1"/>
  <c r="J622" i="1" s="1"/>
  <c r="C38" i="10"/>
  <c r="J471" i="1" l="1"/>
  <c r="J477" i="1" s="1"/>
  <c r="H627" i="1" s="1"/>
  <c r="H632" i="1"/>
  <c r="J632" i="1" s="1"/>
  <c r="H638" i="1"/>
  <c r="J627" i="1"/>
  <c r="B22" i="16"/>
  <c r="G629" i="1"/>
  <c r="G469" i="1"/>
  <c r="J636" i="1"/>
  <c r="G475" i="1"/>
  <c r="H636" i="1"/>
  <c r="H628" i="1"/>
  <c r="F471" i="1"/>
  <c r="G628" i="1"/>
  <c r="J628" i="1" s="1"/>
  <c r="H115" i="2"/>
  <c r="H62" i="2"/>
  <c r="H63" i="2"/>
  <c r="G630" i="1"/>
  <c r="H469" i="1"/>
  <c r="E145" i="2"/>
  <c r="G634" i="1"/>
  <c r="H473" i="1"/>
  <c r="D145" i="2"/>
  <c r="H128" i="2"/>
  <c r="F104" i="2"/>
  <c r="D104" i="2"/>
  <c r="H673" i="1"/>
  <c r="C6" i="10" s="1"/>
  <c r="F145" i="2"/>
  <c r="F673" i="1"/>
  <c r="C4" i="10" s="1"/>
  <c r="I661" i="1"/>
  <c r="I665" i="1" s="1"/>
  <c r="I673" i="1" s="1"/>
  <c r="C7" i="10"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J638" i="1" l="1"/>
  <c r="G471" i="1"/>
  <c r="H629" i="1"/>
  <c r="J629" i="1" s="1"/>
  <c r="G477" i="1"/>
  <c r="G40" i="1"/>
  <c r="B33" i="16"/>
  <c r="H624" i="1"/>
  <c r="H656" i="1"/>
  <c r="J656" i="1" s="1"/>
  <c r="L267" i="1"/>
  <c r="C141" i="2" s="1"/>
  <c r="H141" i="2" s="1"/>
  <c r="L265" i="1"/>
  <c r="C136" i="2" s="1"/>
  <c r="K271" i="1"/>
  <c r="H654" i="1"/>
  <c r="J654" i="1" s="1"/>
  <c r="H471" i="1"/>
  <c r="H630" i="1"/>
  <c r="J630" i="1" s="1"/>
  <c r="H634" i="1"/>
  <c r="H475" i="1"/>
  <c r="J634" i="1"/>
  <c r="H104" i="2"/>
  <c r="I668" i="1"/>
  <c r="D28" i="10"/>
  <c r="D37" i="10"/>
  <c r="D36" i="10"/>
  <c r="D35" i="10"/>
  <c r="D40" i="10"/>
  <c r="D39" i="10"/>
  <c r="G51" i="1" l="1"/>
  <c r="D39" i="2"/>
  <c r="L271" i="1"/>
  <c r="L272" i="1" s="1"/>
  <c r="K272" i="1"/>
  <c r="H136" i="2"/>
  <c r="C144" i="2"/>
  <c r="H477" i="1"/>
  <c r="H625" i="1" s="1"/>
  <c r="J625" i="1" s="1"/>
  <c r="D41" i="10"/>
  <c r="G624" i="1" l="1"/>
  <c r="J624" i="1" s="1"/>
  <c r="G52" i="1"/>
  <c r="H619" i="1" s="1"/>
  <c r="J619" i="1" s="1"/>
  <c r="D50" i="2"/>
  <c r="H39" i="2"/>
  <c r="G633" i="1"/>
  <c r="F473" i="1"/>
  <c r="C145" i="2"/>
  <c r="H145" i="2" s="1"/>
  <c r="H144" i="2"/>
  <c r="H50" i="2" l="1"/>
  <c r="D51" i="2"/>
  <c r="H51" i="2" s="1"/>
  <c r="H633" i="1"/>
  <c r="F475" i="1"/>
  <c r="F477" i="1" s="1"/>
  <c r="H623" i="1" s="1"/>
  <c r="J633" i="1"/>
  <c r="J623"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<sst xmlns="http://schemas.openxmlformats.org/spreadsheetml/2006/main" count="6533" uniqueCount="1805">
  <si>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</si>
  <si>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</si>
  <si>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</si>
  <si>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</si>
  <si>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</si>
  <si>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</si>
  <si>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</si>
  <si>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</si>
  <si>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</si>
  <si>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</si>
  <si>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</si>
  <si>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</si>
  <si>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</si>
  <si>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</si>
  <si>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</si>
  <si>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</si>
  <si>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</si>
  <si>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</si>
  <si>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</si>
  <si>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</si>
  <si>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</si>
  <si>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</si>
  <si>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</si>
  <si>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</si>
  <si>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</si>
  <si>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</si>
  <si>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</si>
  <si>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</si>
  <si>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</si>
  <si>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</si>
  <si>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</si>
  <si>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</si>
  <si>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</si>
  <si>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</si>
  <si>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</si>
  <si>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</si>
  <si>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</si>
  <si>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</si>
  <si>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</si>
  <si>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</si>
  <si>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</si>
  <si>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</si>
  <si>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</si>
  <si>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</si>
  <si>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</si>
  <si>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</si>
  <si>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</si>
  <si>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</si>
  <si>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</si>
  <si>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</si>
  <si>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</si>
  <si>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</si>
  <si>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</si>
  <si>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</si>
  <si>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</si>
  <si>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</si>
  <si>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</si>
  <si>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</si>
  <si>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</si>
  <si>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</si>
  <si>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</si>
  <si>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</si>
  <si>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</si>
  <si>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</si>
  <si>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</si>
  <si>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</si>
  <si>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</si>
  <si>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</si>
  <si>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</si>
  <si>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</si>
  <si>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</si>
  <si>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</si>
  <si>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</si>
  <si>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</si>
  <si>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</si>
  <si>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</si>
  <si>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</si>
  <si>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</si>
  <si>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</si>
  <si>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</si>
  <si>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</si>
  <si>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</si>
  <si>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</si>
  <si>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</si>
  <si>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</si>
  <si>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</si>
  <si>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</si>
  <si>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</si>
  <si>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</si>
  <si>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</si>
  <si>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</si>
  <si>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</si>
  <si>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</si>
  <si>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</si>
  <si>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</si>
  <si>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</si>
  <si>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</si>
  <si>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</si>
  <si>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</si>
  <si>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</si>
  <si>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</si>
  <si>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</si>
  <si>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</si>
  <si>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</si>
  <si>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</si>
  <si>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</si>
  <si>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</si>
  <si>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</si>
  <si>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</si>
  <si>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</si>
  <si>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</si>
  <si>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</si>
  <si>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</si>
  <si>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</si>
  <si>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</si>
  <si>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</si>
  <si>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</si>
  <si>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</si>
  <si>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</si>
  <si>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</si>
  <si>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</si>
  <si>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</si>
  <si>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</si>
  <si>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</si>
  <si>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</si>
  <si>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</si>
  <si>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</si>
  <si>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</si>
  <si>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</si>
  <si>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</si>
  <si>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</si>
  <si>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</si>
  <si>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</si>
  <si>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</si>
  <si>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</si>
  <si>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</si>
  <si>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</si>
  <si>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</si>
  <si>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</si>
  <si>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</si>
  <si>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</si>
  <si>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</si>
  <si>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</si>
  <si>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</si>
  <si>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</si>
  <si>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</si>
  <si>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</si>
  <si>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</si>
  <si>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</si>
  <si>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</si>
  <si>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</si>
  <si>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</si>
  <si>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</si>
  <si>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</si>
  <si>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</si>
  <si>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</si>
  <si>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</si>
  <si>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</si>
  <si>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</si>
  <si>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</si>
  <si>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</si>
  <si>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</si>
  <si>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</si>
  <si>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</si>
  <si>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</si>
  <si>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</si>
  <si>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</si>
  <si>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</si>
  <si>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</si>
  <si>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</si>
  <si>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</si>
  <si>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</si>
  <si>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</si>
  <si>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</si>
  <si>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</si>
  <si>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</si>
  <si>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</si>
  <si>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</si>
  <si>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</si>
  <si>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</si>
  <si>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</si>
  <si>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</si>
  <si>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</si>
  <si>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</si>
  <si>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</si>
  <si>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</si>
  <si>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</si>
  <si>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</si>
  <si>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</si>
  <si>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</si>
  <si>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</si>
  <si>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</si>
  <si>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</si>
  <si>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</si>
  <si>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</si>
  <si>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</si>
  <si>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</si>
  <si>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</si>
  <si>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</si>
  <si>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</si>
  <si>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</si>
  <si>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</si>
  <si>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</si>
  <si>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</si>
  <si>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</si>
  <si>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</si>
  <si>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</si>
  <si>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</si>
  <si>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</si>
  <si>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</si>
  <si>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</si>
  <si>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</si>
  <si>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</si>
  <si>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</si>
  <si>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</si>
  <si>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</si>
  <si>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</si>
  <si>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</si>
  <si>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</si>
  <si>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</si>
  <si>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</si>
  <si>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</si>
  <si>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</si>
  <si>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</si>
  <si>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</si>
  <si>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</si>
  <si>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</si>
  <si>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</si>
  <si>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</si>
  <si>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</si>
  <si>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</si>
  <si>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</si>
  <si>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</si>
  <si>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</si>
  <si>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</si>
  <si>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</si>
  <si>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</si>
  <si>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</si>
  <si>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</si>
  <si>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</si>
  <si>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</si>
  <si>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</si>
  <si>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</si>
  <si>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</si>
  <si>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</si>
  <si>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</si>
  <si>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</si>
  <si>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</si>
  <si>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</si>
  <si>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</si>
  <si>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</si>
  <si>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</si>
  <si>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</si>
  <si>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</si>
  <si>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</si>
  <si>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</si>
  <si>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</si>
  <si>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</si>
  <si>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</si>
  <si>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</si>
  <si>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</si>
  <si>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</si>
  <si>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</si>
  <si>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</si>
  <si>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</si>
  <si>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</si>
  <si>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</si>
  <si>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</si>
  <si>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</si>
  <si>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</si>
  <si>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</si>
  <si>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</si>
  <si>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</si>
  <si>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</si>
  <si>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</si>
  <si>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</si>
  <si>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</si>
  <si>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</si>
  <si>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</si>
  <si>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</si>
  <si>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</si>
  <si>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</si>
  <si>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</si>
  <si>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</si>
  <si>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</si>
  <si>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</si>
  <si>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</si>
  <si>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</si>
  <si>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</si>
  <si>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</si>
  <si>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</si>
  <si>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</si>
  <si>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</si>
  <si>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</si>
  <si>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</si>
  <si>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</si>
  <si>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</si>
  <si>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</si>
  <si>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</si>
  <si>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</si>
  <si>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</si>
  <si>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</si>
  <si>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</si>
  <si>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</si>
  <si>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</si>
  <si>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</si>
  <si>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</si>
  <si>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</si>
  <si>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</si>
  <si>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</si>
  <si>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</si>
  <si>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</si>
  <si>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</si>
  <si>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</si>
  <si>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</si>
  <si>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</si>
  <si>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</si>
  <si>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</si>
  <si>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</si>
  <si>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</si>
  <si>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</si>
  <si>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</si>
  <si>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</si>
  <si>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</si>
  <si>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</si>
  <si>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</si>
  <si>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</si>
  <si>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</si>
  <si>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</si>
  <si>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</si>
  <si>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</si>
  <si>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</si>
  <si>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</si>
  <si>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</si>
  <si>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</si>
  <si>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</si>
  <si>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</si>
  <si>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</si>
  <si>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</si>
  <si>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</si>
  <si>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</si>
  <si>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</si>
  <si>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</si>
  <si>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</si>
  <si>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</si>
  <si>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</si>
  <si>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</si>
  <si>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</si>
  <si>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</si>
  <si>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</si>
  <si>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</si>
  <si>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</si>
  <si>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</si>
  <si>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</si>
  <si>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</si>
  <si>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</si>
  <si>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</si>
  <si>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</si>
  <si>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</si>
  <si>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</si>
  <si>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</si>
  <si>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</si>
  <si>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</si>
  <si>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</si>
  <si>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</si>
  <si>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</si>
  <si>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</si>
  <si>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</si>
  <si>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</si>
  <si>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</si>
  <si>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</si>
  <si>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</si>
  <si>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</si>
  <si>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</si>
  <si>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</si>
  <si>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</si>
  <si>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</si>
  <si>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</si>
  <si>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</si>
  <si>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</si>
  <si>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</si>
  <si>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</si>
  <si>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</si>
  <si>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</si>
  <si>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</si>
  <si>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</si>
  <si>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</si>
  <si>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</si>
  <si>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</si>
  <si>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</si>
  <si>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</si>
  <si>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</si>
  <si>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</si>
  <si>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</si>
  <si>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</si>
  <si>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</si>
  <si>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</si>
  <si>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</si>
  <si>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</si>
  <si>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</si>
  <si>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</si>
  <si>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</si>
  <si>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</si>
  <si>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</si>
  <si>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</si>
  <si>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</si>
  <si>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</si>
  <si>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</si>
  <si>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</si>
  <si>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</si>
  <si>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</si>
  <si>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</si>
  <si>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</si>
  <si>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</si>
  <si>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</si>
  <si>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</si>
  <si>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</si>
  <si>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</si>
  <si>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</si>
  <si>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</si>
  <si>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</si>
  <si>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</si>
  <si>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</si>
  <si>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</si>
  <si>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</si>
  <si>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</si>
  <si>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</si>
  <si>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</si>
  <si>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</si>
  <si>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</si>
  <si>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</si>
  <si>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</si>
  <si>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</si>
  <si>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</si>
  <si>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</si>
  <si>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</si>
  <si>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</si>
  <si>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</si>
  <si>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</si>
  <si>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</si>
  <si>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</si>
  <si>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</si>
  <si>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</si>
  <si>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</si>
  <si>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</si>
  <si>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</si>
  <si>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</si>
  <si>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</si>
  <si>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</si>
  <si>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</si>
  <si>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</si>
  <si>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</si>
  <si>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</si>
  <si>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</si>
  <si>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</si>
  <si>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</si>
  <si>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</si>
  <si>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</si>
  <si>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</si>
  <si>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</si>
  <si>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</si>
  <si>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</si>
  <si>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</si>
  <si>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</si>
  <si>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</si>
  <si>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</si>
  <si>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</si>
  <si>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</si>
  <si>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</si>
  <si>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</si>
  <si>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</si>
  <si>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</si>
  <si>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</si>
  <si>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</si>
  <si>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</si>
  <si>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</si>
  <si>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</si>
  <si>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</si>
  <si>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</si>
  <si>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</si>
  <si>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</si>
  <si>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</si>
  <si>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</si>
  <si>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</si>
  <si>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</si>
  <si>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</si>
  <si>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</si>
  <si>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</si>
  <si>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</si>
  <si>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</si>
  <si>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</si>
  <si>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</si>
  <si>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</si>
  <si>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</si>
  <si>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</si>
  <si>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</si>
  <si>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</si>
  <si>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</si>
  <si>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</si>
  <si>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</si>
  <si>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</si>
  <si>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</si>
  <si>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</si>
  <si>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</si>
  <si>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</si>
  <si>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</si>
  <si>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</si>
  <si>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</si>
  <si>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</si>
  <si>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</si>
  <si>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</si>
  <si>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</si>
  <si>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</si>
  <si>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</si>
  <si>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</si>
  <si>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</si>
  <si>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</si>
  <si>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</si>
  <si>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</si>
  <si>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</si>
  <si>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</si>
  <si>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</si>
  <si>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</si>
  <si>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</si>
  <si>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</si>
  <si>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</si>
  <si>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</si>
  <si>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</si>
  <si>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</si>
  <si>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</si>
  <si>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</si>
  <si>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</si>
  <si>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</si>
  <si>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</si>
  <si>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</si>
  <si>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</si>
  <si>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</si>
  <si>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</si>
  <si>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</si>
  <si>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</si>
  <si>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</si>
  <si>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</si>
  <si>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</si>
  <si>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</si>
  <si>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</si>
  <si>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</si>
  <si>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</si>
  <si>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</si>
  <si>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</si>
  <si>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</si>
  <si>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</si>
  <si>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</si>
  <si>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</si>
  <si>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</si>
  <si>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</si>
  <si>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</si>
  <si>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</si>
  <si>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</si>
  <si>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</si>
  <si>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</si>
  <si>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</si>
  <si>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</si>
  <si>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</si>
  <si>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</si>
  <si>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</si>
  <si>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</si>
  <si>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</si>
  <si>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</si>
  <si>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</si>
  <si>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</si>
  <si>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</si>
  <si>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</si>
  <si>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</si>
  <si>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</si>
  <si>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</si>
  <si>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</si>
  <si>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</si>
  <si>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</si>
  <si>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</si>
  <si>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</si>
  <si>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</si>
  <si>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</si>
  <si>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</si>
  <si>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</si>
  <si>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</si>
  <si>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</si>
  <si>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</si>
  <si>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</si>
  <si>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</si>
  <si>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</si>
  <si>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</si>
  <si>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</si>
  <si>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</si>
  <si>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</si>
  <si>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</si>
  <si>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</si>
  <si>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</si>
  <si>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</si>
  <si>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</si>
  <si>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</si>
  <si>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</si>
  <si>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</si>
  <si>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</si>
  <si>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</si>
  <si>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</si>
  <si>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</si>
  <si>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</si>
  <si>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</si>
  <si>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</si>
  <si>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</si>
  <si>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</si>
  <si>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</si>
  <si>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</si>
  <si>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</si>
  <si>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</si>
  <si>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</si>
  <si>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</si>
  <si>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</si>
  <si>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</si>
  <si>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</si>
  <si>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</si>
  <si>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</si>
  <si>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</si>
  <si>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</si>
  <si>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</si>
  <si>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</si>
  <si>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</si>
  <si>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</si>
  <si>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</si>
  <si>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</si>
  <si>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</si>
  <si>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</si>
  <si>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</si>
  <si>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</si>
  <si>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</si>
  <si>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</si>
  <si>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</si>
  <si>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</si>
  <si>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</si>
  <si>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</si>
  <si>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</si>
  <si>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</si>
  <si>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</si>
  <si>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</si>
  <si>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</si>
  <si>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</si>
  <si>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</si>
  <si>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</si>
  <si>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</si>
  <si>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</si>
  <si>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</si>
  <si>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</si>
  <si>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</si>
  <si>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</si>
  <si>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</si>
  <si>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</si>
  <si>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</si>
  <si>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</si>
  <si>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</si>
  <si>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</si>
  <si>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</si>
  <si>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</si>
  <si>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</si>
  <si>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</si>
  <si>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</si>
  <si>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</si>
  <si>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</si>
  <si>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</si>
  <si>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</si>
  <si>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</si>
  <si>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</si>
  <si>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</si>
  <si>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</si>
  <si>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</si>
  <si>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</si>
  <si>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</si>
  <si>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</si>
  <si>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</si>
  <si>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</si>
  <si>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</si>
  <si>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</si>
  <si>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</si>
  <si>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</si>
  <si>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</si>
  <si>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</si>
  <si>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</si>
  <si>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</si>
  <si>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</si>
  <si>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</si>
  <si>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</si>
  <si>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</si>
  <si>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</si>
  <si>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</si>
  <si>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</si>
  <si>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</si>
  <si>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</si>
  <si>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</si>
  <si>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</si>
  <si>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</si>
  <si>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</si>
  <si>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</si>
  <si>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</si>
  <si>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</si>
  <si>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</si>
  <si>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</si>
  <si>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</si>
  <si>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</si>
  <si>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</si>
  <si>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</si>
  <si>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</si>
  <si>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</si>
  <si>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</si>
  <si>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</si>
  <si>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</si>
  <si>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</si>
  <si>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</si>
  <si>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</si>
  <si>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</si>
  <si>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</si>
  <si>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</si>
  <si>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</si>
  <si>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</si>
  <si>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</si>
  <si>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</si>
  <si>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</si>
  <si>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</si>
  <si>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</si>
  <si>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</si>
  <si>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</si>
  <si>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</si>
  <si>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</si>
  <si>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</si>
  <si>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</si>
  <si>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</si>
  <si>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</si>
  <si>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</si>
  <si>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</si>
  <si>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</si>
  <si>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</si>
  <si>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</si>
  <si>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</si>
  <si>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</si>
  <si>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</si>
  <si>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</si>
  <si>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</si>
  <si>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</si>
  <si>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</si>
  <si>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</si>
  <si>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</si>
  <si>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</si>
  <si>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</si>
  <si>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</si>
  <si>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</si>
  <si>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</si>
  <si>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</si>
  <si>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</si>
  <si>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</si>
  <si>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</si>
  <si>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</si>
  <si>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</si>
  <si>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</si>
  <si>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</si>
  <si>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</si>
  <si>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</si>
  <si>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</si>
  <si>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</si>
  <si>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</si>
  <si>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</si>
  <si>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</si>
  <si>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</si>
  <si>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</si>
  <si>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</si>
  <si>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</si>
  <si>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</si>
  <si>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</si>
  <si>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</si>
  <si>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</si>
  <si>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</si>
  <si>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</si>
  <si>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</si>
  <si>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</si>
  <si>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</si>
  <si>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</si>
  <si>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</si>
  <si>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</si>
  <si>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</si>
  <si>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</si>
  <si>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</si>
  <si>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</si>
  <si>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</si>
  <si>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</si>
  <si>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</si>
  <si>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</si>
  <si>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</si>
  <si>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</si>
  <si>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</si>
  <si>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</si>
  <si>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</si>
  <si>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</si>
  <si>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</si>
  <si>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</si>
  <si>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</si>
  <si>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</si>
  <si>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</si>
  <si>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</si>
  <si>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</si>
  <si>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</si>
  <si>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</si>
  <si>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</si>
  <si>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</si>
  <si>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</si>
  <si>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</si>
  <si>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</si>
  <si>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</si>
  <si>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</si>
  <si>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</si>
  <si>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</si>
  <si>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</si>
  <si>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</si>
  <si>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</si>
  <si>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</si>
  <si>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</si>
  <si>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</si>
  <si>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</si>
  <si>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</si>
  <si>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</si>
  <si>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</si>
  <si>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</si>
  <si>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</si>
  <si>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</si>
  <si>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</si>
  <si>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</si>
  <si>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</si>
  <si>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</si>
  <si>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</si>
  <si>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</si>
  <si>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</si>
  <si>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</si>
  <si>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</si>
  <si>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</si>
  <si>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</si>
  <si>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</si>
  <si>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</si>
  <si>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</si>
  <si>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</si>
  <si>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</si>
  <si>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</si>
  <si>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</si>
  <si>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</si>
  <si>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</si>
  <si>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</si>
  <si>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</si>
  <si>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</si>
  <si>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</si>
  <si>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</si>
  <si>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</si>
  <si>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</si>
  <si>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</si>
  <si>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</si>
  <si>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</si>
  <si>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</si>
  <si>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</si>
  <si>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</si>
  <si>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</si>
  <si>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</si>
  <si>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</si>
  <si>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</si>
  <si>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</si>
  <si>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</si>
  <si>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</si>
  <si>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</si>
  <si>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</si>
  <si>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</si>
  <si>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</si>
  <si>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</si>
  <si>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</si>
  <si>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</si>
  <si>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</si>
  <si>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</si>
  <si>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</si>
  <si>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</si>
  <si>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</si>
  <si>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</si>
  <si>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</si>
  <si>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</si>
  <si>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</si>
  <si>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</si>
  <si>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</si>
  <si>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</si>
  <si>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</si>
  <si>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</si>
  <si>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</si>
  <si>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</si>
  <si>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</si>
  <si>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</si>
  <si>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</si>
  <si>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</si>
  <si>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</si>
  <si>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</si>
  <si>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</si>
  <si>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</si>
  <si>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</si>
  <si>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</si>
  <si>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</si>
  <si>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</si>
  <si>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</si>
  <si>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</si>
  <si>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</si>
  <si>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</si>
  <si>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</si>
  <si>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</si>
  <si>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</si>
  <si>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</si>
  <si>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</si>
  <si>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</si>
  <si>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</si>
  <si>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</si>
  <si>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</si>
  <si>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</si>
  <si>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</si>
  <si>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</si>
  <si>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</si>
  <si>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</si>
  <si>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</si>
  <si>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</si>
  <si>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</si>
  <si>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</si>
  <si>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</si>
  <si>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</si>
  <si>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</si>
  <si>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</si>
  <si>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</si>
  <si>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</si>
  <si>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</si>
  <si>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</si>
  <si>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</si>
  <si>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</si>
  <si>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</si>
  <si>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</si>
  <si>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</si>
  <si>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</si>
  <si>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</si>
  <si>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</si>
  <si>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</si>
  <si>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</si>
  <si>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</si>
  <si>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</si>
  <si>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</si>
  <si>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</si>
  <si>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</si>
  <si>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</si>
  <si>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</si>
  <si>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</si>
  <si>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</si>
  <si>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</si>
  <si>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</si>
  <si>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</si>
  <si>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</si>
  <si>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</si>
  <si>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</si>
  <si>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</si>
  <si>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</si>
  <si>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</si>
  <si>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</si>
  <si>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</si>
  <si>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</si>
  <si>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</si>
  <si>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</si>
  <si>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</si>
  <si>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</si>
  <si>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</si>
  <si>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</si>
  <si>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</si>
  <si>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</si>
  <si>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</si>
  <si>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</si>
  <si>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</si>
  <si>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</si>
  <si>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</si>
  <si>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</si>
  <si>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</si>
  <si>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</si>
  <si>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</si>
  <si>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</si>
  <si>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</si>
  <si>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</si>
  <si>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</si>
  <si>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</si>
  <si>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</si>
  <si>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</si>
  <si>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</si>
  <si>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</si>
  <si>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</si>
  <si>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</si>
  <si>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</si>
  <si>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</si>
  <si>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</si>
  <si>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</si>
  <si>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</si>
  <si>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</si>
  <si>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</si>
  <si>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</si>
  <si>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</si>
  <si>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</si>
  <si>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</si>
  <si>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</si>
  <si>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</si>
  <si>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</si>
  <si>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</si>
  <si>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</si>
  <si>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</si>
  <si>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</si>
  <si>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</si>
  <si>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</si>
  <si>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</si>
  <si>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</si>
  <si>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</si>
  <si>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</si>
  <si>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</si>
  <si>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</si>
  <si>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</si>
  <si>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</si>
  <si>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</si>
  <si>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</si>
  <si>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</si>
  <si>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</si>
  <si>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</si>
  <si>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</si>
  <si>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</si>
  <si>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</si>
  <si>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</si>
  <si>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</si>
  <si>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</si>
  <si>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</si>
  <si>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</si>
  <si>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</si>
  <si>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</si>
  <si>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</si>
  <si>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</si>
  <si>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</si>
  <si>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</si>
  <si>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</si>
  <si>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</si>
  <si>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</si>
  <si>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</si>
  <si>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</si>
  <si>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</si>
  <si>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</si>
  <si>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</si>
  <si>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</si>
  <si>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</si>
  <si>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</si>
  <si>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</si>
  <si>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</si>
  <si>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</si>
  <si>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</si>
  <si>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</si>
  <si>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</si>
  <si>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</si>
  <si>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</si>
  <si>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</si>
  <si>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</si>
  <si>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</si>
  <si>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</si>
  <si>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</si>
  <si>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</si>
  <si>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</si>
  <si>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</si>
  <si>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</si>
  <si>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</si>
  <si>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</si>
  <si>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</si>
  <si>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</si>
  <si>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</si>
  <si>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</si>
  <si>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</si>
  <si>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</si>
  <si>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</si>
  <si>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</si>
  <si>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</si>
  <si>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</si>
  <si>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</si>
  <si>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</si>
  <si>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</si>
  <si>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</si>
  <si>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</si>
  <si>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</si>
  <si>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</si>
  <si>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</si>
  <si>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</si>
  <si>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</si>
  <si>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</si>
  <si>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</si>
  <si>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</si>
  <si>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</si>
  <si>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</si>
  <si>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</si>
  <si>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</si>
  <si>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</si>
  <si>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</si>
  <si>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</si>
  <si>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</si>
  <si>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</si>
  <si>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</si>
  <si>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</si>
  <si>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</si>
  <si>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</si>
  <si>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</si>
  <si>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</si>
  <si>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</si>
  <si>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</si>
  <si>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</si>
  <si>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</si>
  <si>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</si>
  <si>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</si>
  <si>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</si>
  <si>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</si>
  <si>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</si>
  <si>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</si>
  <si>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</si>
  <si>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</si>
  <si>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</si>
  <si>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</si>
  <si>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</si>
  <si>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</si>
  <si>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</si>
  <si>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</si>
  <si>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</si>
  <si>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</si>
  <si>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</si>
  <si>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</si>
  <si>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</si>
  <si>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</si>
  <si>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</si>
  <si>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</si>
  <si>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</si>
  <si>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</si>
  <si>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</si>
  <si>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</si>
  <si>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</si>
  <si>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</si>
  <si>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</si>
  <si>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</si>
  <si>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</si>
  <si>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</si>
  <si>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</si>
  <si>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</si>
  <si>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</si>
  <si>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</si>
  <si>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</si>
  <si>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</si>
  <si>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</si>
  <si>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</si>
  <si>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</si>
  <si>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</si>
  <si>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</si>
  <si>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</si>
  <si>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</si>
  <si>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</si>
  <si>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</si>
  <si>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</si>
  <si>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</si>
  <si>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</si>
  <si>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</si>
  <si>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</si>
  <si>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</si>
  <si>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</si>
  <si>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</si>
  <si>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</si>
  <si>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</si>
  <si>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</si>
  <si>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</si>
  <si>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</si>
  <si>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</si>
  <si>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</si>
  <si>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</si>
  <si>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</si>
  <si>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</si>
  <si>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</si>
  <si>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</si>
  <si>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</si>
  <si>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</si>
  <si>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</si>
  <si>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</si>
  <si>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</si>
  <si>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</si>
  <si>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</si>
  <si>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</si>
  <si>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</si>
  <si>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</si>
  <si>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</si>
  <si>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</si>
  <si>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</si>
  <si>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</si>
  <si>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</si>
  <si>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</si>
  <si>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</si>
  <si>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</si>
  <si>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</si>
  <si>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</si>
  <si>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</si>
  <si>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</si>
  <si>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</si>
  <si>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</si>
  <si>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</si>
  <si>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</si>
  <si>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</si>
  <si>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</si>
  <si>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</si>
  <si>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</si>
  <si>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</si>
  <si>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</si>
  <si>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</si>
  <si>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</si>
  <si>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</si>
  <si>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</si>
  <si>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</si>
  <si>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</si>
  <si>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</si>
  <si>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</si>
  <si>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</si>
  <si>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</si>
  <si>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</si>
  <si>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</si>
  <si>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</si>
  <si>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</si>
  <si>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</si>
  <si>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</si>
  <si>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</si>
  <si>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</si>
  <si>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</si>
  <si>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</si>
  <si>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</si>
  <si>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</si>
  <si>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</si>
  <si>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</si>
  <si>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</si>
  <si>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</si>
  <si>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</si>
  <si>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</si>
  <si>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</si>
  <si>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</si>
  <si>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</si>
  <si>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</si>
  <si>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</si>
  <si>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</si>
  <si>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</si>
  <si>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</si>
  <si>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</si>
  <si>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</si>
  <si>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</si>
  <si>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</si>
  <si>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</si>
  <si>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</si>
  <si>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</si>
  <si>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</si>
  <si>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</si>
  <si>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</si>
  <si>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</si>
  <si>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</si>
  <si>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</si>
  <si>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</si>
  <si>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</si>
  <si>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</si>
  <si>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</si>
  <si>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</si>
  <si>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</si>
  <si>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</si>
  <si>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</si>
  <si>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</si>
  <si>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</si>
  <si>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</si>
  <si>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</si>
  <si>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</si>
  <si>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</si>
  <si>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</si>
  <si>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</si>
  <si>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</si>
  <si>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</si>
  <si>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</si>
  <si>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</si>
  <si>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</si>
  <si>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</si>
  <si>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</si>
  <si>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</si>
  <si>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</si>
  <si>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</si>
  <si>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</si>
  <si>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</si>
  <si>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</si>
  <si>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</si>
  <si>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</si>
  <si>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</si>
  <si>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</si>
  <si>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</si>
  <si>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</si>
  <si>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</si>
  <si>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</si>
  <si>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</si>
  <si>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</si>
  <si>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</si>
  <si>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</si>
  <si>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</si>
  <si>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</si>
  <si>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</si>
  <si>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</si>
  <si>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</si>
  <si>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</si>
  <si>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</si>
  <si>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</si>
  <si>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</si>
  <si>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</si>
  <si>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</si>
  <si>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</si>
  <si>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</si>
  <si>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</si>
  <si>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</si>
  <si>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</si>
  <si>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</si>
  <si>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</si>
  <si>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</si>
  <si>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</si>
  <si>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</si>
  <si>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</si>
  <si>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</si>
  <si>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</si>
  <si>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</si>
  <si>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</si>
  <si>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</si>
  <si>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</si>
  <si>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</si>
  <si>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</si>
  <si>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</si>
  <si>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</si>
  <si>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</si>
  <si>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</si>
  <si>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</si>
  <si>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</si>
  <si>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</si>
  <si>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</si>
  <si>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</si>
  <si>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</si>
  <si>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</si>
  <si>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</si>
  <si>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</si>
  <si>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</si>
  <si>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</si>
  <si>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</si>
  <si>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</si>
  <si>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</si>
  <si>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</si>
  <si>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</si>
  <si>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</si>
  <si>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</si>
  <si>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</si>
  <si>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</si>
  <si>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</si>
  <si>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</si>
  <si>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</si>
  <si>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</si>
  <si>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</si>
  <si>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</si>
  <si>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</si>
  <si>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</si>
  <si>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</si>
  <si>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</si>
  <si>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</si>
  <si>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</si>
  <si>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</si>
  <si>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</si>
  <si>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</si>
  <si>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</si>
  <si>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</si>
  <si>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</si>
  <si>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</si>
  <si>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</si>
  <si>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</si>
  <si>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</si>
  <si>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</si>
  <si>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</si>
  <si>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</si>
  <si>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</si>
  <si>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</si>
  <si>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</si>
  <si>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</si>
  <si>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</si>
  <si>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</si>
  <si>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</si>
  <si>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</si>
  <si>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</si>
  <si>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</si>
  <si>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</si>
  <si>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</si>
  <si>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</si>
  <si>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</si>
  <si>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</si>
  <si>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</si>
  <si>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</si>
  <si>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</si>
  <si>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</si>
  <si>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</si>
  <si>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</si>
  <si>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</si>
  <si>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</si>
  <si>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</si>
  <si>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</si>
  <si>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</si>
  <si>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</si>
  <si>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</si>
  <si>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</si>
  <si>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</si>
  <si>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</si>
  <si>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</si>
  <si>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</si>
  <si>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</si>
  <si>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</si>
  <si>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</si>
  <si>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</si>
  <si>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</si>
  <si>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</si>
  <si>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</si>
  <si>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</si>
  <si>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</si>
  <si>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</si>
  <si>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</si>
  <si>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</si>
  <si>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</si>
  <si>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</si>
  <si>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</si>
  <si>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</si>
  <si>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</si>
  <si>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</si>
  <si>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</si>
  <si>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</si>
  <si>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</si>
  <si>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</si>
  <si>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</si>
  <si>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</si>
  <si>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</si>
  <si>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</si>
  <si>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</si>
  <si>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</si>
  <si>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</si>
  <si>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</si>
  <si>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</si>
  <si>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</si>
  <si>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</si>
  <si>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</si>
  <si>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</si>
  <si>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</si>
  <si>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</si>
  <si>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</si>
  <si>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</si>
  <si>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</si>
  <si>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</si>
  <si>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</si>
  <si>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</si>
  <si>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</si>
  <si>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</si>
  <si>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</si>
  <si>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</si>
  <si>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</si>
  <si>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</si>
  <si>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</si>
  <si>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</si>
  <si>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</si>
  <si>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</si>
  <si>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</si>
  <si>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</si>
  <si>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</si>
  <si>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</si>
  <si>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</si>
  <si>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</si>
  <si>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</si>
  <si>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</si>
  <si>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</si>
  <si>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</si>
  <si>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</si>
  <si>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</si>
  <si>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</si>
  <si>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</si>
  <si>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</si>
  <si>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</si>
  <si>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</si>
  <si>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</si>
  <si>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</si>
  <si>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</si>
  <si>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</si>
  <si>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</si>
  <si>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</si>
  <si>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</si>
  <si>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</si>
  <si>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</si>
  <si>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</si>
  <si>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</si>
  <si>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</si>
  <si>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</si>
  <si>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</si>
  <si>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</si>
  <si>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</si>
  <si>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</si>
  <si>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</si>
  <si>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</si>
  <si>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</si>
  <si>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</si>
  <si>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</si>
  <si>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</si>
  <si>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</si>
  <si>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</si>
  <si>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</si>
  <si>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</si>
  <si>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</si>
  <si>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</si>
  <si>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</si>
  <si>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</si>
  <si>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</si>
  <si>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</si>
  <si>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</si>
  <si>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</si>
  <si>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</si>
  <si>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</si>
  <si>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</si>
  <si>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</si>
  <si>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</si>
  <si>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</si>
  <si>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</si>
  <si>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</si>
  <si>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</si>
  <si>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</si>
  <si>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</si>
  <si>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</si>
  <si>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</si>
  <si>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</si>
  <si>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</si>
  <si>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</si>
  <si>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</si>
  <si>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</si>
  <si>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</si>
  <si>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</si>
  <si>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</si>
  <si>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</si>
  <si>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</si>
  <si>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</si>
  <si>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</si>
  <si>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</si>
  <si>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</si>
  <si>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</si>
  <si>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</si>
  <si>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</si>
  <si>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</si>
  <si>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</si>
  <si>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</si>
  <si>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</si>
  <si>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</si>
  <si>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</si>
  <si>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</si>
  <si>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</si>
  <si>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</si>
  <si>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</si>
  <si>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</si>
  <si>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</si>
  <si>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</si>
  <si>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</si>
  <si>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</si>
  <si>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</si>
  <si>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</si>
  <si>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</si>
  <si>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</si>
  <si>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</si>
  <si>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</si>
  <si>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</si>
  <si>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</si>
  <si>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</si>
  <si>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</si>
  <si>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</si>
  <si>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</si>
  <si>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</si>
  <si>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</si>
  <si>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</si>
  <si>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</si>
  <si>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</si>
  <si>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</si>
  <si>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</si>
  <si>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</si>
  <si>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</si>
  <si>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</si>
  <si>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</si>
  <si>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</si>
  <si>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</si>
  <si>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</si>
  <si>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</si>
  <si>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</si>
  <si>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</si>
  <si>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</si>
  <si>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</si>
  <si>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</si>
  <si>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</si>
  <si>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</si>
  <si>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</si>
  <si>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</si>
  <si>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</si>
  <si>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</si>
  <si>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</si>
  <si>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</si>
  <si>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</si>
  <si>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</si>
  <si>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</si>
  <si>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</si>
  <si>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</si>
  <si>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</si>
  <si>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</si>
  <si>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</si>
  <si>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</si>
  <si>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</si>
  <si>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</si>
  <si>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</si>
  <si>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</si>
  <si>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</si>
  <si>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</si>
  <si>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</si>
  <si>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</si>
  <si>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</si>
  <si>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</si>
  <si>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</si>
  <si>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</si>
  <si>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</si>
  <si>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</si>
  <si>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</si>
  <si>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</si>
  <si>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</si>
  <si>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</si>
  <si>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</si>
  <si>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</si>
  <si>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</si>
  <si>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</si>
  <si>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</si>
  <si>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</si>
  <si>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</si>
  <si>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</si>
  <si>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</si>
  <si>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</si>
  <si>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</si>
  <si>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</si>
  <si>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</si>
  <si>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</si>
  <si>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</si>
  <si>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</si>
  <si>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</si>
  <si>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</si>
  <si>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</si>
  <si>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</si>
  <si>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</si>
  <si>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</si>
  <si>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</si>
  <si>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</si>
  <si>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</si>
  <si>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</si>
  <si>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</si>
  <si>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</si>
  <si>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</si>
  <si>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</si>
  <si>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</si>
  <si>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</si>
  <si>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</si>
  <si>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</si>
  <si>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</si>
  <si>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</si>
  <si>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</si>
  <si>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</si>
  <si>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</si>
  <si>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</si>
  <si>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</si>
  <si>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</si>
  <si>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</si>
  <si>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</si>
  <si>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</si>
  <si>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</si>
  <si>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</si>
  <si>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</si>
  <si>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</si>
  <si>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</si>
  <si>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</si>
  <si>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</si>
  <si>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</si>
  <si>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</si>
  <si>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</si>
  <si>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</si>
  <si>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</si>
  <si>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</si>
  <si>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</si>
  <si>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</si>
  <si>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</si>
  <si>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</si>
  <si>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</si>
  <si>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</si>
  <si>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</si>
  <si>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</si>
  <si>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</si>
  <si>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</si>
  <si>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</si>
  <si>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</si>
  <si>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</si>
  <si>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</si>
  <si>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</si>
  <si>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</si>
  <si>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</si>
  <si>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</si>
  <si>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</si>
  <si>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</si>
  <si>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</si>
  <si>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</si>
  <si>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</si>
  <si>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</si>
  <si>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</si>
  <si>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</si>
  <si>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</si>
  <si>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</si>
  <si>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</si>
  <si>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</si>
  <si>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</si>
  <si>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</si>
  <si>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</si>
  <si>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</si>
  <si>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</si>
  <si>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</si>
  <si>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</si>
  <si>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</si>
  <si>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</si>
  <si>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</si>
  <si>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</si>
  <si>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</si>
  <si>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</si>
  <si>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</si>
  <si>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</si>
  <si>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</si>
  <si>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</si>
  <si>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</si>
  <si>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</si>
  <si>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</si>
  <si>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</si>
  <si>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</si>
  <si>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</si>
  <si>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</si>
  <si>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</si>
  <si>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</si>
  <si>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</si>
  <si>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</si>
  <si>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</si>
  <si>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</si>
  <si>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</si>
  <si>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</si>
  <si>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</si>
  <si>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</si>
  <si>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</si>
  <si>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</si>
  <si>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</si>
  <si>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</si>
  <si>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</si>
  <si>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</si>
  <si>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</si>
  <si>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</si>
  <si>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</si>
  <si>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</si>
  <si>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</si>
  <si>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</si>
  <si>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</si>
  <si>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</si>
  <si>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</si>
  <si>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</si>
  <si>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</si>
  <si>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</si>
  <si>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</si>
  <si>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</si>
  <si>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</si>
  <si>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</si>
  <si>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</si>
  <si>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</si>
  <si>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</si>
  <si>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</si>
  <si>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</si>
  <si>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</si>
  <si>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</si>
  <si>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</si>
  <si>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</si>
  <si>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</si>
  <si>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</si>
  <si>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</si>
  <si>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</si>
  <si>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</si>
  <si>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</si>
  <si>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</si>
  <si>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</si>
  <si>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</si>
  <si>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</si>
  <si>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</si>
  <si>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</si>
  <si>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</si>
  <si>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</si>
  <si>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</si>
  <si>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</si>
  <si>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</si>
  <si>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</si>
  <si>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6/30/2018</t>
  </si>
  <si>
    <t>8/15/2028</t>
  </si>
  <si>
    <t xml:space="preserve">Addition of $1,000 to DES Community Center Fund directly paid by Town into account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</si>
</sst>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1017</v>
      </c>
      <c r="B2" s="126">
        <f>INDEX('School Tables'!$AH$3:$AH$208,MATCH('DOE25'!A2,'School Tables'!$AJ$3:$AJ$208,0))</f>
        <v>149</v>
      </c>
      <c r="C2" s="126">
        <f>INDEX('School Tables'!$AI$3:$AI$208,MATCH('DOE25'!A2,'School Tables'!$AJ$3:$AJ$208,0))</f>
        <v>149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635741.37</v>
      </c>
      <c r="G9" s="18">
        <v>0</v>
      </c>
      <c r="H9" s="18">
        <v>0</v>
      </c>
      <c r="I9" s="18">
        <v>0</v>
      </c>
      <c r="J9" s="67">
        <f>SUM(I440)</f>
        <v>0</v>
      </c>
      <c r="K9" s="24" t="s">
        <v>288</v>
      </c>
      <c r="L9" s="24" t="s">
        <v>288</v>
      </c>
      <c r="M9" s="8"/>
      <c r="N9" s="265"/>
    </row>
    <row r="10" spans="1:14" s="3" customFormat="1" ht="12.2" customHeight="1" x14ac:dyDescent="0.15">
      <c r="A10" s="1" t="s">
        <v>562</v>
      </c>
      <c r="B10" s="2" t="s">
        <v>289</v>
      </c>
      <c r="C10" s="6">
        <v>2</v>
      </c>
      <c r="D10" s="2" t="s">
        <v>428</v>
      </c>
      <c r="E10" s="6">
        <v>110</v>
      </c>
      <c r="F10" s="18">
        <v>0</v>
      </c>
      <c r="G10" s="18">
        <v>0</v>
      </c>
      <c r="H10" s="18">
        <v>0</v>
      </c>
      <c r="I10" s="18">
        <v>0</v>
      </c>
      <c r="J10" s="67">
        <f>SUM(I441)</f>
        <v>236982.18</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52992.97</v>
      </c>
      <c r="G12" s="18">
        <v>116955.72</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0</v>
      </c>
      <c r="G13" s="18">
        <v>0</v>
      </c>
      <c r="H13" s="18">
        <v>0</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2461.33</v>
      </c>
      <c r="G14" s="18">
        <v>12817.54</v>
      </c>
      <c r="H14" s="18">
        <v>53508.02</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f>7188.67+8792.39</f>
        <v>15981.06</v>
      </c>
      <c r="G17" s="18">
        <v>0</v>
      </c>
      <c r="H17" s="18">
        <v>1632.55</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707176.73</v>
      </c>
      <c r="G19" s="41">
        <f>SUM(G9:G18)</f>
        <v>129773.26000000001</v>
      </c>
      <c r="H19" s="41">
        <f>SUM(H9:H18)</f>
        <v>55140.57</v>
      </c>
      <c r="I19" s="41">
        <f>SUM(I9:I18)</f>
        <v>0</v>
      </c>
      <c r="J19" s="41">
        <f>SUM(J9:J18)</f>
        <v>236982.18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f>-0.49+116954.78+0.1</f>
        <v>116954.39</v>
      </c>
      <c r="G22" s="18">
        <v>0</v>
      </c>
      <c r="H22" s="18">
        <v>52994.55</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792.02</v>
      </c>
      <c r="G23" s="18">
        <v>0</v>
      </c>
      <c r="H23" s="18">
        <v>0</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189495.47-188029.25</f>
        <v>1466.2200000000012</v>
      </c>
      <c r="G24" s="18">
        <v>0</v>
      </c>
      <c r="H24" s="18">
        <v>2146.02</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19312.54</v>
      </c>
      <c r="G25" s="145">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0</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f>18.81+125</f>
        <v>143.81</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5007</v>
      </c>
      <c r="H30" s="18">
        <v>0</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138668.98000000001</v>
      </c>
      <c r="G32" s="41">
        <f>SUM(G22:G31)</f>
        <v>5007</v>
      </c>
      <c r="H32" s="41">
        <f>SUM(H22:H31)</f>
        <v>55140.57</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15981.06</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5"/>
    </row>
    <row r="40" spans="1:14" s="3" customFormat="1" ht="12.2" customHeight="1" x14ac:dyDescent="0.15">
      <c r="A40" s="1" t="s">
        <v>860</v>
      </c>
      <c r="B40" s="6">
        <v>1</v>
      </c>
      <c r="C40" s="6">
        <v>27</v>
      </c>
      <c r="D40" s="2"/>
      <c r="E40" s="6"/>
      <c r="F40" s="24" t="s">
        <v>288</v>
      </c>
      <c r="G40" s="18">
        <f>G477</f>
        <v>124766.25999999998</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1000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0</v>
      </c>
      <c r="H48" s="18">
        <v>0</v>
      </c>
      <c r="I48" s="18">
        <v>0</v>
      </c>
      <c r="J48" s="13">
        <f>SUM(I460)</f>
        <v>236982.18</v>
      </c>
      <c r="K48" s="24" t="s">
        <v>288</v>
      </c>
      <c r="L48" s="24" t="s">
        <v>288</v>
      </c>
      <c r="M48" s="8"/>
      <c r="N48" s="265"/>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f>707176.73-138668.98-15981.06-1000</f>
        <v>551526.68999999994</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568507.75</v>
      </c>
      <c r="G51" s="41">
        <f>SUM(G35:G50)</f>
        <v>124766.25999999998</v>
      </c>
      <c r="H51" s="41">
        <f>SUM(H35:H50)</f>
        <v>0</v>
      </c>
      <c r="I51" s="41">
        <f>SUM(I35:I50)</f>
        <v>0</v>
      </c>
      <c r="J51" s="41">
        <f>SUM(J35:J50)</f>
        <v>236982.18</v>
      </c>
      <c r="K51" s="45" t="s">
        <v>288</v>
      </c>
      <c r="L51" s="45" t="s">
        <v>288</v>
      </c>
      <c r="N51" s="263"/>
    </row>
    <row r="52" spans="1:14" s="3" customFormat="1" ht="12.2" customHeight="1" thickTop="1" x14ac:dyDescent="0.15">
      <c r="A52" s="38" t="s">
        <v>455</v>
      </c>
      <c r="B52" s="39" t="s">
        <v>289</v>
      </c>
      <c r="C52" s="6">
        <v>37</v>
      </c>
      <c r="D52" s="39" t="s">
        <v>653</v>
      </c>
      <c r="E52" s="39"/>
      <c r="F52" s="41">
        <f>F51+F32</f>
        <v>707176.73</v>
      </c>
      <c r="G52" s="41">
        <f>G51+G32</f>
        <v>129773.25999999998</v>
      </c>
      <c r="H52" s="41">
        <f>H51+H32</f>
        <v>55140.57</v>
      </c>
      <c r="I52" s="41">
        <f>I51+I32</f>
        <v>0</v>
      </c>
      <c r="J52" s="41">
        <f>J51+J32</f>
        <v>236982.18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5949402</v>
      </c>
      <c r="G57" s="18">
        <v>0</v>
      </c>
      <c r="H57" s="18">
        <v>0</v>
      </c>
      <c r="I57" s="18">
        <v>0</v>
      </c>
      <c r="J57" s="18">
        <v>0</v>
      </c>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5949402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85.72</v>
      </c>
      <c r="G96" s="18">
        <v>0</v>
      </c>
      <c r="H96" s="18">
        <v>0</v>
      </c>
      <c r="I96" s="18">
        <v>0</v>
      </c>
      <c r="J96" s="18">
        <f>10.75+211.51+12.1+214.61+0.7+15.26</f>
        <v>464.93</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14228.15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2250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35889.38-2250</f>
        <v>33639.379999999997</v>
      </c>
      <c r="G110" s="18">
        <v>0</v>
      </c>
      <c r="H110" s="18">
        <v>0</v>
      </c>
      <c r="I110" s="18">
        <v>0</v>
      </c>
      <c r="J110" s="18">
        <v>0</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35975.1</v>
      </c>
      <c r="G111" s="41">
        <f>SUM(G96:G110)</f>
        <v>14228.15</v>
      </c>
      <c r="H111" s="41">
        <f>SUM(H96:H110)</f>
        <v>0</v>
      </c>
      <c r="I111" s="41">
        <f>SUM(I96:I110)</f>
        <v>0</v>
      </c>
      <c r="J111" s="41">
        <f>SUM(J96:J110)</f>
        <v>464.93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5985377.0999999996</v>
      </c>
      <c r="G112" s="41">
        <f>G60+G111</f>
        <v>14228.15</v>
      </c>
      <c r="H112" s="41">
        <f>H60+H79+H94+H111</f>
        <v>0</v>
      </c>
      <c r="I112" s="41">
        <f>I60+I111</f>
        <v>0</v>
      </c>
      <c r="J112" s="41">
        <f>J60+J111</f>
        <v>464.93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1253257.68</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723069</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1995.21</v>
      </c>
      <c r="G120" s="18">
        <v>0</v>
      </c>
      <c r="H120" s="18">
        <v>0</v>
      </c>
      <c r="I120" s="18">
        <v>0</v>
      </c>
      <c r="J120" s="18">
        <v>0</v>
      </c>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1978321.89</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0</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1659.96</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49997.4</v>
      </c>
      <c r="I135" s="18">
        <v>0</v>
      </c>
      <c r="J135" s="18">
        <v>0</v>
      </c>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1659.96</v>
      </c>
      <c r="H136" s="41">
        <f>SUM(H123:H135)</f>
        <v>49997.4</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1978321.89</v>
      </c>
      <c r="G140" s="41">
        <f>G121+SUM(G136:G137)</f>
        <v>1659.96</v>
      </c>
      <c r="H140" s="41">
        <f>H121+SUM(H136:H139)</f>
        <v>49997.4</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f>13745+20766.91</f>
        <v>34511.910000000003</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11079.56</f>
        <v>11079.56</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8138+1020.79+8237.37</f>
        <v>17396.160000000003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172126.16+8024.84</f>
        <v>180151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61943.53</f>
        <v>61943.53</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47641.21</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v>0</v>
      </c>
      <c r="G162" s="18">
        <v>0</v>
      </c>
      <c r="H162" s="18">
        <f>32834.13+124222.41</f>
        <v>157056.54</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47641.21</v>
      </c>
      <c r="G163" s="41">
        <f>SUM(G150:G162)</f>
        <v>180151</v>
      </c>
      <c r="H163" s="41">
        <f>SUM(H150:H162)</f>
        <v>281987.7</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v>0</v>
      </c>
      <c r="H164" s="18">
        <v>0</v>
      </c>
      <c r="I164" s="18">
        <v>0</v>
      </c>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47641.21</v>
      </c>
      <c r="G170" s="41">
        <f>G147+G163+SUM(G164:G169)</f>
        <v>180151</v>
      </c>
      <c r="H170" s="41">
        <f>H147+H163+SUM(H164:H169)</f>
        <v>281987.7</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0</v>
      </c>
      <c r="H180" s="18">
        <v>0</v>
      </c>
      <c r="I180" s="18">
        <v>0</v>
      </c>
      <c r="J180" s="18">
        <f>19565+1000</f>
        <v>20565</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5"/>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20565</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5"/>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20565</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8011340.1999999993</v>
      </c>
      <c r="G194" s="47">
        <f>G112+G140+G170+G193</f>
        <v>196039.11</v>
      </c>
      <c r="H194" s="47">
        <f>H112+H140+H170+H193</f>
        <v>331985.10000000003</v>
      </c>
      <c r="I194" s="47">
        <f>I112+I140+I170+I193</f>
        <v>0</v>
      </c>
      <c r="J194" s="47">
        <f>J112+J140+J193</f>
        <v>21029.93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1077783.54+124828.05+28365.58+6000</f>
        <v>1236977.1700000002</v>
      </c>
      <c r="G198" s="18">
        <f>19882.85+567256.12</f>
        <v>587138.97</v>
      </c>
      <c r="H198" s="18">
        <f>800+2858</f>
        <v>3658</v>
      </c>
      <c r="I198" s="18">
        <f>16802.91+798.09+114.17+525.16+299+4171.68+25791.43+5252.4+8867.75</f>
        <v>62622.590000000004</v>
      </c>
      <c r="J198" s="18">
        <v>4255.4399999999996</v>
      </c>
      <c r="K198" s="18">
        <v>45</v>
      </c>
      <c r="L198" s="19">
        <f>SUM(F198:K198)</f>
        <v>1894697.1700000002</v>
      </c>
      <c r="M198" s="8"/>
      <c r="N198" s="265"/>
    </row>
    <row r="199" spans="1:14" s="3" customFormat="1" ht="12.2" customHeight="1" x14ac:dyDescent="0.15">
      <c r="A199" s="1" t="s">
        <v>439</v>
      </c>
      <c r="B199" s="2" t="s">
        <v>341</v>
      </c>
      <c r="C199" s="2" t="s">
        <v>291</v>
      </c>
      <c r="D199" s="2" t="s">
        <v>431</v>
      </c>
      <c r="E199" s="6">
        <v>1200</v>
      </c>
      <c r="F199" s="18">
        <f>120365.52+183413.39+87584.66</f>
        <v>391363.57000000007</v>
      </c>
      <c r="G199" s="18">
        <v>213227.13</v>
      </c>
      <c r="H199" s="18">
        <f>353.48</f>
        <v>353.48</v>
      </c>
      <c r="I199" s="18">
        <f>1666.28+1311.53+91.52</f>
        <v>3069.33</v>
      </c>
      <c r="J199" s="18">
        <f>732.95+99.99+299</f>
        <v>1131.94</v>
      </c>
      <c r="K199" s="18">
        <v>0</v>
      </c>
      <c r="L199" s="19">
        <f>SUM(F199:K199)</f>
        <v>609145.44999999995</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0</v>
      </c>
      <c r="G201" s="18">
        <v>5.47</v>
      </c>
      <c r="H201" s="18">
        <f>16500</f>
        <v>16500</v>
      </c>
      <c r="I201" s="18">
        <v>0</v>
      </c>
      <c r="J201" s="18">
        <v>0</v>
      </c>
      <c r="K201" s="18">
        <f>1724.64</f>
        <v>1724.64</v>
      </c>
      <c r="L201" s="19">
        <f>SUM(F201:K201)</f>
        <v>18230.11</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53721.5+57538.29+41355.57+54467.92+35752.5</f>
        <v>242835.78000000003</v>
      </c>
      <c r="G203" s="18">
        <f>19392.45+42223.93+4465.31+37853.13</f>
        <v>103934.82</v>
      </c>
      <c r="H203" s="18">
        <f>53838+50950+307.97+9846.21</f>
        <v>114942.18</v>
      </c>
      <c r="I203" s="18">
        <f>112.51+1456.28+780+1000.47+1551.13+381.5</f>
        <v>5281.89</v>
      </c>
      <c r="J203" s="18">
        <v>0</v>
      </c>
      <c r="K203" s="18">
        <v>0</v>
      </c>
      <c r="L203" s="19">
        <f t="shared" ref="L203:L209" si="0">SUM(F203:K203)</f>
        <v>466994.67000000004</v>
      </c>
      <c r="M203" s="8"/>
      <c r="N203" s="265"/>
    </row>
    <row r="204" spans="1:14" s="3" customFormat="1" ht="12.2" customHeight="1" x14ac:dyDescent="0.15">
      <c r="A204" s="1" t="s">
        <v>443</v>
      </c>
      <c r="B204" s="2" t="s">
        <v>341</v>
      </c>
      <c r="C204" s="2" t="s">
        <v>295</v>
      </c>
      <c r="D204" s="2" t="s">
        <v>431</v>
      </c>
      <c r="E204" s="6">
        <v>2200</v>
      </c>
      <c r="F204" s="18">
        <f>40962.9+17162.18</f>
        <v>58125.08</v>
      </c>
      <c r="G204" s="18">
        <f>14839.1</f>
        <v>14839.1</v>
      </c>
      <c r="H204" s="18">
        <f>4238.32+13188+9284.51+10467.99</f>
        <v>37178.82</v>
      </c>
      <c r="I204" s="18">
        <f>603.43+4739.91+596.67+922.19</f>
        <v>6862.2000000000007</v>
      </c>
      <c r="J204" s="18">
        <f>268.98+36894.21</f>
        <v>37163.19</v>
      </c>
      <c r="K204" s="18">
        <v>0</v>
      </c>
      <c r="L204" s="19">
        <f t="shared" si="0"/>
        <v>154168.39000000001</v>
      </c>
      <c r="M204" s="8"/>
      <c r="N204" s="265"/>
    </row>
    <row r="205" spans="1:14" s="3" customFormat="1" ht="12.2" customHeight="1" x14ac:dyDescent="0.15">
      <c r="A205" s="1" t="s">
        <v>444</v>
      </c>
      <c r="B205" s="2" t="s">
        <v>341</v>
      </c>
      <c r="C205" s="2" t="s">
        <v>296</v>
      </c>
      <c r="D205" s="2" t="s">
        <v>431</v>
      </c>
      <c r="E205" s="6">
        <v>2300</v>
      </c>
      <c r="F205" s="18">
        <f>2500+650+450+200</f>
        <v>3800</v>
      </c>
      <c r="G205" s="18">
        <f>169.85+35.06</f>
        <v>204.91</v>
      </c>
      <c r="H205" s="18">
        <f>250+661.89+1860.2+562+6325+432.53+183359</f>
        <v>193450.62</v>
      </c>
      <c r="I205" s="18">
        <f>1713.6+131.5</f>
        <v>1845.1</v>
      </c>
      <c r="J205" s="18">
        <v>0</v>
      </c>
      <c r="K205" s="18">
        <f>3116.4</f>
        <v>3116.4</v>
      </c>
      <c r="L205" s="19">
        <f t="shared" si="0"/>
        <v>202417.03</v>
      </c>
      <c r="M205" s="8"/>
      <c r="N205" s="265"/>
    </row>
    <row r="206" spans="1:14" s="3" customFormat="1" ht="12.2" customHeight="1" x14ac:dyDescent="0.15">
      <c r="A206" s="1" t="s">
        <v>445</v>
      </c>
      <c r="B206" s="2" t="s">
        <v>341</v>
      </c>
      <c r="C206" s="2" t="s">
        <v>297</v>
      </c>
      <c r="D206" s="2" t="s">
        <v>431</v>
      </c>
      <c r="E206" s="6">
        <v>2400</v>
      </c>
      <c r="F206" s="18">
        <f>109512.76+63712.08</f>
        <v>173224.84</v>
      </c>
      <c r="G206" s="18">
        <v>68871.850000000006</v>
      </c>
      <c r="H206" s="18">
        <f>9256.11+500</f>
        <v>9756.11</v>
      </c>
      <c r="I206" s="18">
        <f>1473.15</f>
        <v>1473.15</v>
      </c>
      <c r="J206" s="18">
        <v>0</v>
      </c>
      <c r="K206" s="18">
        <v>600</v>
      </c>
      <c r="L206" s="19">
        <f t="shared" si="0"/>
        <v>253925.94999999998</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f>119474.41</f>
        <v>119474.41</v>
      </c>
      <c r="G208" s="18">
        <v>31523.1</v>
      </c>
      <c r="H208" s="18">
        <f>11770.25+19243.61+12372.14+13190.35+6719.75+9128.42+345.44</f>
        <v>72769.960000000006</v>
      </c>
      <c r="I208" s="18">
        <f>8885.43+39774.85+18611.53</f>
        <v>67271.81</v>
      </c>
      <c r="J208" s="18">
        <v>669.97</v>
      </c>
      <c r="K208" s="18">
        <v>0</v>
      </c>
      <c r="L208" s="19">
        <f t="shared" si="0"/>
        <v>291709.25</v>
      </c>
      <c r="M208" s="8"/>
      <c r="N208" s="265"/>
    </row>
    <row r="209" spans="1:14" s="3" customFormat="1" ht="12.2" customHeight="1" x14ac:dyDescent="0.15">
      <c r="A209" s="1" t="s">
        <v>448</v>
      </c>
      <c r="B209" s="2" t="s">
        <v>341</v>
      </c>
      <c r="C209" s="2" t="s">
        <v>300</v>
      </c>
      <c r="D209" s="2" t="s">
        <v>431</v>
      </c>
      <c r="E209" s="6">
        <v>2700</v>
      </c>
      <c r="F209" s="18">
        <v>0</v>
      </c>
      <c r="G209" s="18">
        <v>0</v>
      </c>
      <c r="H209" s="18">
        <f>294814.79+8377.74+917.96+16965.5</f>
        <v>321075.99</v>
      </c>
      <c r="I209" s="18">
        <v>0</v>
      </c>
      <c r="J209" s="18">
        <v>0</v>
      </c>
      <c r="K209" s="18">
        <v>0</v>
      </c>
      <c r="L209" s="19">
        <f t="shared" si="0"/>
        <v>321075.99</v>
      </c>
      <c r="M209" s="8"/>
      <c r="N209" s="2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2225800.8500000006</v>
      </c>
      <c r="G212" s="41">
        <f t="shared" si="1"/>
        <v>1019745.3499999999</v>
      </c>
      <c r="H212" s="41">
        <f t="shared" si="1"/>
        <v>769685.15999999992</v>
      </c>
      <c r="I212" s="41">
        <f t="shared" si="1"/>
        <v>148426.07</v>
      </c>
      <c r="J212" s="41">
        <f t="shared" si="1"/>
        <v>43220.54</v>
      </c>
      <c r="K212" s="41">
        <f t="shared" si="1"/>
        <v>5486.04</v>
      </c>
      <c r="L212" s="41">
        <f t="shared" si="1"/>
        <v>4212364.01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0</v>
      </c>
      <c r="G216" s="18">
        <v>0</v>
      </c>
      <c r="H216" s="18">
        <v>871289.83</v>
      </c>
      <c r="I216" s="18">
        <v>0</v>
      </c>
      <c r="J216" s="18">
        <v>0</v>
      </c>
      <c r="K216" s="18">
        <v>0</v>
      </c>
      <c r="L216" s="19">
        <f>SUM(F216:K216)</f>
        <v>871289.83</v>
      </c>
      <c r="M216" s="8"/>
      <c r="N216" s="265"/>
    </row>
    <row r="217" spans="1:14" s="3" customFormat="1" ht="12.2" customHeight="1" x14ac:dyDescent="0.15">
      <c r="A217" s="1" t="s">
        <v>439</v>
      </c>
      <c r="B217" s="2" t="s">
        <v>346</v>
      </c>
      <c r="C217" s="2" t="s">
        <v>291</v>
      </c>
      <c r="D217" s="2" t="s">
        <v>431</v>
      </c>
      <c r="E217" s="6">
        <v>1200</v>
      </c>
      <c r="F217" s="18">
        <v>0</v>
      </c>
      <c r="G217" s="18">
        <v>0</v>
      </c>
      <c r="H217" s="18">
        <f>1008</f>
        <v>1008</v>
      </c>
      <c r="I217" s="18">
        <v>0</v>
      </c>
      <c r="J217" s="18">
        <v>0</v>
      </c>
      <c r="K217" s="18">
        <v>0</v>
      </c>
      <c r="L217" s="19">
        <f>SUM(F217:K217)</f>
        <v>1008</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0</v>
      </c>
      <c r="G221" s="18">
        <v>0</v>
      </c>
      <c r="H221" s="18">
        <f>1796.24</f>
        <v>1796.24</v>
      </c>
      <c r="I221" s="18">
        <v>0</v>
      </c>
      <c r="J221" s="18">
        <v>0</v>
      </c>
      <c r="K221" s="18">
        <v>0</v>
      </c>
      <c r="L221" s="19">
        <f t="shared" ref="L221:L227" si="2">SUM(F221:K221)</f>
        <v>1796.24</v>
      </c>
      <c r="M221" s="8"/>
      <c r="N221" s="2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5"/>
    </row>
    <row r="227" spans="1:14" s="3" customFormat="1" ht="12.2" customHeight="1" x14ac:dyDescent="0.15">
      <c r="A227" s="1" t="s">
        <v>448</v>
      </c>
      <c r="B227" s="2" t="s">
        <v>346</v>
      </c>
      <c r="C227" s="2" t="s">
        <v>300</v>
      </c>
      <c r="D227" s="2" t="s">
        <v>431</v>
      </c>
      <c r="E227" s="6">
        <v>2700</v>
      </c>
      <c r="F227" s="18">
        <v>0</v>
      </c>
      <c r="G227" s="18">
        <v>0</v>
      </c>
      <c r="H227" s="18">
        <f>7671.76</f>
        <v>7671.76</v>
      </c>
      <c r="I227" s="18">
        <v>0</v>
      </c>
      <c r="J227" s="18">
        <v>0</v>
      </c>
      <c r="K227" s="18">
        <v>0</v>
      </c>
      <c r="L227" s="19">
        <f t="shared" si="2"/>
        <v>7671.76</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881765.83</v>
      </c>
      <c r="I230" s="41">
        <f>SUM(I216:I229)</f>
        <v>0</v>
      </c>
      <c r="J230" s="41">
        <f>SUM(J216:J229)</f>
        <v>0</v>
      </c>
      <c r="K230" s="41">
        <f t="shared" si="3"/>
        <v>0</v>
      </c>
      <c r="L230" s="41">
        <f t="shared" si="3"/>
        <v>881765.83</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v>2412330.35</v>
      </c>
      <c r="I234" s="18">
        <v>0</v>
      </c>
      <c r="J234" s="18">
        <v>0</v>
      </c>
      <c r="K234" s="18">
        <v>0</v>
      </c>
      <c r="L234" s="19">
        <f>SUM(F234:K234)</f>
        <v>2412330.35</v>
      </c>
      <c r="M234" s="8"/>
      <c r="N234" s="265"/>
    </row>
    <row r="235" spans="1:14" s="3" customFormat="1" ht="12.2" customHeight="1" x14ac:dyDescent="0.15">
      <c r="A235" s="1" t="s">
        <v>439</v>
      </c>
      <c r="B235" s="2" t="s">
        <v>350</v>
      </c>
      <c r="C235" s="2" t="s">
        <v>291</v>
      </c>
      <c r="D235" s="2" t="s">
        <v>431</v>
      </c>
      <c r="E235" s="6">
        <v>1200</v>
      </c>
      <c r="F235" s="18">
        <v>0</v>
      </c>
      <c r="G235" s="18">
        <v>0</v>
      </c>
      <c r="H235" s="18">
        <f>5477.64+157668+4900</f>
        <v>168045.64</v>
      </c>
      <c r="I235" s="18">
        <v>0</v>
      </c>
      <c r="J235" s="18">
        <v>0</v>
      </c>
      <c r="K235" s="18">
        <v>0</v>
      </c>
      <c r="L235" s="19">
        <f>SUM(F235:K235)</f>
        <v>168045.64</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f>2807.18+21800</f>
        <v>24607.18</v>
      </c>
      <c r="I239" s="18">
        <v>0</v>
      </c>
      <c r="J239" s="18">
        <v>0</v>
      </c>
      <c r="K239" s="18">
        <v>0</v>
      </c>
      <c r="L239" s="19">
        <f t="shared" ref="L239:L245" si="4">SUM(F239:K239)</f>
        <v>24607.18</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0</v>
      </c>
      <c r="G245" s="18">
        <v>0</v>
      </c>
      <c r="H245" s="18">
        <f>50312.32</f>
        <v>50312.32</v>
      </c>
      <c r="I245" s="18">
        <v>0</v>
      </c>
      <c r="J245" s="18">
        <v>0</v>
      </c>
      <c r="K245" s="18">
        <v>0</v>
      </c>
      <c r="L245" s="19">
        <f t="shared" si="4"/>
        <v>50312.32</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2655295.4900000002</v>
      </c>
      <c r="I248" s="41">
        <f t="shared" si="5"/>
        <v>0</v>
      </c>
      <c r="J248" s="41">
        <f t="shared" si="5"/>
        <v>0</v>
      </c>
      <c r="K248" s="41">
        <f t="shared" si="5"/>
        <v>0</v>
      </c>
      <c r="L248" s="41">
        <f t="shared" si="5"/>
        <v>2655295.4900000002</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2225800.8500000006</v>
      </c>
      <c r="G258" s="41">
        <f t="shared" si="8"/>
        <v>1019745.3499999999</v>
      </c>
      <c r="H258" s="41">
        <f t="shared" si="8"/>
        <v>4306746.4800000004</v>
      </c>
      <c r="I258" s="41">
        <f t="shared" si="8"/>
        <v>148426.07</v>
      </c>
      <c r="J258" s="41">
        <f t="shared" si="8"/>
        <v>43220.54</v>
      </c>
      <c r="K258" s="41">
        <f t="shared" si="8"/>
        <v>5486.04</v>
      </c>
      <c r="L258" s="41">
        <f t="shared" si="8"/>
        <v>7749425.3300000001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160000</v>
      </c>
      <c r="L261" s="19">
        <f>SUM(F261:K261)</f>
        <v>160000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60435</v>
      </c>
      <c r="L262" s="19">
        <f>SUM(F262:K262)</f>
        <v>60435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20565</v>
      </c>
      <c r="L267" s="19">
        <f t="shared" si="9"/>
        <v>20565</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241000</v>
      </c>
      <c r="L271" s="41">
        <f t="shared" si="9"/>
        <v>241000</v>
      </c>
      <c r="M271" s="8"/>
      <c r="N271" s="265"/>
    </row>
    <row r="272" spans="1:14" s="34" customFormat="1" ht="12.2" customHeight="1" thickTop="1" x14ac:dyDescent="0.2">
      <c r="A272" s="43" t="s">
        <v>464</v>
      </c>
      <c r="B272" s="40">
        <v>10</v>
      </c>
      <c r="C272" s="40">
        <v>18</v>
      </c>
      <c r="D272" s="39" t="s">
        <v>431</v>
      </c>
      <c r="E272" s="40"/>
      <c r="F272" s="42">
        <f t="shared" ref="F272:L272" si="11">F258+F271</f>
        <v>2225800.8500000006</v>
      </c>
      <c r="G272" s="42">
        <f t="shared" si="11"/>
        <v>1019745.3499999999</v>
      </c>
      <c r="H272" s="42">
        <f t="shared" si="11"/>
        <v>4306746.4800000004</v>
      </c>
      <c r="I272" s="42">
        <f t="shared" si="11"/>
        <v>148426.07</v>
      </c>
      <c r="J272" s="42">
        <f t="shared" si="11"/>
        <v>43220.54</v>
      </c>
      <c r="K272" s="42">
        <f t="shared" si="11"/>
        <v>246486.04</v>
      </c>
      <c r="L272" s="42">
        <f t="shared" si="11"/>
        <v>7990425.3300000001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8460+3000</f>
        <v>11460</v>
      </c>
      <c r="G277" s="18">
        <f>644.19+1778.29+860</f>
        <v>3282.48</v>
      </c>
      <c r="H277" s="18">
        <v>0</v>
      </c>
      <c r="I277" s="18">
        <f>30291.62+87266.15</f>
        <v>117557.76999999999</v>
      </c>
      <c r="J277" s="18">
        <f>45350+11745+20766.91</f>
        <v>77861.91</v>
      </c>
      <c r="K277" s="18">
        <f>197.08+787.4+42.51+1956.26</f>
        <v>2983.25</v>
      </c>
      <c r="L277" s="19">
        <f>SUM(F277:K277)</f>
        <v>213145.41</v>
      </c>
      <c r="M277" s="8"/>
      <c r="N277" s="265"/>
    </row>
    <row r="278" spans="1:14" s="3" customFormat="1" ht="12.2" customHeight="1" x14ac:dyDescent="0.15">
      <c r="A278" s="1" t="s">
        <v>439</v>
      </c>
      <c r="B278" s="2" t="s">
        <v>357</v>
      </c>
      <c r="C278" s="2" t="s">
        <v>291</v>
      </c>
      <c r="D278" s="2" t="s">
        <v>431</v>
      </c>
      <c r="E278" s="6">
        <v>1200</v>
      </c>
      <c r="F278" s="18">
        <f>54743</f>
        <v>54743</v>
      </c>
      <c r="G278" s="18">
        <f>2059.01+91+113+4188+53</f>
        <v>6504.01</v>
      </c>
      <c r="H278" s="18">
        <v>0</v>
      </c>
      <c r="I278" s="18">
        <v>0</v>
      </c>
      <c r="J278" s="18">
        <v>0</v>
      </c>
      <c r="K278" s="18">
        <f>696.52</f>
        <v>696.52</v>
      </c>
      <c r="L278" s="19">
        <f>SUM(F278:K278)</f>
        <v>61943.53</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5"/>
    </row>
    <row r="283" spans="1:14" s="3" customFormat="1" ht="12.2" customHeight="1" x14ac:dyDescent="0.15">
      <c r="A283" s="1" t="s">
        <v>443</v>
      </c>
      <c r="B283" s="2" t="s">
        <v>357</v>
      </c>
      <c r="C283" s="2" t="s">
        <v>295</v>
      </c>
      <c r="D283" s="2" t="s">
        <v>431</v>
      </c>
      <c r="E283" s="6">
        <v>2200</v>
      </c>
      <c r="F283" s="18">
        <f>905.51+3600</f>
        <v>4505.51</v>
      </c>
      <c r="G283" s="18">
        <f>85.09+13.52+275.4+640.8</f>
        <v>1014.81</v>
      </c>
      <c r="H283" s="18">
        <f>8000+3609.22</f>
        <v>11609.22</v>
      </c>
      <c r="I283" s="18">
        <v>35000</v>
      </c>
      <c r="J283" s="18">
        <f>2000</f>
        <v>2000</v>
      </c>
      <c r="K283" s="18">
        <f>138+16.67+111.95</f>
        <v>266.62</v>
      </c>
      <c r="L283" s="19">
        <f t="shared" si="12"/>
        <v>54396.160000000003</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2500</v>
      </c>
      <c r="J288" s="18">
        <v>0</v>
      </c>
      <c r="K288" s="18">
        <v>0</v>
      </c>
      <c r="L288" s="19">
        <f t="shared" si="12"/>
        <v>2500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70708.509999999995</v>
      </c>
      <c r="G291" s="42">
        <f t="shared" si="13"/>
        <v>10801.3</v>
      </c>
      <c r="H291" s="42">
        <f t="shared" si="13"/>
        <v>11609.22</v>
      </c>
      <c r="I291" s="42">
        <f t="shared" si="13"/>
        <v>155057.76999999999</v>
      </c>
      <c r="J291" s="42">
        <f t="shared" si="13"/>
        <v>79861.91</v>
      </c>
      <c r="K291" s="42">
        <f t="shared" si="13"/>
        <v>3946.39</v>
      </c>
      <c r="L291" s="41">
        <f t="shared" si="13"/>
        <v>331985.09999999998</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70708.509999999995</v>
      </c>
      <c r="G339" s="41">
        <f t="shared" si="20"/>
        <v>10801.3</v>
      </c>
      <c r="H339" s="41">
        <f t="shared" si="20"/>
        <v>11609.22</v>
      </c>
      <c r="I339" s="41">
        <f t="shared" si="20"/>
        <v>155057.76999999999</v>
      </c>
      <c r="J339" s="41">
        <f t="shared" si="20"/>
        <v>79861.91</v>
      </c>
      <c r="K339" s="41">
        <f t="shared" si="20"/>
        <v>3946.39</v>
      </c>
      <c r="L339" s="41">
        <f t="shared" si="20"/>
        <v>331985.09999999998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70708.509999999995</v>
      </c>
      <c r="G353" s="41">
        <f>G339</f>
        <v>10801.3</v>
      </c>
      <c r="H353" s="41">
        <f>H339</f>
        <v>11609.22</v>
      </c>
      <c r="I353" s="41">
        <f>I339</f>
        <v>155057.76999999999</v>
      </c>
      <c r="J353" s="41">
        <f>J339</f>
        <v>79861.91</v>
      </c>
      <c r="K353" s="47">
        <f>K339+K352</f>
        <v>3946.39</v>
      </c>
      <c r="L353" s="41">
        <f>L339+L352</f>
        <v>331985.09999999998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16867.009999999998</v>
      </c>
      <c r="G359" s="18">
        <v>1723.68</v>
      </c>
      <c r="H359" s="18">
        <f>10821+1038.14</f>
        <v>11859.14</v>
      </c>
      <c r="I359" s="18">
        <f>1894.91+33314.96+7305.43+8253.59</f>
        <v>50768.89</v>
      </c>
      <c r="J359" s="18">
        <v>0</v>
      </c>
      <c r="K359" s="18">
        <v>0</v>
      </c>
      <c r="L359" s="13">
        <f>SUM(F359:K359)</f>
        <v>81218.720000000001</v>
      </c>
      <c r="M359" s="8"/>
      <c r="N359" s="2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16867.009999999998</v>
      </c>
      <c r="G363" s="47">
        <f t="shared" si="22"/>
        <v>1723.68</v>
      </c>
      <c r="H363" s="47">
        <f t="shared" si="22"/>
        <v>11859.14</v>
      </c>
      <c r="I363" s="47">
        <f t="shared" si="22"/>
        <v>50768.89</v>
      </c>
      <c r="J363" s="47">
        <f t="shared" si="22"/>
        <v>0</v>
      </c>
      <c r="K363" s="47">
        <f t="shared" si="22"/>
        <v>0</v>
      </c>
      <c r="L363" s="47">
        <f t="shared" si="22"/>
        <v>81218.720000000001</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f>50768.89-1894.91</f>
        <v>48873.979999999996</v>
      </c>
      <c r="G368" s="18">
        <v>0</v>
      </c>
      <c r="H368" s="18">
        <v>0</v>
      </c>
      <c r="I368" s="56">
        <f>SUM(F368:H368)</f>
        <v>48873.979999999996</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1894.91</v>
      </c>
      <c r="G369" s="63">
        <v>0</v>
      </c>
      <c r="H369" s="63">
        <v>0</v>
      </c>
      <c r="I369" s="56">
        <f>SUM(F369:H369)</f>
        <v>1894.91</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50768.89</v>
      </c>
      <c r="G370" s="47">
        <f>SUM(G368:G369)</f>
        <v>0</v>
      </c>
      <c r="H370" s="47">
        <f>SUM(H368:H369)</f>
        <v>0</v>
      </c>
      <c r="I370" s="47">
        <f>SUM(I368:I369)</f>
        <v>50768.89</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v>0</v>
      </c>
      <c r="G397" s="18">
        <f>19565+1000</f>
        <v>20565</v>
      </c>
      <c r="H397" s="18">
        <f>10.75+211.51+0.7+15.26</f>
        <v>238.21999999999997</v>
      </c>
      <c r="I397" s="18">
        <v>0</v>
      </c>
      <c r="J397" s="24" t="s">
        <v>288</v>
      </c>
      <c r="K397" s="24" t="s">
        <v>288</v>
      </c>
      <c r="L397" s="56">
        <f t="shared" si="26"/>
        <v>20803.22</v>
      </c>
      <c r="M397" s="8"/>
      <c r="N397" s="265"/>
    </row>
    <row r="398" spans="1:14" s="3" customFormat="1" ht="12.2" customHeight="1" x14ac:dyDescent="0.15">
      <c r="A398" s="79" t="s">
        <v>515</v>
      </c>
      <c r="B398" s="2" t="s">
        <v>381</v>
      </c>
      <c r="C398" s="6">
        <v>10</v>
      </c>
      <c r="D398" s="2" t="s">
        <v>432</v>
      </c>
      <c r="E398" s="6"/>
      <c r="F398" s="18">
        <v>0</v>
      </c>
      <c r="G398" s="18">
        <v>0</v>
      </c>
      <c r="H398" s="18">
        <f>12.1+214.61</f>
        <v>226.71</v>
      </c>
      <c r="I398" s="18">
        <v>0</v>
      </c>
      <c r="J398" s="24" t="s">
        <v>288</v>
      </c>
      <c r="K398" s="24" t="s">
        <v>288</v>
      </c>
      <c r="L398" s="56">
        <f t="shared" si="26"/>
        <v>226.71</v>
      </c>
      <c r="M398" s="8"/>
      <c r="N398" s="265"/>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20565</v>
      </c>
      <c r="H402" s="47">
        <f>SUM(H396:H401)</f>
        <v>464.92999999999995</v>
      </c>
      <c r="I402" s="47">
        <f>SUM(I396:I401)</f>
        <v>0</v>
      </c>
      <c r="J402" s="45" t="s">
        <v>288</v>
      </c>
      <c r="K402" s="45" t="s">
        <v>288</v>
      </c>
      <c r="L402" s="47">
        <f>SUM(L396:L401)</f>
        <v>21029.93</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5"/>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5"/>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20565</v>
      </c>
      <c r="H409" s="47">
        <f>H394+H402+H408</f>
        <v>464.92999999999995</v>
      </c>
      <c r="I409" s="47">
        <f>I394+I402+I408</f>
        <v>0</v>
      </c>
      <c r="J409" s="24" t="s">
        <v>288</v>
      </c>
      <c r="K409" s="24" t="s">
        <v>288</v>
      </c>
      <c r="L409" s="47">
        <f>L394+L402+L408</f>
        <v>21029.93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5"/>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5"/>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5"/>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5"/>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5"/>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5"/>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5"/>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5"/>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6"/>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3"/>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5"/>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113481.26</v>
      </c>
      <c r="G441" s="18">
        <f>115151.46+8349.46</f>
        <v>123500.92000000001</v>
      </c>
      <c r="H441" s="18">
        <v>0</v>
      </c>
      <c r="I441" s="56">
        <f t="shared" si="33"/>
        <v>236982.18</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113481.26</v>
      </c>
      <c r="G447" s="13">
        <f>SUM(G440:G446)</f>
        <v>123500.92000000001</v>
      </c>
      <c r="H447" s="13">
        <f>SUM(H440:H446)</f>
        <v>0</v>
      </c>
      <c r="I447" s="13">
        <f>SUM(I440:I446)</f>
        <v>236982.18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F447</f>
        <v>113481.26</v>
      </c>
      <c r="G460" s="18">
        <f>G447</f>
        <v>123500.92000000001</v>
      </c>
      <c r="H460" s="18">
        <v>0</v>
      </c>
      <c r="I460" s="56">
        <f t="shared" si="34"/>
        <v>236982.18</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113481.26</v>
      </c>
      <c r="G461" s="83">
        <f>SUM(G455:G460)</f>
        <v>123500.92000000001</v>
      </c>
      <c r="H461" s="83">
        <f>SUM(H455:H460)</f>
        <v>0</v>
      </c>
      <c r="I461" s="83">
        <f>SUM(I455:I460)</f>
        <v>236982.18</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113481.26</v>
      </c>
      <c r="G462" s="42">
        <f>G453+G461</f>
        <v>123500.92000000001</v>
      </c>
      <c r="H462" s="42">
        <f>H453+H461</f>
        <v>0</v>
      </c>
      <c r="I462" s="42">
        <f>I453+I461</f>
        <v>236982.18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547592.88</v>
      </c>
      <c r="G466" s="18">
        <v>9945.8700000000008</v>
      </c>
      <c r="H466" s="18">
        <v>0</v>
      </c>
      <c r="I466" s="18">
        <v>0</v>
      </c>
      <c r="J466" s="18">
        <v>214952.25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8011340.1999999993</v>
      </c>
      <c r="G469" s="18">
        <f>G194</f>
        <v>196039.11</v>
      </c>
      <c r="H469" s="18">
        <f>H194</f>
        <v>331985.10000000003</v>
      </c>
      <c r="I469" s="18">
        <v>0</v>
      </c>
      <c r="J469" s="18">
        <f>J194</f>
        <v>21029.93</v>
      </c>
      <c r="K469" s="24" t="s">
        <v>288</v>
      </c>
      <c r="L469" s="24" t="s">
        <v>288</v>
      </c>
      <c r="N469" s="264"/>
    </row>
    <row r="470" spans="1:14" s="52" customFormat="1" ht="12.2" customHeight="1" x14ac:dyDescent="0.2">
      <c r="A470" s="93" t="s">
        <v>611</v>
      </c>
      <c r="B470" s="75">
        <v>19</v>
      </c>
      <c r="C470" s="80">
        <v>3</v>
      </c>
      <c r="D470" s="2" t="s">
        <v>432</v>
      </c>
      <c r="E470" s="80"/>
      <c r="F470" s="18"/>
      <c r="G470" s="18">
        <v>0</v>
      </c>
      <c r="H470" s="18">
        <v>0</v>
      </c>
      <c r="I470" s="18">
        <v>0</v>
      </c>
      <c r="J470" s="18">
        <v>1000</v>
      </c>
      <c r="K470" s="24" t="s">
        <v>288</v>
      </c>
      <c r="L470" s="24" t="s">
        <v>288</v>
      </c>
      <c r="N470" s="264"/>
    </row>
    <row r="471" spans="1:14" s="52" customFormat="1" ht="12.2" customHeight="1" x14ac:dyDescent="0.2">
      <c r="A471" s="92" t="s">
        <v>425</v>
      </c>
      <c r="B471" s="75">
        <v>19</v>
      </c>
      <c r="C471" s="80">
        <v>4</v>
      </c>
      <c r="D471" s="2" t="s">
        <v>432</v>
      </c>
      <c r="E471" s="80"/>
      <c r="F471" s="53">
        <f>SUM(F469:F470)</f>
        <v>8011340.1999999993</v>
      </c>
      <c r="G471" s="53">
        <f>SUM(G469:G470)</f>
        <v>196039.11</v>
      </c>
      <c r="H471" s="53">
        <f>SUM(H469:H470)</f>
        <v>331985.10000000003</v>
      </c>
      <c r="I471" s="53">
        <f>SUM(I469:I470)</f>
        <v>0</v>
      </c>
      <c r="J471" s="53">
        <f>SUM(J469:J470)</f>
        <v>22029.93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7990425.3300000001</v>
      </c>
      <c r="G473" s="18">
        <f>L363</f>
        <v>81218.720000000001</v>
      </c>
      <c r="H473" s="18">
        <f>L353</f>
        <v>331985.09999999998</v>
      </c>
      <c r="I473" s="18">
        <v>0</v>
      </c>
      <c r="J473" s="18">
        <v>0</v>
      </c>
      <c r="K473" s="24" t="s">
        <v>288</v>
      </c>
      <c r="L473" s="24" t="s">
        <v>288</v>
      </c>
      <c r="N473" s="264"/>
    </row>
    <row r="474" spans="1:14" s="52" customFormat="1" ht="12.2" customHeight="1" x14ac:dyDescent="0.2">
      <c r="A474" s="93" t="s">
        <v>613</v>
      </c>
      <c r="B474" s="75">
        <v>19</v>
      </c>
      <c r="C474" s="80">
        <v>6</v>
      </c>
      <c r="D474" s="2" t="s">
        <v>432</v>
      </c>
      <c r="E474" s="80"/>
      <c r="F474" s="18"/>
      <c r="G474" s="18">
        <v>0</v>
      </c>
      <c r="H474" s="18">
        <v>0</v>
      </c>
      <c r="I474" s="18">
        <v>0</v>
      </c>
      <c r="J474" s="18">
        <v>0</v>
      </c>
      <c r="K474" s="24" t="s">
        <v>288</v>
      </c>
      <c r="L474" s="24" t="s">
        <v>288</v>
      </c>
      <c r="N474" s="264"/>
    </row>
    <row r="475" spans="1:14" s="52" customFormat="1" ht="12.2" customHeight="1" x14ac:dyDescent="0.2">
      <c r="A475" s="92" t="s">
        <v>426</v>
      </c>
      <c r="B475" s="75">
        <v>19</v>
      </c>
      <c r="C475" s="80">
        <v>7</v>
      </c>
      <c r="D475" s="2" t="s">
        <v>432</v>
      </c>
      <c r="E475" s="80"/>
      <c r="F475" s="53">
        <f>SUM(F473:F474)</f>
        <v>7990425.3300000001</v>
      </c>
      <c r="G475" s="53">
        <f>SUM(G473:G474)</f>
        <v>81218.720000000001</v>
      </c>
      <c r="H475" s="53">
        <f>SUM(H473:H474)</f>
        <v>331985.09999999998</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568507.75</v>
      </c>
      <c r="G477" s="53">
        <f>(G466+G471)- G475</f>
        <v>124766.25999999998</v>
      </c>
      <c r="H477" s="53">
        <f>(H466+H471)- H475</f>
        <v>0</v>
      </c>
      <c r="I477" s="53">
        <f>(I466+I471)- I475</f>
        <v>0</v>
      </c>
      <c r="J477" s="53">
        <f>(J466+J471)- J475</f>
        <v>236982.18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1804</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10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1790000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2.56</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1105000</v>
      </c>
      <c r="G496" s="18"/>
      <c r="H496" s="18"/>
      <c r="I496" s="18"/>
      <c r="J496" s="18"/>
      <c r="K496" s="53">
        <f>SUM(F496:J496)</f>
        <v>1105000</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160000</v>
      </c>
      <c r="G498" s="18"/>
      <c r="H498" s="18"/>
      <c r="I498" s="18"/>
      <c r="J498" s="18"/>
      <c r="K498" s="53">
        <f t="shared" si="35"/>
        <v>160000</v>
      </c>
      <c r="L498" s="24" t="s">
        <v>288</v>
      </c>
      <c r="N498" s="264"/>
    </row>
    <row r="499" spans="1:14" s="52" customFormat="1" ht="12.2" customHeight="1" x14ac:dyDescent="0.2">
      <c r="A499" s="199" t="s">
        <v>622</v>
      </c>
      <c r="B499" s="200">
        <v>20</v>
      </c>
      <c r="C499" s="201">
        <v>9</v>
      </c>
      <c r="D499" s="202" t="s">
        <v>432</v>
      </c>
      <c r="E499" s="201"/>
      <c r="F499" s="203">
        <v>1105000</v>
      </c>
      <c r="G499" s="203"/>
      <c r="H499" s="203"/>
      <c r="I499" s="203"/>
      <c r="J499" s="203"/>
      <c r="K499" s="204">
        <f t="shared" si="35"/>
        <v>1105000</v>
      </c>
      <c r="L499" s="205" t="s">
        <v>288</v>
      </c>
      <c r="N499" s="264"/>
    </row>
    <row r="500" spans="1:14" s="52" customFormat="1" ht="12.2" customHeight="1" thickBot="1" x14ac:dyDescent="0.25">
      <c r="A500" s="22" t="s">
        <v>623</v>
      </c>
      <c r="B500" s="75">
        <v>20</v>
      </c>
      <c r="C500" s="115">
        <v>10</v>
      </c>
      <c r="D500" s="2" t="s">
        <v>432</v>
      </c>
      <c r="E500" s="115"/>
      <c r="F500" s="18">
        <v>195712.4</v>
      </c>
      <c r="G500" s="18"/>
      <c r="H500" s="18"/>
      <c r="I500" s="18"/>
      <c r="J500" s="18"/>
      <c r="K500" s="53">
        <f t="shared" si="35"/>
        <v>195712.4</v>
      </c>
      <c r="L500" s="24" t="s">
        <v>288</v>
      </c>
      <c r="N500" s="264"/>
    </row>
    <row r="501" spans="1:14" s="52" customFormat="1" ht="12.2" customHeight="1" thickTop="1" x14ac:dyDescent="0.2">
      <c r="A501" s="139" t="s">
        <v>624</v>
      </c>
      <c r="B501" s="44">
        <v>20</v>
      </c>
      <c r="C501" s="194">
        <v>11</v>
      </c>
      <c r="D501" s="39" t="s">
        <v>432</v>
      </c>
      <c r="E501" s="194"/>
      <c r="F501" s="42">
        <f>SUM(F499:F500)</f>
        <v>1300712.3999999999</v>
      </c>
      <c r="G501" s="42">
        <f>SUM(G499:G500)</f>
        <v>0</v>
      </c>
      <c r="H501" s="42">
        <f>SUM(H499:H500)</f>
        <v>0</v>
      </c>
      <c r="I501" s="42">
        <f>SUM(I499:I500)</f>
        <v>0</v>
      </c>
      <c r="J501" s="42">
        <f>SUM(J499:J500)</f>
        <v>0</v>
      </c>
      <c r="K501" s="42">
        <f t="shared" si="35"/>
        <v>1300712.3999999999</v>
      </c>
      <c r="L501" s="45" t="s">
        <v>288</v>
      </c>
      <c r="N501" s="264"/>
    </row>
    <row r="502" spans="1:14" s="52" customFormat="1" ht="12.2" customHeight="1" x14ac:dyDescent="0.2">
      <c r="A502" s="199" t="s">
        <v>651</v>
      </c>
      <c r="B502" s="200">
        <v>20</v>
      </c>
      <c r="C502" s="201">
        <v>12</v>
      </c>
      <c r="D502" s="202" t="s">
        <v>432</v>
      </c>
      <c r="E502" s="201"/>
      <c r="F502" s="203">
        <v>160000</v>
      </c>
      <c r="G502" s="203"/>
      <c r="H502" s="203"/>
      <c r="I502" s="203"/>
      <c r="J502" s="203"/>
      <c r="K502" s="204">
        <f t="shared" si="35"/>
        <v>160000</v>
      </c>
      <c r="L502" s="205" t="s">
        <v>288</v>
      </c>
      <c r="N502" s="264"/>
    </row>
    <row r="503" spans="1:14" s="52" customFormat="1" ht="12.2" customHeight="1" thickBot="1" x14ac:dyDescent="0.25">
      <c r="A503" s="22" t="s">
        <v>625</v>
      </c>
      <c r="B503" s="75">
        <v>20</v>
      </c>
      <c r="C503" s="115">
        <v>13</v>
      </c>
      <c r="D503" s="2" t="s">
        <v>432</v>
      </c>
      <c r="E503" s="115"/>
      <c r="F503" s="18">
        <v>52275</v>
      </c>
      <c r="G503" s="18"/>
      <c r="H503" s="18"/>
      <c r="I503" s="18"/>
      <c r="J503" s="18"/>
      <c r="K503" s="53">
        <f t="shared" si="35"/>
        <v>52275</v>
      </c>
      <c r="L503" s="24" t="s">
        <v>288</v>
      </c>
      <c r="N503" s="264"/>
    </row>
    <row r="504" spans="1:14" s="52" customFormat="1" ht="12.2" customHeight="1" thickTop="1" x14ac:dyDescent="0.2">
      <c r="A504" s="139" t="s">
        <v>626</v>
      </c>
      <c r="B504" s="44">
        <v>20</v>
      </c>
      <c r="C504" s="194">
        <v>14</v>
      </c>
      <c r="D504" s="39" t="s">
        <v>432</v>
      </c>
      <c r="E504" s="194"/>
      <c r="F504" s="42">
        <f>SUM(F502:F503)</f>
        <v>212275</v>
      </c>
      <c r="G504" s="42">
        <f>SUM(G502:G503)</f>
        <v>0</v>
      </c>
      <c r="H504" s="42">
        <f>SUM(H502:H503)</f>
        <v>0</v>
      </c>
      <c r="I504" s="42">
        <f>SUM(I502:I503)</f>
        <v>0</v>
      </c>
      <c r="J504" s="42">
        <f>SUM(J502:J503)</f>
        <v>0</v>
      </c>
      <c r="K504" s="42">
        <f t="shared" si="35"/>
        <v>212275</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120365.52+183413.39+84434.66+54743-F532</f>
        <v>358937.57000000007</v>
      </c>
      <c r="G522" s="18">
        <f>212324.02+2059.01+91+113+4188+53-G532</f>
        <v>163862.03</v>
      </c>
      <c r="H522" s="18">
        <v>353.48</v>
      </c>
      <c r="I522" s="18">
        <f>1666.28+1311.53+91.52</f>
        <v>3069.33</v>
      </c>
      <c r="J522" s="18">
        <f>732.95+99.99+299</f>
        <v>1131.94</v>
      </c>
      <c r="K522" s="18">
        <v>0</v>
      </c>
      <c r="L522" s="88">
        <f>SUM(F522:K522)</f>
        <v>527354.35</v>
      </c>
      <c r="N522" s="264"/>
    </row>
    <row r="523" spans="1:14" s="52" customFormat="1" ht="12.2" customHeight="1" x14ac:dyDescent="0.2">
      <c r="A523" s="22" t="s">
        <v>634</v>
      </c>
      <c r="B523" s="105">
        <v>21</v>
      </c>
      <c r="C523" s="115">
        <v>2</v>
      </c>
      <c r="D523" s="2" t="s">
        <v>432</v>
      </c>
      <c r="E523" s="115"/>
      <c r="F523" s="18">
        <v>0</v>
      </c>
      <c r="G523" s="18">
        <v>0</v>
      </c>
      <c r="H523" s="18">
        <f>1008</f>
        <v>1008</v>
      </c>
      <c r="I523" s="18">
        <v>0</v>
      </c>
      <c r="J523" s="18">
        <v>0</v>
      </c>
      <c r="K523" s="18">
        <v>0</v>
      </c>
      <c r="L523" s="88">
        <f>SUM(F523:K523)</f>
        <v>1008</v>
      </c>
      <c r="N523" s="264"/>
    </row>
    <row r="524" spans="1:14" s="52" customFormat="1" ht="12.2" customHeight="1" thickBot="1" x14ac:dyDescent="0.25">
      <c r="A524" s="22" t="s">
        <v>635</v>
      </c>
      <c r="B524" s="105">
        <v>21</v>
      </c>
      <c r="C524" s="115">
        <v>3</v>
      </c>
      <c r="D524" s="2" t="s">
        <v>432</v>
      </c>
      <c r="E524" s="115"/>
      <c r="F524" s="18">
        <v>0</v>
      </c>
      <c r="G524" s="18">
        <v>0</v>
      </c>
      <c r="H524" s="18">
        <f>5477.64+157668+4900</f>
        <v>168045.64</v>
      </c>
      <c r="I524" s="18">
        <v>0</v>
      </c>
      <c r="J524" s="18">
        <v>0</v>
      </c>
      <c r="K524" s="18">
        <v>0</v>
      </c>
      <c r="L524" s="88">
        <f>SUM(F524:K524)</f>
        <v>168045.64</v>
      </c>
      <c r="N524" s="264"/>
    </row>
    <row r="525" spans="1:14" s="52" customFormat="1" ht="12.2" customHeight="1" thickTop="1" x14ac:dyDescent="0.2">
      <c r="A525" s="139" t="s">
        <v>63</v>
      </c>
      <c r="B525" s="107">
        <v>21</v>
      </c>
      <c r="C525" s="194">
        <v>4</v>
      </c>
      <c r="D525" s="195" t="s">
        <v>432</v>
      </c>
      <c r="E525" s="194"/>
      <c r="F525" s="108">
        <f>SUM(F522:F524)</f>
        <v>358937.57000000007</v>
      </c>
      <c r="G525" s="108">
        <f t="shared" ref="G525:L525" si="36">SUM(G522:G524)</f>
        <v>163862.03</v>
      </c>
      <c r="H525" s="108">
        <f t="shared" si="36"/>
        <v>169407.12000000002</v>
      </c>
      <c r="I525" s="108">
        <f t="shared" si="36"/>
        <v>3069.33</v>
      </c>
      <c r="J525" s="108">
        <f t="shared" si="36"/>
        <v>1131.94</v>
      </c>
      <c r="K525" s="108">
        <f t="shared" si="36"/>
        <v>0</v>
      </c>
      <c r="L525" s="89">
        <f t="shared" si="36"/>
        <v>696407.99</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41355.57+54467.92+35752.5</f>
        <v>131575.99</v>
      </c>
      <c r="G527" s="18">
        <f>4465.31+37853.13</f>
        <v>42318.439999999995</v>
      </c>
      <c r="H527" s="18">
        <f>53838+50950+307.97+9846.21</f>
        <v>114942.18</v>
      </c>
      <c r="I527" s="18">
        <f>1000.47+1551.13+381.5</f>
        <v>2933.1000000000004</v>
      </c>
      <c r="J527" s="18">
        <v>0</v>
      </c>
      <c r="K527" s="18">
        <v>0</v>
      </c>
      <c r="L527" s="88">
        <f>SUM(F527:K527)</f>
        <v>291769.70999999996</v>
      </c>
      <c r="M527" s="8"/>
      <c r="N527" s="265"/>
    </row>
    <row r="528" spans="1:14" s="3" customFormat="1" ht="12.2" customHeight="1" x14ac:dyDescent="0.15">
      <c r="A528" s="22" t="s">
        <v>634</v>
      </c>
      <c r="B528" s="105">
        <v>21</v>
      </c>
      <c r="C528" s="115">
        <v>6</v>
      </c>
      <c r="D528" s="2" t="s">
        <v>432</v>
      </c>
      <c r="E528" s="115"/>
      <c r="F528" s="18">
        <v>0</v>
      </c>
      <c r="G528" s="18">
        <v>0</v>
      </c>
      <c r="H528" s="18">
        <f>1796.24</f>
        <v>1796.24</v>
      </c>
      <c r="I528" s="18">
        <v>0</v>
      </c>
      <c r="J528" s="18">
        <v>0</v>
      </c>
      <c r="K528" s="18">
        <v>0</v>
      </c>
      <c r="L528" s="88">
        <f>SUM(F528:K528)</f>
        <v>1796.24</v>
      </c>
      <c r="M528" s="8"/>
      <c r="N528" s="265"/>
    </row>
    <row r="529" spans="1:14" s="3" customFormat="1" ht="12.2" customHeight="1" thickBot="1" x14ac:dyDescent="0.2">
      <c r="A529" s="22" t="s">
        <v>635</v>
      </c>
      <c r="B529" s="118">
        <v>21</v>
      </c>
      <c r="C529" s="118">
        <v>7</v>
      </c>
      <c r="D529" s="2" t="s">
        <v>432</v>
      </c>
      <c r="E529" s="118"/>
      <c r="F529" s="18">
        <v>0</v>
      </c>
      <c r="G529" s="18">
        <v>0</v>
      </c>
      <c r="H529" s="18">
        <f>2807.18+21800</f>
        <v>24607.18</v>
      </c>
      <c r="I529" s="18">
        <v>0</v>
      </c>
      <c r="J529" s="18">
        <v>0</v>
      </c>
      <c r="K529" s="18">
        <v>0</v>
      </c>
      <c r="L529" s="88">
        <f>SUM(F529:K529)</f>
        <v>24607.18</v>
      </c>
      <c r="M529" s="8"/>
      <c r="N529" s="265"/>
    </row>
    <row r="530" spans="1:14" s="3" customFormat="1" ht="12.2" customHeight="1" thickTop="1" x14ac:dyDescent="0.15">
      <c r="A530" s="139" t="s">
        <v>65</v>
      </c>
      <c r="B530" s="107">
        <v>21</v>
      </c>
      <c r="C530" s="107">
        <v>8</v>
      </c>
      <c r="D530" s="158" t="s">
        <v>432</v>
      </c>
      <c r="E530" s="107"/>
      <c r="F530" s="89">
        <f>SUM(F527:F529)</f>
        <v>131575.99</v>
      </c>
      <c r="G530" s="89">
        <f t="shared" ref="G530:L530" si="37">SUM(G527:G529)</f>
        <v>42318.439999999995</v>
      </c>
      <c r="H530" s="89">
        <f t="shared" si="37"/>
        <v>141345.60000000001</v>
      </c>
      <c r="I530" s="89">
        <f t="shared" si="37"/>
        <v>2933.1000000000004</v>
      </c>
      <c r="J530" s="89">
        <f t="shared" si="37"/>
        <v>0</v>
      </c>
      <c r="K530" s="89">
        <f t="shared" si="37"/>
        <v>0</v>
      </c>
      <c r="L530" s="89">
        <f t="shared" si="37"/>
        <v>318173.12999999995</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84019</v>
      </c>
      <c r="G532" s="18">
        <v>54966</v>
      </c>
      <c r="H532" s="18">
        <v>0</v>
      </c>
      <c r="I532" s="18">
        <v>0</v>
      </c>
      <c r="J532" s="18">
        <v>0</v>
      </c>
      <c r="K532" s="18">
        <v>0</v>
      </c>
      <c r="L532" s="88">
        <f>SUM(F532:K532)</f>
        <v>138985</v>
      </c>
      <c r="M532" s="8"/>
      <c r="N532" s="265"/>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5"/>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5"/>
    </row>
    <row r="535" spans="1:14" s="3" customFormat="1" ht="12.2" customHeight="1" thickTop="1" x14ac:dyDescent="0.15">
      <c r="A535" s="139" t="s">
        <v>67</v>
      </c>
      <c r="B535" s="107">
        <v>21</v>
      </c>
      <c r="C535" s="107">
        <v>12</v>
      </c>
      <c r="D535" s="158" t="s">
        <v>432</v>
      </c>
      <c r="E535" s="107"/>
      <c r="F535" s="89">
        <f>SUM(F532:F534)</f>
        <v>84019</v>
      </c>
      <c r="G535" s="89">
        <f>SUM(G533:G534)</f>
        <v>0</v>
      </c>
      <c r="H535" s="89">
        <f>SUM(H533:H534)</f>
        <v>0</v>
      </c>
      <c r="I535" s="89">
        <f>SUM(I533:I534)</f>
        <v>0</v>
      </c>
      <c r="J535" s="89">
        <f>SUM(J533:J534)</f>
        <v>0</v>
      </c>
      <c r="K535" s="89">
        <f>SUM(K533:K534)</f>
        <v>0</v>
      </c>
      <c r="L535" s="89">
        <f t="shared" ref="L535" si="38">SUM(L532:L534)</f>
        <v>138985</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8377.74</v>
      </c>
      <c r="I542" s="18">
        <v>0</v>
      </c>
      <c r="J542" s="18">
        <v>0</v>
      </c>
      <c r="K542" s="18">
        <v>0</v>
      </c>
      <c r="L542" s="88">
        <f>SUM(F542:K542)</f>
        <v>8377.74</v>
      </c>
      <c r="M542" s="8"/>
      <c r="N542" s="265"/>
    </row>
    <row r="543" spans="1:14" s="3" customFormat="1" ht="12.2" customHeight="1" x14ac:dyDescent="0.15">
      <c r="A543" s="22" t="s">
        <v>634</v>
      </c>
      <c r="B543" s="105">
        <v>21</v>
      </c>
      <c r="C543" s="105">
        <v>18</v>
      </c>
      <c r="D543" s="2" t="s">
        <v>432</v>
      </c>
      <c r="E543" s="105"/>
      <c r="F543" s="18">
        <v>0</v>
      </c>
      <c r="G543" s="18">
        <v>0</v>
      </c>
      <c r="H543" s="18">
        <v>7671.76</v>
      </c>
      <c r="I543" s="18">
        <v>0</v>
      </c>
      <c r="J543" s="18">
        <v>0</v>
      </c>
      <c r="K543" s="18">
        <v>0</v>
      </c>
      <c r="L543" s="88">
        <f>SUM(F543:K543)</f>
        <v>7671.76</v>
      </c>
      <c r="M543" s="8"/>
      <c r="N543" s="265"/>
    </row>
    <row r="544" spans="1:14" s="3" customFormat="1" ht="12.2" customHeight="1" thickBot="1" x14ac:dyDescent="0.2">
      <c r="A544" s="22" t="s">
        <v>635</v>
      </c>
      <c r="B544" s="105">
        <v>21</v>
      </c>
      <c r="C544" s="105">
        <v>19</v>
      </c>
      <c r="D544" s="2" t="s">
        <v>432</v>
      </c>
      <c r="E544" s="105"/>
      <c r="F544" s="18">
        <v>0</v>
      </c>
      <c r="G544" s="18">
        <v>0</v>
      </c>
      <c r="H544" s="18">
        <v>50312.32</v>
      </c>
      <c r="I544" s="18">
        <v>0</v>
      </c>
      <c r="J544" s="18">
        <v>0</v>
      </c>
      <c r="K544" s="18">
        <v>0</v>
      </c>
      <c r="L544" s="88">
        <f>SUM(F544:K544)</f>
        <v>50312.32</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66361.820000000007</v>
      </c>
      <c r="I545" s="192">
        <f t="shared" si="40"/>
        <v>0</v>
      </c>
      <c r="J545" s="192">
        <f t="shared" si="40"/>
        <v>0</v>
      </c>
      <c r="K545" s="192">
        <f t="shared" si="40"/>
        <v>0</v>
      </c>
      <c r="L545" s="192">
        <f t="shared" si="40"/>
        <v>66361.820000000007</v>
      </c>
      <c r="M545" s="8"/>
      <c r="N545" s="265"/>
    </row>
    <row r="546" spans="1:14" s="3" customFormat="1" ht="12.2" customHeight="1" thickTop="1" x14ac:dyDescent="0.15">
      <c r="A546" s="98" t="s">
        <v>72</v>
      </c>
      <c r="B546" s="107">
        <v>21</v>
      </c>
      <c r="C546" s="107">
        <v>21</v>
      </c>
      <c r="D546" s="158" t="s">
        <v>432</v>
      </c>
      <c r="E546" s="107"/>
      <c r="F546" s="89">
        <f>F525+F530+F535+F540+F545</f>
        <v>574532.56000000006</v>
      </c>
      <c r="G546" s="89">
        <f t="shared" ref="G546:L546" si="41">G525+G530+G535+G540+G545</f>
        <v>206180.47</v>
      </c>
      <c r="H546" s="89">
        <f t="shared" si="41"/>
        <v>377114.54000000004</v>
      </c>
      <c r="I546" s="89">
        <f t="shared" si="41"/>
        <v>6002.43</v>
      </c>
      <c r="J546" s="89">
        <f t="shared" si="41"/>
        <v>1131.94</v>
      </c>
      <c r="K546" s="89">
        <f t="shared" si="41"/>
        <v>0</v>
      </c>
      <c r="L546" s="89">
        <f t="shared" si="41"/>
        <v>1219927.94</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527354.35</v>
      </c>
      <c r="G550" s="87">
        <f>L527</f>
        <v>291769.70999999996</v>
      </c>
      <c r="H550" s="87">
        <f>L532</f>
        <v>138985</v>
      </c>
      <c r="I550" s="87">
        <f>L537</f>
        <v>0</v>
      </c>
      <c r="J550" s="87">
        <f>L542</f>
        <v>8377.74</v>
      </c>
      <c r="K550" s="87">
        <f>SUM(F550:J550)</f>
        <v>966486.79999999993</v>
      </c>
      <c r="L550" s="24" t="s">
        <v>288</v>
      </c>
      <c r="M550" s="8"/>
      <c r="N550" s="265"/>
    </row>
    <row r="551" spans="1:14" s="3" customFormat="1" ht="12.2" customHeight="1" x14ac:dyDescent="0.15">
      <c r="A551" s="22" t="s">
        <v>634</v>
      </c>
      <c r="B551" s="75">
        <v>21</v>
      </c>
      <c r="C551" s="75">
        <v>23</v>
      </c>
      <c r="D551" s="2" t="s">
        <v>432</v>
      </c>
      <c r="E551" s="75"/>
      <c r="F551" s="87">
        <f>L523</f>
        <v>1008</v>
      </c>
      <c r="G551" s="87">
        <f>L528</f>
        <v>1796.24</v>
      </c>
      <c r="H551" s="87">
        <f>L533</f>
        <v>0</v>
      </c>
      <c r="I551" s="87">
        <f>L538</f>
        <v>0</v>
      </c>
      <c r="J551" s="87">
        <f>L543</f>
        <v>7671.76</v>
      </c>
      <c r="K551" s="87">
        <f>SUM(F551:J551)</f>
        <v>10476</v>
      </c>
      <c r="L551" s="24" t="s">
        <v>288</v>
      </c>
      <c r="M551" s="8"/>
      <c r="N551" s="265"/>
    </row>
    <row r="552" spans="1:14" s="3" customFormat="1" ht="12.2" customHeight="1" thickBot="1" x14ac:dyDescent="0.2">
      <c r="A552" s="22" t="s">
        <v>635</v>
      </c>
      <c r="B552" s="75">
        <v>21</v>
      </c>
      <c r="C552" s="75">
        <v>24</v>
      </c>
      <c r="D552" s="2" t="s">
        <v>432</v>
      </c>
      <c r="E552" s="75"/>
      <c r="F552" s="87">
        <f>L524</f>
        <v>168045.64</v>
      </c>
      <c r="G552" s="87">
        <f>L529</f>
        <v>24607.18</v>
      </c>
      <c r="H552" s="87">
        <f>L534</f>
        <v>0</v>
      </c>
      <c r="I552" s="87">
        <f>L539</f>
        <v>0</v>
      </c>
      <c r="J552" s="87">
        <f>L544</f>
        <v>50312.32</v>
      </c>
      <c r="K552" s="87">
        <f>SUM(F552:J552)</f>
        <v>242965.14</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696407.99</v>
      </c>
      <c r="G553" s="89">
        <f t="shared" si="42"/>
        <v>318173.12999999995</v>
      </c>
      <c r="H553" s="89">
        <f t="shared" si="42"/>
        <v>138985</v>
      </c>
      <c r="I553" s="89">
        <f t="shared" si="42"/>
        <v>0</v>
      </c>
      <c r="J553" s="89">
        <f t="shared" si="42"/>
        <v>66361.820000000007</v>
      </c>
      <c r="K553" s="89">
        <f t="shared" si="42"/>
        <v>1219927.94</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5"/>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5"/>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871289.83</v>
      </c>
      <c r="H576" s="18">
        <v>2412330.35</v>
      </c>
      <c r="I576" s="87">
        <f>SUM(F576:H576)</f>
        <v>3283620.18</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0</v>
      </c>
      <c r="G580" s="18">
        <v>1008</v>
      </c>
      <c r="H580" s="18">
        <v>4900</v>
      </c>
      <c r="I580" s="87">
        <f t="shared" si="47"/>
        <v>5908</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0</v>
      </c>
      <c r="G583" s="18">
        <v>0</v>
      </c>
      <c r="H583" s="18">
        <v>0</v>
      </c>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294814.79+16965.5</f>
        <v>311780.28999999998</v>
      </c>
      <c r="I592" s="18">
        <v>0</v>
      </c>
      <c r="J592" s="18">
        <v>0</v>
      </c>
      <c r="K592" s="104">
        <f t="shared" ref="K592:K598" si="48">SUM(H592:J592)</f>
        <v>311780.28999999998</v>
      </c>
      <c r="L592" s="24" t="s">
        <v>288</v>
      </c>
      <c r="M592" s="8"/>
      <c r="N592" s="265"/>
    </row>
    <row r="593" spans="1:14" s="3" customFormat="1" ht="12.2" customHeight="1" x14ac:dyDescent="0.15">
      <c r="A593" s="3" t="s">
        <v>638</v>
      </c>
      <c r="B593" s="75">
        <v>23</v>
      </c>
      <c r="C593" s="75">
        <v>2</v>
      </c>
      <c r="D593" s="2" t="s">
        <v>432</v>
      </c>
      <c r="E593" s="75"/>
      <c r="F593" s="102">
        <v>2722</v>
      </c>
      <c r="G593" s="103" t="s">
        <v>97</v>
      </c>
      <c r="H593" s="18">
        <v>8377.74</v>
      </c>
      <c r="I593" s="18">
        <v>7671.76</v>
      </c>
      <c r="J593" s="18">
        <v>50312.32</v>
      </c>
      <c r="K593" s="104">
        <f t="shared" si="48"/>
        <v>66361.820000000007</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917.96</v>
      </c>
      <c r="I596" s="18">
        <v>0</v>
      </c>
      <c r="J596" s="18">
        <v>0</v>
      </c>
      <c r="K596" s="104">
        <f t="shared" si="48"/>
        <v>917.96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321075.99</v>
      </c>
      <c r="I599" s="108">
        <f>SUM(I592:I598)</f>
        <v>7671.76</v>
      </c>
      <c r="J599" s="108">
        <f>SUM(J592:J598)</f>
        <v>50312.32</v>
      </c>
      <c r="K599" s="108">
        <f>SUM(K592:K598)</f>
        <v>379060.07</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J212+J291</f>
        <v>123082.45000000001</v>
      </c>
      <c r="I605" s="18">
        <v>0</v>
      </c>
      <c r="J605" s="18">
        <v>0</v>
      </c>
      <c r="K605" s="104">
        <f>SUM(H605:J605)</f>
        <v>123082.45000000001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123082.45000000001</v>
      </c>
      <c r="I606" s="108">
        <f>SUM(I603:I605)</f>
        <v>0</v>
      </c>
      <c r="J606" s="108">
        <f>SUM(J603:J605)</f>
        <v>0</v>
      </c>
      <c r="K606" s="108">
        <f>SUM(K603:K605)</f>
        <v>123082.45000000001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0</v>
      </c>
      <c r="G612" s="18">
        <v>0</v>
      </c>
      <c r="H612" s="18">
        <v>0</v>
      </c>
      <c r="I612" s="18">
        <v>0</v>
      </c>
      <c r="J612" s="18">
        <v>0</v>
      </c>
      <c r="K612" s="18">
        <v>0</v>
      </c>
      <c r="L612" s="88">
        <f>SUM(F612:K612)</f>
        <v>0</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707176.73</v>
      </c>
      <c r="H618" s="109">
        <f>SUM(F52)</f>
        <v>707176.73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129773.26000000001</v>
      </c>
      <c r="H619" s="109">
        <f>SUM(G52)</f>
        <v>129773.25999999998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55140.57</v>
      </c>
      <c r="H620" s="109">
        <f>SUM(H52)</f>
        <v>55140.57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236982.18</v>
      </c>
      <c r="H622" s="109">
        <f>SUM(J52)</f>
        <v>236982.18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568507.75</v>
      </c>
      <c r="H623" s="109">
        <f>F477</f>
        <v>568507.75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124766.25999999998</v>
      </c>
      <c r="H624" s="109">
        <f>G477</f>
        <v>124766.25999999998</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236982.18</v>
      </c>
      <c r="H627" s="109">
        <f>J477</f>
        <v>236982.18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8011340.1999999993</v>
      </c>
      <c r="H628" s="104">
        <f>SUM(F469)</f>
        <v>8011340.1999999993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196039.11</v>
      </c>
      <c r="H629" s="104">
        <f>SUM(G469)</f>
        <v>196039.11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331985.10000000003</v>
      </c>
      <c r="H630" s="104">
        <f>SUM(H469)</f>
        <v>331985.10000000003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21029.93</v>
      </c>
      <c r="H632" s="104">
        <f>SUM(J469)</f>
        <v>21029.93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7990425.3300000001</v>
      </c>
      <c r="H633" s="104">
        <f>SUM(F473)</f>
        <v>7990425.3300000001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331985.09999999998</v>
      </c>
      <c r="H634" s="104">
        <f>SUM(H473)</f>
        <v>331985.09999999998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50768.89</v>
      </c>
      <c r="H635" s="104">
        <f>I370</f>
        <v>50768.89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81218.720000000001</v>
      </c>
      <c r="H636" s="104">
        <f>SUM(G473)</f>
        <v>81218.720000000001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21029.93</v>
      </c>
      <c r="H638" s="164">
        <f>SUM(J469)</f>
        <v>21029.93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113481.26</v>
      </c>
      <c r="H640" s="104">
        <f>SUM(F462)</f>
        <v>113481.26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123500.92000000001</v>
      </c>
      <c r="H641" s="104">
        <f>SUM(G462)</f>
        <v>123500.92000000001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236982.18</v>
      </c>
      <c r="H643" s="104">
        <f>SUM(I462)</f>
        <v>236982.18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464.93</v>
      </c>
      <c r="H645" s="104">
        <f>H409</f>
        <v>464.92999999999995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20565</v>
      </c>
      <c r="H646" s="104">
        <f>G409</f>
        <v>20565</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21029.93</v>
      </c>
      <c r="H647" s="104">
        <f>L409</f>
        <v>21029.93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379060.07</v>
      </c>
      <c r="H648" s="104">
        <f>L209+L227+L245</f>
        <v>379060.07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123082.45000000001</v>
      </c>
      <c r="H649" s="104">
        <f>(J258+J339)-(J256+J337)</f>
        <v>123082.45000000001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321075.99</v>
      </c>
      <c r="H650" s="104">
        <f>H599</f>
        <v>321075.99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7671.76</v>
      </c>
      <c r="H651" s="104">
        <f>I599</f>
        <v>7671.76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50312.32</v>
      </c>
      <c r="H652" s="104">
        <f>J599</f>
        <v>50312.32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20565</v>
      </c>
      <c r="H656" s="104">
        <f>K267+K348</f>
        <v>20565</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4625567.8299999991</v>
      </c>
      <c r="G661" s="19">
        <f>(L230+L310+L360)</f>
        <v>881765.83</v>
      </c>
      <c r="H661" s="19">
        <f>(L248+L329+L361)</f>
        <v>2655295.4900000002</v>
      </c>
      <c r="I661" s="19">
        <f>SUM(F661:H661)</f>
        <v>8162629.1499999994</v>
      </c>
      <c r="J661" s="13"/>
      <c r="K661" s="13"/>
      <c r="L661" s="13"/>
      <c r="M661" s="9"/>
    </row>
    <row r="662" spans="1:13" s="3" customFormat="1" ht="12.2" customHeight="1" x14ac:dyDescent="0.2">
      <c r="A662" s="1" t="s">
        <v>127</v>
      </c>
      <c r="F662" s="19">
        <f>(L359/IF(SUM(L359:L361)=0,1,SUM(L359:L361))*(SUM(G97:G110)))</f>
        <v>14228.15</v>
      </c>
      <c r="G662" s="19">
        <f>(L360/IF(SUM(L359:L361)=0,1,SUM(L359:L361))*(SUM(G97:G110)))</f>
        <v>0</v>
      </c>
      <c r="H662" s="19">
        <f>(L361/IF(SUM(L359:L361)=0,1,SUM(L359:L361))*(SUM(G97:G110)))</f>
        <v>0</v>
      </c>
      <c r="I662" s="19">
        <f>SUM(F662:H662)</f>
        <v>14228.15</v>
      </c>
      <c r="J662"/>
      <c r="K662" s="13"/>
      <c r="L662" s="13"/>
      <c r="M662" s="8"/>
    </row>
    <row r="663" spans="1:13" s="3" customFormat="1" ht="12.2" customHeight="1" x14ac:dyDescent="0.2">
      <c r="A663" s="1" t="s">
        <v>128</v>
      </c>
      <c r="F663" s="19">
        <f>(L209+L288)-(J209+J288)</f>
        <v>323575.99</v>
      </c>
      <c r="G663" s="19">
        <f>(L227+L307)-(J227+J307)</f>
        <v>7671.76</v>
      </c>
      <c r="H663" s="19">
        <f>(L245+L326)-(J245+J326)</f>
        <v>50312.32</v>
      </c>
      <c r="I663" s="19">
        <f>SUM(F663:H663)</f>
        <v>381560.07</v>
      </c>
      <c r="J663"/>
      <c r="K663" s="13"/>
      <c r="L663" s="13"/>
      <c r="M663" s="9"/>
    </row>
    <row r="664" spans="1:13" s="3" customFormat="1" ht="12.2" customHeight="1" x14ac:dyDescent="0.15">
      <c r="A664" s="197" t="s">
        <v>129</v>
      </c>
      <c r="B664" s="169"/>
      <c r="C664" s="169"/>
      <c r="D664" s="169"/>
      <c r="E664" s="169"/>
      <c r="F664" s="198">
        <f>SUM(F576:F588)+SUM(H603:H605)+SUM(L612)</f>
        <v>123082.45000000001</v>
      </c>
      <c r="G664" s="198">
        <f>SUM(G576:G588)+SUM(I603:I605)+L613</f>
        <v>872297.83</v>
      </c>
      <c r="H664" s="198">
        <f>SUM(H576:H588)+SUM(J603:J605)+L614</f>
        <v>2417230.35</v>
      </c>
      <c r="I664" s="19">
        <f>SUM(F664:H664)</f>
        <v>3412610.63</v>
      </c>
      <c r="J664" s="13"/>
      <c r="K664" s="13"/>
      <c r="L664" s="13"/>
      <c r="M664" s="9"/>
    </row>
    <row r="665" spans="1:13" s="3" customFormat="1" ht="12.2" customHeight="1" x14ac:dyDescent="0.15">
      <c r="A665" s="1" t="s">
        <v>130</v>
      </c>
      <c r="F665" s="19">
        <f>F661-SUM(F662:F664)</f>
        <v>4164681.2399999993</v>
      </c>
      <c r="G665" s="19">
        <f>G661-SUM(G662:G664)</f>
        <v>1796.2399999999907</v>
      </c>
      <c r="H665" s="19">
        <f>H661-SUM(H662:H664)</f>
        <v>187752.8200000003</v>
      </c>
      <c r="I665" s="19">
        <f>I661-SUM(I662:I664)</f>
        <v>4354230.2999999989</v>
      </c>
      <c r="J665" s="13"/>
      <c r="K665" s="13"/>
      <c r="L665" s="13"/>
      <c r="M665" s="8"/>
    </row>
    <row r="666" spans="1:13" s="3" customFormat="1" ht="12.2" customHeight="1" x14ac:dyDescent="0.2">
      <c r="A666" s="1" t="s">
        <v>131</v>
      </c>
      <c r="F666" s="245">
        <v>238.96</v>
      </c>
      <c r="G666" s="246">
        <v>0</v>
      </c>
      <c r="H666" s="246">
        <v>0</v>
      </c>
      <c r="I666" s="19">
        <f>SUM(F666:H666)</f>
        <v>238.96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17428.36</v>
      </c>
      <c r="G668" s="19" t="e">
        <f>ROUND(G665/G666,2)</f>
        <v>#DIV/0!</v>
      </c>
      <c r="H668" s="19" t="e">
        <f>ROUND(H665/H666,2)</f>
        <v>#DIV/0!</v>
      </c>
      <c r="I668" s="19">
        <f>ROUND(I665/I666,2)</f>
        <v>18221.59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-1796.24</v>
      </c>
      <c r="H670" s="18">
        <v>-187752.82</v>
      </c>
      <c r="I670" s="19">
        <f>SUM(F670:H670)</f>
        <v>-189549.06</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17428.36</v>
      </c>
      <c r="G673" s="19" t="e">
        <f>ROUND((G665+G670)/(G666+G671),2)</f>
        <v>#DIV/0!</v>
      </c>
      <c r="H673" s="19" t="e">
        <f>ROUND((H665+H670)/(H666+H671),2)</f>
        <v>#DIV/0!</v>
      </c>
      <c r="I673" s="19">
        <f>ROUND((I665+I670)/(I666+I671),2)</f>
        <v>17428.36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2" sqref="E22"/>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17396.160000000003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1020.79</f>
        <v>1020.79</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f>8138+8237.37</f>
        <v>16375.37</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f>13745+20766.91</f>
        <v>34511.910000000003</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Dunbarton</v>
      </c>
      <c r="C5" s="375"/>
      <c r="D5" s="375"/>
      <c r="E5" s="375"/>
      <c r="F5" s="375"/>
    </row>
    <row r="8" spans="1:9" ht="18" x14ac:dyDescent="0.25">
      <c r="A8" s="312" t="s">
        <v>1568</v>
      </c>
      <c r="F8" s="319" t="s">
        <v>1586</v>
      </c>
    </row>
    <row r="9" spans="1:9" ht="15" x14ac:dyDescent="0.2">
      <c r="A9" s="310" t="s">
        <v>1569</v>
      </c>
      <c r="B9" s="313">
        <f>'DOE25'!G97</f>
        <v>14228.15</v>
      </c>
      <c r="F9" s="310" t="s">
        <v>1582</v>
      </c>
    </row>
    <row r="10" spans="1:9" ht="15" x14ac:dyDescent="0.2">
      <c r="A10" s="310" t="s">
        <v>1570</v>
      </c>
      <c r="B10" s="313">
        <f>'DOE25'!G112-'DOE25'!G97</f>
        <v>0</v>
      </c>
      <c r="F10" s="310" t="s">
        <v>1583</v>
      </c>
    </row>
    <row r="11" spans="1:9" ht="15" x14ac:dyDescent="0.2">
      <c r="A11" s="310" t="s">
        <v>1571</v>
      </c>
      <c r="B11" s="313">
        <f>'DOE25'!G140</f>
        <v>1659.96</v>
      </c>
      <c r="F11" s="310" t="s">
        <v>1584</v>
      </c>
    </row>
    <row r="12" spans="1:9" ht="15" x14ac:dyDescent="0.2">
      <c r="A12" s="310" t="s">
        <v>1572</v>
      </c>
      <c r="B12" s="313">
        <f>'DOE25'!G170</f>
        <v>180151</v>
      </c>
      <c r="F12" s="310" t="s">
        <v>1585</v>
      </c>
    </row>
    <row r="13" spans="1:9" ht="15" x14ac:dyDescent="0.2">
      <c r="A13" s="310" t="s">
        <v>1573</v>
      </c>
      <c r="B13" s="313">
        <f>'DOE25'!G193-'DOE25'!G180</f>
        <v>0</v>
      </c>
      <c r="F13" s="310" t="s">
        <v>1595</v>
      </c>
    </row>
    <row r="14" spans="1:9" ht="18" x14ac:dyDescent="0.25">
      <c r="A14" s="312" t="s">
        <v>732</v>
      </c>
      <c r="B14" s="314">
        <f>SUM(B9:B13)</f>
        <v>196039.11</v>
      </c>
    </row>
    <row r="16" spans="1:9" ht="18" x14ac:dyDescent="0.25">
      <c r="A16" s="312" t="s">
        <v>786</v>
      </c>
      <c r="F16" s="319" t="s">
        <v>1587</v>
      </c>
    </row>
    <row r="17" spans="1:6" ht="15" x14ac:dyDescent="0.2">
      <c r="A17" s="310" t="s">
        <v>1574</v>
      </c>
      <c r="B17" s="313">
        <f>'DOE25'!L363-'DOE25'!L362</f>
        <v>81218.720000000001</v>
      </c>
      <c r="F17" s="310" t="s">
        <v>1588</v>
      </c>
    </row>
    <row r="18" spans="1:6" ht="15" x14ac:dyDescent="0.2">
      <c r="A18" s="310" t="s">
        <v>1575</v>
      </c>
      <c r="B18" s="323">
        <v>0</v>
      </c>
      <c r="F18" s="319" t="s">
        <v>1612</v>
      </c>
    </row>
    <row r="19" spans="1:6" ht="18" x14ac:dyDescent="0.25">
      <c r="A19" s="312" t="s">
        <v>725</v>
      </c>
      <c r="B19" s="314">
        <f>SUM(B17:B18)</f>
        <v>81218.720000000001</v>
      </c>
    </row>
    <row r="21" spans="1:6" ht="18.75" thickBot="1" x14ac:dyDescent="0.3">
      <c r="A21" s="312" t="s">
        <v>1576</v>
      </c>
    </row>
    <row r="22" spans="1:6" ht="18.75" thickTop="1" x14ac:dyDescent="0.25">
      <c r="A22" s="312" t="s">
        <v>1577</v>
      </c>
      <c r="B22" s="318">
        <f>B14-B19</f>
        <v>114820.38999999998</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9945.8700000000008</v>
      </c>
      <c r="F31" s="310" t="s">
        <v>1592</v>
      </c>
    </row>
    <row r="33" spans="1:6" ht="15" x14ac:dyDescent="0.2">
      <c r="A33" s="310" t="s">
        <v>1635</v>
      </c>
      <c r="B33" s="313">
        <f>'DOE25'!G477</f>
        <v>124766.25999999998</v>
      </c>
      <c r="F33" s="310" t="s">
        <v>1593</v>
      </c>
    </row>
    <row r="36" spans="1:6" ht="15" x14ac:dyDescent="0.2">
      <c r="A36" s="310" t="s">
        <v>1579</v>
      </c>
      <c r="B36" s="324">
        <v>8024.84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1" sqref="B2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Dunbarton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1248437.1700000002</v>
      </c>
      <c r="C9" s="228">
        <f>'DOE25'!G198+'DOE25'!G216+'DOE25'!G234+'DOE25'!G277+'DOE25'!G296+'DOE25'!G315</f>
        <v>590421.44999999995</v>
      </c>
    </row>
    <row r="10" spans="1:3" x14ac:dyDescent="0.2">
      <c r="A10" t="s">
        <v>775</v>
      </c>
      <c r="B10" s="239">
        <f>1248437.17-B11-B12</f>
        <v>1095243.5399999998</v>
      </c>
      <c r="C10" s="239">
        <f>590421.45-C11-C12</f>
        <v>557280.93999999994</v>
      </c>
    </row>
    <row r="11" spans="1:3" x14ac:dyDescent="0.2">
      <c r="A11" t="s">
        <v>776</v>
      </c>
      <c r="B11" s="239">
        <v>124828.05</v>
      </c>
      <c r="C11" s="239">
        <v>30970.54</v>
      </c>
    </row>
    <row r="12" spans="1:3" x14ac:dyDescent="0.2">
      <c r="A12" t="s">
        <v>777</v>
      </c>
      <c r="B12" s="239">
        <v>28365.58</v>
      </c>
      <c r="C12" s="239">
        <v>2169.9699999999998</v>
      </c>
    </row>
    <row r="13" spans="1:3" x14ac:dyDescent="0.2">
      <c r="A13" t="str">
        <f>IF(B9=B13,IF(C9=C13,"Check Total OK","Check Total Error"),"Check Total Error")</f>
        <v>Check Total OK</v>
      </c>
      <c r="B13" s="230">
        <f>SUM(B10:B12)</f>
        <v>1248437.17</v>
      </c>
      <c r="C13" s="230">
        <f>SUM(C10:C12)</f>
        <v>590421.44999999995</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446106.57000000007</v>
      </c>
      <c r="C18" s="228">
        <f>'DOE25'!G199+'DOE25'!G217+'DOE25'!G235+'DOE25'!G278+'DOE25'!G297+'DOE25'!G316</f>
        <v>219731.14</v>
      </c>
    </row>
    <row r="19" spans="1:3" x14ac:dyDescent="0.2">
      <c r="A19" t="s">
        <v>775</v>
      </c>
      <c r="B19" s="239">
        <f>446106.57-B20-B21</f>
        <v>178258.52</v>
      </c>
      <c r="C19" s="239">
        <f>219731.14-C20-C21</f>
        <v>104587.89000000001</v>
      </c>
    </row>
    <row r="20" spans="1:3" x14ac:dyDescent="0.2">
      <c r="A20" t="s">
        <v>776</v>
      </c>
      <c r="B20" s="239">
        <v>183413.39</v>
      </c>
      <c r="C20" s="239">
        <v>60176.91</v>
      </c>
    </row>
    <row r="21" spans="1:3" x14ac:dyDescent="0.2">
      <c r="A21" t="s">
        <v>777</v>
      </c>
      <c r="B21" s="239">
        <v>84434.66</v>
      </c>
      <c r="C21" s="239">
        <v>54966.34</v>
      </c>
    </row>
    <row r="22" spans="1:3" x14ac:dyDescent="0.2">
      <c r="A22" t="str">
        <f>IF(B18=B22,IF(C18=C22,"Check Total OK","Check Total Error"),"Check Total Error")</f>
        <v>Check Total OK</v>
      </c>
      <c r="B22" s="230">
        <f>SUM(B19:B21)</f>
        <v>446106.57000000007</v>
      </c>
      <c r="C22" s="230">
        <f>SUM(C19:C21)</f>
        <v>219731.14</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5.47</v>
      </c>
    </row>
    <row r="37" spans="1:3" x14ac:dyDescent="0.2">
      <c r="A37" t="s">
        <v>775</v>
      </c>
      <c r="B37" s="239">
        <v>0</v>
      </c>
      <c r="C37" s="239">
        <v>5.47</v>
      </c>
    </row>
    <row r="38" spans="1:3" x14ac:dyDescent="0.2">
      <c r="A38" t="s">
        <v>776</v>
      </c>
      <c r="B38" s="239">
        <v>0</v>
      </c>
      <c r="C38" s="239">
        <v>0</v>
      </c>
    </row>
    <row r="39" spans="1:3" x14ac:dyDescent="0.2">
      <c r="A39" t="s">
        <v>777</v>
      </c>
      <c r="B39" s="239">
        <v>0</v>
      </c>
      <c r="C39" s="239">
        <v>0</v>
      </c>
    </row>
    <row r="40" spans="1:3" x14ac:dyDescent="0.2">
      <c r="A40" t="str">
        <f>IF(B36=B40,IF(C36=C40,"Check Total OK","Check Total Error"),"Check Total Error")</f>
        <v>Check Total OK</v>
      </c>
      <c r="B40" s="230">
        <f>SUM(B37:B39)</f>
        <v>0</v>
      </c>
      <c r="C40" s="230">
        <f>SUM(C37:C39)</f>
        <v>5.47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6" sqref="F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Dunbarton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5974746.5500000007</v>
      </c>
      <c r="D5" s="20">
        <f>SUM('DOE25'!L198:L201)+SUM('DOE25'!L216:L219)+SUM('DOE25'!L234:L237)-F5-G5-H5</f>
        <v>5967589.5300000012</v>
      </c>
      <c r="E5" s="242"/>
      <c r="F5" s="243">
        <v>0</v>
      </c>
      <c r="G5" s="53">
        <f>SUM('DOE25'!J198:J201)+SUM('DOE25'!J216:J219)+SUM('DOE25'!J234:J237)</f>
        <v>5387.3799999999992</v>
      </c>
      <c r="H5" s="53">
        <f>SUM('DOE25'!K198:K201)+SUM('DOE25'!K216:K219)+SUM('DOE25'!K234:K237)</f>
        <v>1769.64</v>
      </c>
      <c r="I5" s="255"/>
    </row>
    <row r="6" spans="1:9" x14ac:dyDescent="0.2">
      <c r="A6" s="32">
        <v>2100</v>
      </c>
      <c r="B6" t="s">
        <v>796</v>
      </c>
      <c r="C6" s="274">
        <f t="shared" si="0"/>
        <v>493398.09</v>
      </c>
      <c r="D6" s="20">
        <f>'DOE25'!L203+'DOE25'!L221+'DOE25'!L239-F6-G6-H6</f>
        <v>470248.09</v>
      </c>
      <c r="E6" s="242"/>
      <c r="F6" s="243">
        <f>48150-25000</f>
        <v>23150</v>
      </c>
      <c r="G6" s="53">
        <f>'DOE25'!J203+'DOE25'!J221+'DOE25'!J239</f>
        <v>0</v>
      </c>
      <c r="H6" s="53">
        <f>'DOE25'!K203+'DOE25'!K221+'DOE25'!K239</f>
        <v>0</v>
      </c>
      <c r="I6" s="255"/>
    </row>
    <row r="7" spans="1:9" x14ac:dyDescent="0.2">
      <c r="A7" s="32">
        <v>2200</v>
      </c>
      <c r="B7" t="s">
        <v>821</v>
      </c>
      <c r="C7" s="274">
        <f t="shared" si="0"/>
        <v>154168.39000000001</v>
      </c>
      <c r="D7" s="20">
        <f>'DOE25'!L204+'DOE25'!L222+'DOE25'!L240-F7-G7-H7</f>
        <v>117005.20000000001</v>
      </c>
      <c r="E7" s="242"/>
      <c r="F7" s="243">
        <v>0</v>
      </c>
      <c r="G7" s="53">
        <f>'DOE25'!J204+'DOE25'!J222+'DOE25'!J240</f>
        <v>37163.19</v>
      </c>
      <c r="H7" s="53">
        <f>'DOE25'!K204+'DOE25'!K222+'DOE25'!K240</f>
        <v>0</v>
      </c>
      <c r="I7" s="255"/>
    </row>
    <row r="8" spans="1:9" x14ac:dyDescent="0.2">
      <c r="A8" s="32">
        <v>2300</v>
      </c>
      <c r="B8" t="s">
        <v>797</v>
      </c>
      <c r="C8" s="274">
        <f t="shared" si="0"/>
        <v>135847.97</v>
      </c>
      <c r="D8" s="242"/>
      <c r="E8" s="20">
        <f>'DOE25'!L205+'DOE25'!L223+'DOE25'!L241-F8-G8-H8-D9-D11</f>
        <v>132731.57</v>
      </c>
      <c r="F8" s="243">
        <v>0</v>
      </c>
      <c r="G8" s="53">
        <f>'DOE25'!J205+'DOE25'!J223+'DOE25'!J241</f>
        <v>0</v>
      </c>
      <c r="H8" s="53">
        <f>'DOE25'!K205+'DOE25'!K223+'DOE25'!K241</f>
        <v>3116.4</v>
      </c>
      <c r="I8" s="255"/>
    </row>
    <row r="9" spans="1:9" ht="14.25" x14ac:dyDescent="0.2">
      <c r="A9" s="32">
        <v>2310</v>
      </c>
      <c r="B9" s="184" t="s">
        <v>888</v>
      </c>
      <c r="C9" s="274">
        <f t="shared" si="0"/>
        <v>10921.94</v>
      </c>
      <c r="D9" s="243">
        <v>10921.94</v>
      </c>
      <c r="E9" s="242"/>
      <c r="F9" s="252"/>
      <c r="G9" s="252"/>
      <c r="H9" s="252"/>
      <c r="I9" s="255"/>
    </row>
    <row r="10" spans="1:9" ht="14.25" x14ac:dyDescent="0.2">
      <c r="A10" s="32">
        <v>2317</v>
      </c>
      <c r="B10" s="184" t="s">
        <v>889</v>
      </c>
      <c r="C10" s="274">
        <f t="shared" si="0"/>
        <v>6325</v>
      </c>
      <c r="D10" s="242"/>
      <c r="E10" s="243">
        <v>6325</v>
      </c>
      <c r="F10" s="252"/>
      <c r="G10" s="252"/>
      <c r="H10" s="252"/>
      <c r="I10" s="255"/>
    </row>
    <row r="11" spans="1:9" ht="14.25" x14ac:dyDescent="0.2">
      <c r="A11" s="32">
        <v>2321</v>
      </c>
      <c r="B11" s="184" t="s">
        <v>890</v>
      </c>
      <c r="C11" s="274">
        <f t="shared" si="0"/>
        <v>55647.12</v>
      </c>
      <c r="D11" s="243">
        <v>55647.12</v>
      </c>
      <c r="E11" s="242"/>
      <c r="F11" s="252"/>
      <c r="G11" s="252"/>
      <c r="H11" s="252"/>
      <c r="I11" s="255"/>
    </row>
    <row r="12" spans="1:9" x14ac:dyDescent="0.2">
      <c r="A12" s="32">
        <v>2400</v>
      </c>
      <c r="B12" t="s">
        <v>711</v>
      </c>
      <c r="C12" s="274">
        <f t="shared" si="0"/>
        <v>253925.94999999998</v>
      </c>
      <c r="D12" s="20">
        <f>'DOE25'!L206+'DOE25'!L224+'DOE25'!L242-F12-G12-H12</f>
        <v>253325.94999999998</v>
      </c>
      <c r="E12" s="242"/>
      <c r="F12" s="243">
        <v>0</v>
      </c>
      <c r="G12" s="53">
        <f>'DOE25'!J206+'DOE25'!J224+'DOE25'!J242</f>
        <v>0</v>
      </c>
      <c r="H12" s="53">
        <f>'DOE25'!K206+'DOE25'!K224+'DOE25'!K242</f>
        <v>600</v>
      </c>
      <c r="I12" s="255"/>
    </row>
    <row r="13" spans="1:9" x14ac:dyDescent="0.2">
      <c r="A13" s="32">
        <v>2500</v>
      </c>
      <c r="B13" t="s">
        <v>798</v>
      </c>
      <c r="C13" s="274">
        <f t="shared" si="0"/>
        <v>0</v>
      </c>
      <c r="D13" s="242"/>
      <c r="E13" s="20">
        <f>'DOE25'!L207+'DOE25'!L225+'DOE25'!L243-F13-G13-H13</f>
        <v>0</v>
      </c>
      <c r="F13" s="243">
        <v>0</v>
      </c>
      <c r="G13" s="53">
        <f>'DOE25'!J207+'DOE25'!J225+'DOE25'!J243</f>
        <v>0</v>
      </c>
      <c r="H13" s="53">
        <f>'DOE25'!K207+'DOE25'!K225+'DOE25'!K243</f>
        <v>0</v>
      </c>
      <c r="I13" s="255"/>
    </row>
    <row r="14" spans="1:9" x14ac:dyDescent="0.2">
      <c r="A14" s="32">
        <v>2600</v>
      </c>
      <c r="B14" t="s">
        <v>819</v>
      </c>
      <c r="C14" s="274">
        <f t="shared" si="0"/>
        <v>291709.25</v>
      </c>
      <c r="D14" s="20">
        <f>'DOE25'!L208+'DOE25'!L226+'DOE25'!L244-F14-G14-H14</f>
        <v>291039.28000000003</v>
      </c>
      <c r="E14" s="242"/>
      <c r="F14" s="243">
        <v>0</v>
      </c>
      <c r="G14" s="53">
        <f>'DOE25'!J208+'DOE25'!J226+'DOE25'!J244</f>
        <v>669.97</v>
      </c>
      <c r="H14" s="53">
        <f>'DOE25'!K208+'DOE25'!K226+'DOE25'!K244</f>
        <v>0</v>
      </c>
      <c r="I14" s="255"/>
    </row>
    <row r="15" spans="1:9" x14ac:dyDescent="0.2">
      <c r="A15" s="32">
        <v>2700</v>
      </c>
      <c r="B15" t="s">
        <v>799</v>
      </c>
      <c r="C15" s="274">
        <f t="shared" si="0"/>
        <v>379060.07</v>
      </c>
      <c r="D15" s="20">
        <f>'DOE25'!L209+'DOE25'!L227+'DOE25'!L245-F15-G15-H15</f>
        <v>55737.119999999995</v>
      </c>
      <c r="E15" s="242"/>
      <c r="F15" s="243">
        <f>325172.95-25000+48150-25000</f>
        <v>323322.95</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v>0</v>
      </c>
      <c r="G16" s="53">
        <f>'DOE25'!J210+'DOE25'!J228+'DOE25'!J246</f>
        <v>0</v>
      </c>
      <c r="H16" s="53">
        <f>'DOE25'!K210+'DOE25'!K228+'DOE25'!K246</f>
        <v>0</v>
      </c>
      <c r="I16" s="255"/>
    </row>
    <row r="17" spans="1:9" x14ac:dyDescent="0.2">
      <c r="A17" s="32">
        <v>1600</v>
      </c>
      <c r="B17" t="s">
        <v>801</v>
      </c>
      <c r="C17" s="274">
        <f t="shared" si="0"/>
        <v>0</v>
      </c>
      <c r="D17" s="20">
        <f>'DOE25'!L252-F17-G17-H17</f>
        <v>0</v>
      </c>
      <c r="E17" s="242"/>
      <c r="F17" s="243">
        <v>0</v>
      </c>
      <c r="G17" s="53">
        <f>'DOE25'!J252</f>
        <v>0</v>
      </c>
      <c r="H17" s="53">
        <f>'DOE25'!K252</f>
        <v>0</v>
      </c>
      <c r="I17" s="255"/>
    </row>
    <row r="18" spans="1:9" x14ac:dyDescent="0.2">
      <c r="A18" s="32">
        <v>1700</v>
      </c>
      <c r="B18" t="s">
        <v>802</v>
      </c>
      <c r="C18" s="274">
        <f t="shared" si="0"/>
        <v>0</v>
      </c>
      <c r="D18" s="20">
        <f>'DOE25'!L253-F18-G18-H18</f>
        <v>0</v>
      </c>
      <c r="E18" s="242"/>
      <c r="F18" s="243">
        <v>0</v>
      </c>
      <c r="G18" s="53">
        <f>'DOE25'!J253</f>
        <v>0</v>
      </c>
      <c r="H18" s="53">
        <f>'DOE25'!K253</f>
        <v>0</v>
      </c>
      <c r="I18" s="255"/>
    </row>
    <row r="19" spans="1:9" x14ac:dyDescent="0.2">
      <c r="A19" s="32">
        <v>1800</v>
      </c>
      <c r="B19" t="s">
        <v>803</v>
      </c>
      <c r="C19" s="274">
        <f t="shared" si="0"/>
        <v>0</v>
      </c>
      <c r="D19" s="20">
        <f>'DOE25'!L254-F19-G19-H19</f>
        <v>0</v>
      </c>
      <c r="E19" s="242"/>
      <c r="F19" s="243">
        <v>0</v>
      </c>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220435</v>
      </c>
      <c r="D25" s="242"/>
      <c r="E25" s="242"/>
      <c r="F25" s="254"/>
      <c r="G25" s="252"/>
      <c r="H25" s="252"/>
      <c r="I25" s="253">
        <f>'DOE25'!L261+'DOE25'!L262+'DOE25'!L342+'DOE25'!L343</f>
        <v>220435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32344.740000000005</v>
      </c>
      <c r="D29" s="282">
        <f>'DOE25'!L359+'DOE25'!L360+'DOE25'!L361-'DOE25'!I368-F29-G29-H29</f>
        <v>32344.740000000005</v>
      </c>
      <c r="E29" s="242"/>
      <c r="F29" s="243">
        <v>0</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331985.09999999998</v>
      </c>
      <c r="D31" s="20">
        <f>'DOE25'!L291+'DOE25'!L310+'DOE25'!L329+'DOE25'!L334+'DOE25'!L335+'DOE25'!L336-F31-G31-H31</f>
        <v>248176.79999999996</v>
      </c>
      <c r="E31" s="242"/>
      <c r="F31" s="243">
        <v>0</v>
      </c>
      <c r="G31" s="53">
        <f>'DOE25'!J291+'DOE25'!J310+'DOE25'!J329+'DOE25'!J334+'DOE25'!J335+'DOE25'!J336</f>
        <v>79861.91</v>
      </c>
      <c r="H31" s="53">
        <f>'DOE25'!K291+'DOE25'!K310+'DOE25'!K329+'DOE25'!K334+'DOE25'!K335+'DOE25'!K336</f>
        <v>3946.39</v>
      </c>
      <c r="I31" s="255"/>
    </row>
    <row r="32" spans="1:9" ht="12" thickBot="1" x14ac:dyDescent="0.25">
      <c r="C32" s="275"/>
      <c r="G32" s="250"/>
      <c r="H32" s="250"/>
      <c r="I32" s="257"/>
    </row>
    <row r="33" spans="1:9" ht="12" thickTop="1" x14ac:dyDescent="0.2">
      <c r="B33" t="s">
        <v>809</v>
      </c>
      <c r="D33" s="244">
        <f t="shared" ref="D33:I33" si="1">SUM(D5:D31)</f>
        <v>7502035.7700000023</v>
      </c>
      <c r="E33" s="244">
        <f t="shared" si="1"/>
        <v>139056.57</v>
      </c>
      <c r="F33" s="244">
        <f t="shared" si="1"/>
        <v>346472.95</v>
      </c>
      <c r="G33" s="244">
        <f t="shared" si="1"/>
        <v>123082.45000000001</v>
      </c>
      <c r="H33" s="244">
        <f t="shared" si="1"/>
        <v>9432.43</v>
      </c>
      <c r="I33" s="244">
        <f t="shared" si="1"/>
        <v>220435</v>
      </c>
    </row>
    <row r="35" spans="1:9" ht="12" thickBot="1" x14ac:dyDescent="0.25">
      <c r="B35" s="250" t="s">
        <v>831</v>
      </c>
      <c r="D35" s="251">
        <f>E33</f>
        <v>139056.57</v>
      </c>
      <c r="E35" s="247"/>
      <c r="F35" s="328" t="s">
        <v>1617</v>
      </c>
      <c r="G35" s="329"/>
      <c r="H35" s="329"/>
      <c r="I35" s="329"/>
    </row>
    <row r="36" spans="1:9" ht="12" thickTop="1" x14ac:dyDescent="0.2">
      <c r="B36" t="s">
        <v>810</v>
      </c>
      <c r="D36" s="20">
        <f>D33</f>
        <v>7502035.7700000023</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Dunbarton</v>
      </c>
      <c r="B2" s="126">
        <f>'DOE25'!B2</f>
        <v>149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4544349.1099999994</v>
      </c>
      <c r="G4" s="299">
        <f>'DOE25'!L212+'DOE25'!L291</f>
        <v>4544349.1099999994</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Dunbarton Elementary School</v>
      </c>
      <c r="B6" s="300">
        <f>IFERROR(VLOOKUP(A6,'School Tables'!$C$3:$D$365,2,FALSE),"")</f>
        <v>20685</v>
      </c>
      <c r="C6" s="293" t="str">
        <f>IFERROR(INDEX('School Tables'!$B$3:$B$365,MATCH('School Level Expenditures'!B6,'School Tables'!$D$3:$D$365,0)),"")</f>
        <v>Dunbarton</v>
      </c>
      <c r="D6" s="290">
        <f>'DOE25'!L212</f>
        <v>4212364.01</v>
      </c>
      <c r="E6" s="290">
        <f>'DOE25'!L291</f>
        <v>331985.09999999998</v>
      </c>
      <c r="F6" s="303">
        <f t="shared" ref="F6:F20" si="0">D6+E6</f>
        <v>4544349.1099999994</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4212364.01</v>
      </c>
      <c r="E21" s="338">
        <f>SUM(E5:E20)</f>
        <v>331985.09999999998</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881765.83</v>
      </c>
      <c r="G24" s="299">
        <f>'DOE25'!L230+'DOE25'!L310</f>
        <v>881765.83</v>
      </c>
      <c r="H24" s="340">
        <f>F24-G24</f>
        <v>0</v>
      </c>
      <c r="I24" s="383" t="str">
        <f>IF(H24=0,"","ISSUES!! Please review page 8 and 12 totals in comparison with total on this page")</f>
        <v/>
      </c>
      <c r="N24"/>
    </row>
    <row r="25" spans="1:14" x14ac:dyDescent="0.2">
      <c r="A25" s="126" t="s">
        <v>1548</v>
      </c>
      <c r="B25" s="300">
        <v>99999</v>
      </c>
      <c r="C25" s="293" t="s">
        <v>1548</v>
      </c>
      <c r="D25" s="290">
        <f>'DOE25'!L230</f>
        <v>881765.83</v>
      </c>
      <c r="E25" s="290">
        <v>0</v>
      </c>
      <c r="F25" s="303">
        <f>D25+E25</f>
        <v>881765.83</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881765.83</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2655295.4900000002</v>
      </c>
      <c r="G36" s="299">
        <f>'DOE25'!L248+'DOE25'!L329</f>
        <v>2655295.4900000002</v>
      </c>
      <c r="H36" s="340">
        <f>F36-G36</f>
        <v>0</v>
      </c>
      <c r="I36" s="383" t="str">
        <f>IF(H36=0,"","ISSUES!! Please review page 9 and 13 totals in comparison with total on this page")</f>
        <v/>
      </c>
      <c r="N36"/>
    </row>
    <row r="37" spans="1:14" x14ac:dyDescent="0.2">
      <c r="A37" s="126" t="s">
        <v>1548</v>
      </c>
      <c r="B37" s="300">
        <v>99999</v>
      </c>
      <c r="C37" s="293" t="s">
        <v>1548</v>
      </c>
      <c r="D37" s="290">
        <f>'DOE25'!L248</f>
        <v>2655295.4900000002</v>
      </c>
      <c r="E37" s="290">
        <v>0</v>
      </c>
      <c r="F37" s="303">
        <f t="shared" ref="F37:F42" si="2">D37+E37</f>
        <v>2655295.4900000002</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2655295.4900000002</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Dunbarton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635741.37</v>
      </c>
      <c r="D8" s="95">
        <f>'DOE25'!G9</f>
        <v>0</v>
      </c>
      <c r="E8" s="95">
        <f>'DOE25'!H9</f>
        <v>0</v>
      </c>
      <c r="F8" s="95">
        <f>'DOE25'!I9</f>
        <v>0</v>
      </c>
      <c r="G8" s="95">
        <f>'DOE25'!J9</f>
        <v>0</v>
      </c>
      <c r="H8" s="124">
        <f>SUM(C8:G8)</f>
        <v>635741.37</v>
      </c>
      <c r="I8" s="124"/>
    </row>
    <row r="9" spans="1:9" x14ac:dyDescent="0.2">
      <c r="A9" s="1" t="s">
        <v>140</v>
      </c>
      <c r="B9" s="6">
        <v>110</v>
      </c>
      <c r="C9" s="95">
        <f>'DOE25'!F10</f>
        <v>0</v>
      </c>
      <c r="D9" s="95">
        <f>'DOE25'!G10</f>
        <v>0</v>
      </c>
      <c r="E9" s="95">
        <f>'DOE25'!H10</f>
        <v>0</v>
      </c>
      <c r="F9" s="95">
        <f>'DOE25'!I10</f>
        <v>0</v>
      </c>
      <c r="G9" s="95">
        <f>'DOE25'!J10</f>
        <v>236982.18</v>
      </c>
      <c r="H9" s="124">
        <f t="shared" ref="H9:H18" si="0">SUM(C9:G9)</f>
        <v>236982.18</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52992.97</v>
      </c>
      <c r="D11" s="95">
        <f>'DOE25'!G12</f>
        <v>116955.72</v>
      </c>
      <c r="E11" s="95">
        <f>'DOE25'!H12</f>
        <v>0</v>
      </c>
      <c r="F11" s="95">
        <f>'DOE25'!I12</f>
        <v>0</v>
      </c>
      <c r="G11" s="95">
        <f>'DOE25'!J12</f>
        <v>0</v>
      </c>
      <c r="H11" s="124">
        <f t="shared" si="0"/>
        <v>169948.69</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2461.33</v>
      </c>
      <c r="D13" s="95">
        <f>'DOE25'!G14</f>
        <v>12817.54</v>
      </c>
      <c r="E13" s="95">
        <f>'DOE25'!H14</f>
        <v>53508.02</v>
      </c>
      <c r="F13" s="95">
        <f>'DOE25'!I14</f>
        <v>0</v>
      </c>
      <c r="G13" s="95">
        <f>'DOE25'!J14</f>
        <v>0</v>
      </c>
      <c r="H13" s="124">
        <f t="shared" si="0"/>
        <v>68786.89</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15981.06</v>
      </c>
      <c r="D16" s="95">
        <f>'DOE25'!G17</f>
        <v>0</v>
      </c>
      <c r="E16" s="95">
        <f>'DOE25'!H17</f>
        <v>1632.55</v>
      </c>
      <c r="F16" s="95">
        <f>'DOE25'!I17</f>
        <v>0</v>
      </c>
      <c r="G16" s="95">
        <f>'DOE25'!J17</f>
        <v>0</v>
      </c>
      <c r="H16" s="124">
        <f t="shared" si="0"/>
        <v>17613.61</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707176.73</v>
      </c>
      <c r="D18" s="41">
        <f>SUM(D8:D17)</f>
        <v>129773.26000000001</v>
      </c>
      <c r="E18" s="41">
        <f>SUM(E8:E17)</f>
        <v>55140.57</v>
      </c>
      <c r="F18" s="41">
        <f>SUM(F8:F17)</f>
        <v>0</v>
      </c>
      <c r="G18" s="41">
        <f>SUM(G8:G17)</f>
        <v>236982.18</v>
      </c>
      <c r="H18" s="41">
        <f t="shared" si="0"/>
        <v>1129072.74</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116954.39</v>
      </c>
      <c r="D21" s="95">
        <f>'DOE25'!G22</f>
        <v>0</v>
      </c>
      <c r="E21" s="95">
        <f>'DOE25'!H22</f>
        <v>52994.55</v>
      </c>
      <c r="F21" s="95">
        <f>'DOE25'!I22</f>
        <v>0</v>
      </c>
      <c r="G21" s="95">
        <f>'DOE25'!J22</f>
        <v>0</v>
      </c>
      <c r="H21" s="124">
        <f t="shared" ref="H21:H31" si="1">SUM(C21:G21)</f>
        <v>169948.94</v>
      </c>
      <c r="I21" s="124"/>
    </row>
    <row r="22" spans="1:9" x14ac:dyDescent="0.2">
      <c r="A22" s="1" t="s">
        <v>151</v>
      </c>
      <c r="B22" s="6">
        <v>410</v>
      </c>
      <c r="C22" s="95">
        <f>'DOE25'!F23</f>
        <v>792.02</v>
      </c>
      <c r="D22" s="95">
        <f>'DOE25'!G23</f>
        <v>0</v>
      </c>
      <c r="E22" s="95">
        <f>'DOE25'!H23</f>
        <v>0</v>
      </c>
      <c r="F22" s="95">
        <f>'DOE25'!I23</f>
        <v>0</v>
      </c>
      <c r="G22" s="95">
        <f>'DOE25'!J23</f>
        <v>0</v>
      </c>
      <c r="H22" s="124">
        <f t="shared" si="1"/>
        <v>792.02</v>
      </c>
      <c r="I22" s="124"/>
    </row>
    <row r="23" spans="1:9" x14ac:dyDescent="0.2">
      <c r="A23" s="1" t="s">
        <v>152</v>
      </c>
      <c r="B23" s="6">
        <v>420</v>
      </c>
      <c r="C23" s="95">
        <f>'DOE25'!F24</f>
        <v>1466.2200000000012</v>
      </c>
      <c r="D23" s="95">
        <f>'DOE25'!G24</f>
        <v>0</v>
      </c>
      <c r="E23" s="95">
        <f>'DOE25'!H24</f>
        <v>2146.02</v>
      </c>
      <c r="F23" s="95">
        <f>'DOE25'!I24</f>
        <v>0</v>
      </c>
      <c r="G23" s="95">
        <f>'DOE25'!J24</f>
        <v>0</v>
      </c>
      <c r="H23" s="124">
        <f t="shared" si="1"/>
        <v>3612.2400000000011</v>
      </c>
      <c r="I23" s="124"/>
    </row>
    <row r="24" spans="1:9" x14ac:dyDescent="0.2">
      <c r="A24" s="1" t="s">
        <v>153</v>
      </c>
      <c r="B24" s="6">
        <v>430</v>
      </c>
      <c r="C24" s="95">
        <f>'DOE25'!F25</f>
        <v>19312.54</v>
      </c>
      <c r="D24" s="95">
        <f>'DOE25'!G25</f>
        <v>0</v>
      </c>
      <c r="E24" s="95">
        <f>'DOE25'!H25</f>
        <v>0</v>
      </c>
      <c r="F24" s="95">
        <f>'DOE25'!I25</f>
        <v>0</v>
      </c>
      <c r="G24" s="24" t="s">
        <v>288</v>
      </c>
      <c r="H24" s="124">
        <f t="shared" si="1"/>
        <v>19312.54</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143.81</v>
      </c>
      <c r="D28" s="95">
        <f>'DOE25'!G29</f>
        <v>0</v>
      </c>
      <c r="E28" s="95">
        <f>'DOE25'!H29</f>
        <v>0</v>
      </c>
      <c r="F28" s="95">
        <f>'DOE25'!I29</f>
        <v>0</v>
      </c>
      <c r="G28" s="24" t="s">
        <v>288</v>
      </c>
      <c r="H28" s="124">
        <f t="shared" si="1"/>
        <v>143.81</v>
      </c>
      <c r="I28" s="124"/>
    </row>
    <row r="29" spans="1:9" x14ac:dyDescent="0.2">
      <c r="A29" s="1" t="s">
        <v>158</v>
      </c>
      <c r="B29" s="6">
        <v>480</v>
      </c>
      <c r="C29" s="95">
        <f>'DOE25'!F30</f>
        <v>0</v>
      </c>
      <c r="D29" s="95">
        <f>'DOE25'!G30</f>
        <v>5007</v>
      </c>
      <c r="E29" s="95">
        <f>'DOE25'!H30</f>
        <v>0</v>
      </c>
      <c r="F29" s="95">
        <f>'DOE25'!I30</f>
        <v>0</v>
      </c>
      <c r="G29" s="24" t="s">
        <v>288</v>
      </c>
      <c r="H29" s="124">
        <f t="shared" si="1"/>
        <v>5007</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138668.98000000001</v>
      </c>
      <c r="D31" s="41">
        <f>SUM(D21:D30)</f>
        <v>5007</v>
      </c>
      <c r="E31" s="41">
        <f>SUM(E21:E30)</f>
        <v>55140.57</v>
      </c>
      <c r="F31" s="41">
        <f>SUM(F21:F30)</f>
        <v>0</v>
      </c>
      <c r="G31" s="41">
        <f>SUM(G21:G30)</f>
        <v>0</v>
      </c>
      <c r="H31" s="41">
        <f t="shared" si="1"/>
        <v>198816.55000000002</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15981.06</v>
      </c>
      <c r="D35" s="95">
        <f>'DOE25'!G36</f>
        <v>0</v>
      </c>
      <c r="E35" s="95">
        <f>'DOE25'!H36</f>
        <v>0</v>
      </c>
      <c r="F35" s="95">
        <f>'DOE25'!I36</f>
        <v>0</v>
      </c>
      <c r="G35" s="24" t="s">
        <v>288</v>
      </c>
      <c r="H35" s="124">
        <f t="shared" si="2"/>
        <v>15981.06</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124766.25999999998</v>
      </c>
      <c r="E39" s="24" t="s">
        <v>288</v>
      </c>
      <c r="F39" s="24" t="s">
        <v>288</v>
      </c>
      <c r="G39" s="24" t="s">
        <v>288</v>
      </c>
      <c r="H39" s="124">
        <f t="shared" si="2"/>
        <v>124766.25999999998</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1000</v>
      </c>
      <c r="D43" s="95">
        <f>'DOE25'!G44</f>
        <v>0</v>
      </c>
      <c r="E43" s="95">
        <f>'DOE25'!H44</f>
        <v>0</v>
      </c>
      <c r="F43" s="95">
        <f>'DOE25'!I44</f>
        <v>0</v>
      </c>
      <c r="G43" s="24" t="s">
        <v>288</v>
      </c>
      <c r="H43" s="124">
        <f t="shared" si="2"/>
        <v>1000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236982.18</v>
      </c>
      <c r="H47" s="124">
        <f t="shared" si="2"/>
        <v>236982.18</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551526.68999999994</v>
      </c>
      <c r="D49" s="24" t="s">
        <v>288</v>
      </c>
      <c r="E49" s="24" t="s">
        <v>288</v>
      </c>
      <c r="F49" s="24" t="s">
        <v>288</v>
      </c>
      <c r="G49" s="24" t="s">
        <v>288</v>
      </c>
      <c r="H49" s="124">
        <f t="shared" si="2"/>
        <v>551526.68999999994</v>
      </c>
      <c r="I49" s="124"/>
    </row>
    <row r="50" spans="1:9" ht="12.75" thickTop="1" thickBot="1" x14ac:dyDescent="0.25">
      <c r="A50" s="38" t="s">
        <v>884</v>
      </c>
      <c r="B50" s="48"/>
      <c r="C50" s="41">
        <f>SUM(C34:C49)</f>
        <v>568507.75</v>
      </c>
      <c r="D50" s="41">
        <f>SUM(D34:D49)</f>
        <v>124766.25999999998</v>
      </c>
      <c r="E50" s="41">
        <f>SUM(E34:E49)</f>
        <v>0</v>
      </c>
      <c r="F50" s="41">
        <f>SUM(F34:F49)</f>
        <v>0</v>
      </c>
      <c r="G50" s="41">
        <f>SUM(G34:G49)</f>
        <v>236982.18</v>
      </c>
      <c r="H50" s="41">
        <f t="shared" si="2"/>
        <v>930256.19</v>
      </c>
      <c r="I50" s="124"/>
    </row>
    <row r="51" spans="1:9" ht="12" thickTop="1" x14ac:dyDescent="0.2">
      <c r="A51" s="38" t="s">
        <v>885</v>
      </c>
      <c r="B51" s="2"/>
      <c r="C51" s="41">
        <f>C50+C31</f>
        <v>707176.73</v>
      </c>
      <c r="D51" s="41">
        <f>D50+D31</f>
        <v>129773.25999999998</v>
      </c>
      <c r="E51" s="41">
        <f>E50+E31</f>
        <v>55140.57</v>
      </c>
      <c r="F51" s="41">
        <f>F50+F31</f>
        <v>0</v>
      </c>
      <c r="G51" s="41">
        <f>G50+G31</f>
        <v>236982.18</v>
      </c>
      <c r="H51" s="41">
        <f t="shared" si="2"/>
        <v>1129072.74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5949402</v>
      </c>
      <c r="D56" s="95">
        <f>'DOE25'!G60</f>
        <v>0</v>
      </c>
      <c r="E56" s="95">
        <f>'DOE25'!H60</f>
        <v>0</v>
      </c>
      <c r="F56" s="95">
        <f>'DOE25'!I60</f>
        <v>0</v>
      </c>
      <c r="G56" s="95">
        <f>'DOE25'!J60</f>
        <v>0</v>
      </c>
      <c r="H56" s="124">
        <f t="shared" ref="H56:H63" si="3">SUM(C56:G56)</f>
        <v>5949402</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85.72</v>
      </c>
      <c r="D59" s="95">
        <f>'DOE25'!G96</f>
        <v>0</v>
      </c>
      <c r="E59" s="95">
        <f>'DOE25'!H96</f>
        <v>0</v>
      </c>
      <c r="F59" s="95">
        <f>'DOE25'!I96</f>
        <v>0</v>
      </c>
      <c r="G59" s="95">
        <f>'DOE25'!J96</f>
        <v>464.93</v>
      </c>
      <c r="H59" s="124">
        <f t="shared" si="3"/>
        <v>550.65</v>
      </c>
      <c r="I59"/>
    </row>
    <row r="60" spans="1:9" x14ac:dyDescent="0.2">
      <c r="A60" s="1" t="s">
        <v>170</v>
      </c>
      <c r="B60" s="118" t="s">
        <v>171</v>
      </c>
      <c r="C60" s="24" t="s">
        <v>288</v>
      </c>
      <c r="D60" s="95">
        <f>'DOE25'!G97</f>
        <v>14228.15</v>
      </c>
      <c r="E60" s="24" t="s">
        <v>288</v>
      </c>
      <c r="F60" s="24" t="s">
        <v>288</v>
      </c>
      <c r="G60" s="24" t="s">
        <v>288</v>
      </c>
      <c r="H60" s="124">
        <f t="shared" si="3"/>
        <v>14228.15</v>
      </c>
      <c r="I60"/>
    </row>
    <row r="61" spans="1:9" ht="12" thickBot="1" x14ac:dyDescent="0.25">
      <c r="A61" s="1" t="s">
        <v>172</v>
      </c>
      <c r="B61" s="118" t="s">
        <v>173</v>
      </c>
      <c r="C61" s="95">
        <f>SUM('DOE25'!F98:F110)</f>
        <v>35889.379999999997</v>
      </c>
      <c r="D61" s="95">
        <f>SUM('DOE25'!G98:G110)</f>
        <v>0</v>
      </c>
      <c r="E61" s="95">
        <f>SUM('DOE25'!H98:H110)</f>
        <v>0</v>
      </c>
      <c r="F61" s="95">
        <f>SUM('DOE25'!I98:I110)</f>
        <v>0</v>
      </c>
      <c r="G61" s="95">
        <f>SUM('DOE25'!J98:J110)</f>
        <v>0</v>
      </c>
      <c r="H61" s="124">
        <f t="shared" si="3"/>
        <v>35889.379999999997</v>
      </c>
      <c r="I61"/>
    </row>
    <row r="62" spans="1:9" ht="12.75" thickTop="1" thickBot="1" x14ac:dyDescent="0.25">
      <c r="A62" s="29" t="s">
        <v>174</v>
      </c>
      <c r="B62" s="6"/>
      <c r="C62" s="130">
        <f>SUM(C57:C61)</f>
        <v>35975.1</v>
      </c>
      <c r="D62" s="130">
        <f>SUM(D57:D61)</f>
        <v>14228.15</v>
      </c>
      <c r="E62" s="130">
        <f>SUM(E57:E61)</f>
        <v>0</v>
      </c>
      <c r="F62" s="130">
        <f>SUM(F57:F61)</f>
        <v>0</v>
      </c>
      <c r="G62" s="130">
        <f>SUM(G57:G61)</f>
        <v>464.93</v>
      </c>
      <c r="H62" s="124">
        <f t="shared" si="3"/>
        <v>50668.18</v>
      </c>
      <c r="I62"/>
    </row>
    <row r="63" spans="1:9" ht="12" thickTop="1" x14ac:dyDescent="0.2">
      <c r="A63" s="29" t="s">
        <v>175</v>
      </c>
      <c r="B63" s="6"/>
      <c r="C63" s="22">
        <f>C56+C62</f>
        <v>5985377.0999999996</v>
      </c>
      <c r="D63" s="22">
        <f>D56+D62</f>
        <v>14228.15</v>
      </c>
      <c r="E63" s="22">
        <f>E56+E62</f>
        <v>0</v>
      </c>
      <c r="F63" s="22">
        <f>F56+F62</f>
        <v>0</v>
      </c>
      <c r="G63" s="22">
        <f>G56+G62</f>
        <v>464.93</v>
      </c>
      <c r="H63" s="124">
        <f t="shared" si="3"/>
        <v>6000070.1799999997</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1253257.68</v>
      </c>
      <c r="D66" s="24" t="s">
        <v>288</v>
      </c>
      <c r="E66" s="24" t="s">
        <v>288</v>
      </c>
      <c r="F66" s="24" t="s">
        <v>288</v>
      </c>
      <c r="G66" s="24" t="s">
        <v>288</v>
      </c>
      <c r="H66" s="124">
        <f t="shared" ref="H66:H81" si="4">SUM(C66:G66)</f>
        <v>1253257.68</v>
      </c>
      <c r="I66"/>
    </row>
    <row r="67" spans="1:9" x14ac:dyDescent="0.2">
      <c r="A67" s="1" t="s">
        <v>770</v>
      </c>
      <c r="B67" s="6">
        <v>3112</v>
      </c>
      <c r="C67" s="95">
        <f>'DOE25'!F118</f>
        <v>723069</v>
      </c>
      <c r="D67" s="24"/>
      <c r="E67" s="24"/>
      <c r="F67" s="24"/>
      <c r="G67" s="24"/>
      <c r="H67" s="124">
        <f t="shared" si="4"/>
        <v>723069</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1995.21</v>
      </c>
      <c r="D69" s="95">
        <f>'DOE25'!G120</f>
        <v>0</v>
      </c>
      <c r="E69" s="95">
        <f>'DOE25'!H120</f>
        <v>0</v>
      </c>
      <c r="F69" s="95">
        <f>'DOE25'!I120</f>
        <v>0</v>
      </c>
      <c r="G69" s="95">
        <f>'DOE25'!J120</f>
        <v>0</v>
      </c>
      <c r="H69" s="124">
        <f t="shared" si="4"/>
        <v>1995.21</v>
      </c>
      <c r="I69"/>
    </row>
    <row r="70" spans="1:9" ht="12" thickTop="1" x14ac:dyDescent="0.2">
      <c r="A70" s="29" t="s">
        <v>252</v>
      </c>
      <c r="B70" s="2"/>
      <c r="C70" s="139">
        <f>SUM(C66:C69)</f>
        <v>1978321.89</v>
      </c>
      <c r="D70" s="139">
        <f>D69</f>
        <v>0</v>
      </c>
      <c r="E70" s="139">
        <f>E69</f>
        <v>0</v>
      </c>
      <c r="F70" s="139">
        <f>F69</f>
        <v>0</v>
      </c>
      <c r="G70" s="139">
        <f>G69</f>
        <v>0</v>
      </c>
      <c r="H70" s="124">
        <f t="shared" si="4"/>
        <v>1978321.89</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1659.96</v>
      </c>
      <c r="E77" s="95">
        <f>SUM('DOE25'!H131:H135)</f>
        <v>49997.4</v>
      </c>
      <c r="F77" s="95">
        <f>SUM('DOE25'!I131:I135)</f>
        <v>0</v>
      </c>
      <c r="G77" s="95">
        <f>SUM('DOE25'!J131:J135)</f>
        <v>0</v>
      </c>
      <c r="H77" s="124">
        <f t="shared" si="4"/>
        <v>51657.36</v>
      </c>
      <c r="I77"/>
    </row>
    <row r="78" spans="1:9" ht="12.75" thickTop="1" thickBot="1" x14ac:dyDescent="0.25">
      <c r="A78" s="29" t="s">
        <v>259</v>
      </c>
      <c r="B78" s="6"/>
      <c r="C78" s="130">
        <f>SUM(C72:C77)</f>
        <v>0</v>
      </c>
      <c r="D78" s="130">
        <f>SUM(D72:D77)</f>
        <v>1659.96</v>
      </c>
      <c r="E78" s="130">
        <f>SUM(E72:E77)</f>
        <v>49997.4</v>
      </c>
      <c r="F78" s="130">
        <f>SUM(F72:F77)</f>
        <v>0</v>
      </c>
      <c r="G78" s="130">
        <f>SUM(G72:G77)</f>
        <v>0</v>
      </c>
      <c r="H78" s="124">
        <f t="shared" si="4"/>
        <v>51657.36</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1978321.89</v>
      </c>
      <c r="D81" s="130">
        <f>SUM(D79:D80)+D78+D70</f>
        <v>1659.96</v>
      </c>
      <c r="E81" s="130">
        <f>SUM(E79:E80)+E78+E70</f>
        <v>49997.4</v>
      </c>
      <c r="F81" s="130">
        <f>SUM(F79:F80)+F78+F70</f>
        <v>0</v>
      </c>
      <c r="G81" s="130">
        <f>SUM(G79:G80)+G78+G70</f>
        <v>0</v>
      </c>
      <c r="H81" s="130">
        <f t="shared" si="4"/>
        <v>2029979.2499999998</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34511.910000000003</v>
      </c>
      <c r="F87" s="95">
        <f>SUM('DOE25'!I149:I152)</f>
        <v>0</v>
      </c>
      <c r="G87" s="24" t="s">
        <v>288</v>
      </c>
      <c r="H87" s="124">
        <f t="shared" si="5"/>
        <v>34511.910000000003</v>
      </c>
    </row>
    <row r="88" spans="1:9" x14ac:dyDescent="0.2">
      <c r="A88" s="287" t="s">
        <v>747</v>
      </c>
      <c r="B88" s="325" t="s">
        <v>184</v>
      </c>
      <c r="C88" s="326">
        <f>SUM('DOE25'!F153:F162)</f>
        <v>47641.21</v>
      </c>
      <c r="D88" s="326">
        <f>SUM('DOE25'!G153:G162)</f>
        <v>180151</v>
      </c>
      <c r="E88" s="326">
        <f>SUM('DOE25'!H153:H162)</f>
        <v>247475.79</v>
      </c>
      <c r="F88" s="326">
        <f>SUM('DOE25'!I153:I162)</f>
        <v>0</v>
      </c>
      <c r="G88" s="24" t="s">
        <v>288</v>
      </c>
      <c r="H88" s="124">
        <f t="shared" si="5"/>
        <v>475268</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47641.21</v>
      </c>
      <c r="D91" s="131">
        <f>SUM(D85:D90)</f>
        <v>180151</v>
      </c>
      <c r="E91" s="131">
        <f>SUM(E85:E90)</f>
        <v>281987.7</v>
      </c>
      <c r="F91" s="131">
        <f>SUM(F85:F90)</f>
        <v>0</v>
      </c>
      <c r="G91" s="24" t="s">
        <v>288</v>
      </c>
      <c r="H91" s="124">
        <f t="shared" si="5"/>
        <v>509779.91000000003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20565</v>
      </c>
      <c r="H96" s="124">
        <f t="shared" si="5"/>
        <v>20565</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20565</v>
      </c>
      <c r="H103" s="86">
        <f t="shared" si="5"/>
        <v>20565</v>
      </c>
    </row>
    <row r="104" spans="1:8" ht="12.75" thickTop="1" thickBot="1" x14ac:dyDescent="0.25">
      <c r="A104" s="33" t="s">
        <v>761</v>
      </c>
      <c r="C104" s="86">
        <f>C63+C81+C91+C103</f>
        <v>8011340.1999999993</v>
      </c>
      <c r="D104" s="86">
        <f>D63+D81+D91+D103</f>
        <v>196039.11</v>
      </c>
      <c r="E104" s="86">
        <f>E63+E81+E91+E103</f>
        <v>331985.10000000003</v>
      </c>
      <c r="F104" s="86">
        <f>F63+F81+F91+F103</f>
        <v>0</v>
      </c>
      <c r="G104" s="86">
        <f>G63+G81+G103</f>
        <v>21029.93</v>
      </c>
      <c r="H104" s="86">
        <f t="shared" si="5"/>
        <v>8560394.3399999999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5178317.3499999996</v>
      </c>
      <c r="D109" s="24" t="s">
        <v>288</v>
      </c>
      <c r="E109" s="95">
        <f>('DOE25'!L277)+('DOE25'!L296)+('DOE25'!L315)</f>
        <v>213145.41</v>
      </c>
      <c r="F109" s="24" t="s">
        <v>288</v>
      </c>
      <c r="G109" s="24" t="s">
        <v>288</v>
      </c>
      <c r="H109" s="124">
        <f t="shared" ref="H109:H115" si="6">SUM(C109:G109)</f>
        <v>5391462.7599999998</v>
      </c>
    </row>
    <row r="110" spans="1:8" x14ac:dyDescent="0.2">
      <c r="A110" t="s">
        <v>198</v>
      </c>
      <c r="B110" s="32" t="s">
        <v>199</v>
      </c>
      <c r="C110" s="95">
        <f>('DOE25'!L199)+('DOE25'!L217)+('DOE25'!L235)</f>
        <v>778199.09</v>
      </c>
      <c r="D110" s="24" t="s">
        <v>288</v>
      </c>
      <c r="E110" s="95">
        <f>('DOE25'!L278)+('DOE25'!L297)+('DOE25'!L316)</f>
        <v>61943.53</v>
      </c>
      <c r="F110" s="24" t="s">
        <v>288</v>
      </c>
      <c r="G110" s="24" t="s">
        <v>288</v>
      </c>
      <c r="H110" s="124">
        <f t="shared" si="6"/>
        <v>840142.62</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18230.11</v>
      </c>
      <c r="D112" s="24" t="s">
        <v>288</v>
      </c>
      <c r="E112" s="95">
        <f>+('DOE25'!L280)+('DOE25'!L299)+('DOE25'!L318)</f>
        <v>0</v>
      </c>
      <c r="F112" s="24" t="s">
        <v>288</v>
      </c>
      <c r="G112" s="24" t="s">
        <v>288</v>
      </c>
      <c r="H112" s="124">
        <f t="shared" si="6"/>
        <v>18230.11</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5974746.5499999998</v>
      </c>
      <c r="D115" s="86">
        <f>SUM(D109:D114)</f>
        <v>0</v>
      </c>
      <c r="E115" s="86">
        <f>SUM(E109:E114)</f>
        <v>275088.94</v>
      </c>
      <c r="F115" s="86">
        <f>SUM(F109:F114)</f>
        <v>0</v>
      </c>
      <c r="G115" s="86">
        <f>SUM(G109:G114)</f>
        <v>0</v>
      </c>
      <c r="H115" s="86">
        <f t="shared" si="6"/>
        <v>6249835.4900000002</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493398.09</v>
      </c>
      <c r="D118" s="24" t="s">
        <v>288</v>
      </c>
      <c r="E118" s="95">
        <f>+('DOE25'!L282)+('DOE25'!L301)+('DOE25'!L320)</f>
        <v>0</v>
      </c>
      <c r="F118" s="24" t="s">
        <v>288</v>
      </c>
      <c r="G118" s="24" t="s">
        <v>288</v>
      </c>
      <c r="H118" s="124">
        <f t="shared" ref="H118:H145" si="7">SUM(C118:G118)</f>
        <v>493398.09</v>
      </c>
    </row>
    <row r="119" spans="1:8" x14ac:dyDescent="0.2">
      <c r="A119" t="s">
        <v>208</v>
      </c>
      <c r="B119" s="32" t="s">
        <v>209</v>
      </c>
      <c r="C119" s="95">
        <f>('DOE25'!L204)+('DOE25'!L222)+('DOE25'!L240)</f>
        <v>154168.39000000001</v>
      </c>
      <c r="D119" s="24" t="s">
        <v>288</v>
      </c>
      <c r="E119" s="95">
        <f>+('DOE25'!L283)+('DOE25'!L302)+('DOE25'!L321)</f>
        <v>54396.160000000003</v>
      </c>
      <c r="F119" s="24" t="s">
        <v>288</v>
      </c>
      <c r="G119" s="24" t="s">
        <v>288</v>
      </c>
      <c r="H119" s="124">
        <f t="shared" si="7"/>
        <v>208564.55000000002</v>
      </c>
    </row>
    <row r="120" spans="1:8" x14ac:dyDescent="0.2">
      <c r="A120" t="s">
        <v>210</v>
      </c>
      <c r="B120" s="32" t="s">
        <v>211</v>
      </c>
      <c r="C120" s="95">
        <f>('DOE25'!L205)+('DOE25'!L223)+('DOE25'!L241)</f>
        <v>202417.03</v>
      </c>
      <c r="D120" s="24" t="s">
        <v>288</v>
      </c>
      <c r="E120" s="95">
        <f>+('DOE25'!L284)+('DOE25'!L303)+('DOE25'!L322)</f>
        <v>0</v>
      </c>
      <c r="F120" s="24" t="s">
        <v>288</v>
      </c>
      <c r="G120" s="24" t="s">
        <v>288</v>
      </c>
      <c r="H120" s="124">
        <f t="shared" si="7"/>
        <v>202417.03</v>
      </c>
    </row>
    <row r="121" spans="1:8" x14ac:dyDescent="0.2">
      <c r="A121" t="s">
        <v>212</v>
      </c>
      <c r="B121" s="32" t="s">
        <v>213</v>
      </c>
      <c r="C121" s="95">
        <f>('DOE25'!L206)+('DOE25'!L224)+('DOE25'!L242)</f>
        <v>253925.94999999998</v>
      </c>
      <c r="D121" s="24" t="s">
        <v>288</v>
      </c>
      <c r="E121" s="95">
        <f>+('DOE25'!L285)+('DOE25'!L304)+('DOE25'!L323)</f>
        <v>0</v>
      </c>
      <c r="F121" s="24" t="s">
        <v>288</v>
      </c>
      <c r="G121" s="24" t="s">
        <v>288</v>
      </c>
      <c r="H121" s="124">
        <f t="shared" si="7"/>
        <v>253925.94999999998</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291709.25</v>
      </c>
      <c r="D123" s="24" t="s">
        <v>288</v>
      </c>
      <c r="E123" s="95">
        <f>+('DOE25'!L287)+('DOE25'!L306)+('DOE25'!L325)</f>
        <v>0</v>
      </c>
      <c r="F123" s="24" t="s">
        <v>288</v>
      </c>
      <c r="G123" s="24" t="s">
        <v>288</v>
      </c>
      <c r="H123" s="124">
        <f t="shared" si="7"/>
        <v>291709.25</v>
      </c>
    </row>
    <row r="124" spans="1:8" x14ac:dyDescent="0.2">
      <c r="A124" t="s">
        <v>218</v>
      </c>
      <c r="B124" s="32" t="s">
        <v>219</v>
      </c>
      <c r="C124" s="95">
        <f>('DOE25'!L209)+('DOE25'!L227)+('DOE25'!L245+'DOE25'!L255)</f>
        <v>379060.07</v>
      </c>
      <c r="D124" s="24" t="s">
        <v>288</v>
      </c>
      <c r="E124" s="95">
        <f>+('DOE25'!L288)+('DOE25'!L307)+('DOE25'!L326)</f>
        <v>2500</v>
      </c>
      <c r="F124" s="24" t="s">
        <v>288</v>
      </c>
      <c r="G124" s="24" t="s">
        <v>288</v>
      </c>
      <c r="H124" s="124">
        <f t="shared" si="7"/>
        <v>381560.07</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81218.720000000001</v>
      </c>
      <c r="E127" s="24" t="s">
        <v>288</v>
      </c>
      <c r="F127" s="24" t="s">
        <v>288</v>
      </c>
      <c r="G127" s="24" t="s">
        <v>288</v>
      </c>
      <c r="H127" s="124">
        <f t="shared" si="7"/>
        <v>81218.720000000001</v>
      </c>
    </row>
    <row r="128" spans="1:8" ht="12.75" thickTop="1" thickBot="1" x14ac:dyDescent="0.25">
      <c r="A128" s="33" t="s">
        <v>226</v>
      </c>
      <c r="C128" s="86">
        <f>SUM(C118:C127)</f>
        <v>1774678.78</v>
      </c>
      <c r="D128" s="86">
        <f>SUM(D118:D127)</f>
        <v>81218.720000000001</v>
      </c>
      <c r="E128" s="86">
        <f>SUM(E118:E127)</f>
        <v>56896.160000000003</v>
      </c>
      <c r="F128" s="86">
        <f>SUM(F118:F127)</f>
        <v>0</v>
      </c>
      <c r="G128" s="86">
        <f>SUM(G118:G127)</f>
        <v>0</v>
      </c>
      <c r="H128" s="86">
        <f t="shared" si="7"/>
        <v>1912793.66</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160000</v>
      </c>
      <c r="D131" s="24" t="s">
        <v>288</v>
      </c>
      <c r="E131" s="129">
        <f>'DOE25'!L342</f>
        <v>0</v>
      </c>
      <c r="F131" s="24" t="s">
        <v>288</v>
      </c>
      <c r="G131" s="24" t="s">
        <v>288</v>
      </c>
      <c r="H131" s="124">
        <f t="shared" si="7"/>
        <v>160000</v>
      </c>
    </row>
    <row r="132" spans="1:8" x14ac:dyDescent="0.2">
      <c r="A132" t="s">
        <v>230</v>
      </c>
      <c r="B132" s="32">
        <v>5120</v>
      </c>
      <c r="C132" s="95">
        <f>'DOE25'!L262</f>
        <v>60435</v>
      </c>
      <c r="D132" s="24" t="s">
        <v>288</v>
      </c>
      <c r="E132" s="129">
        <f>'DOE25'!L343</f>
        <v>0</v>
      </c>
      <c r="F132" s="24" t="s">
        <v>288</v>
      </c>
      <c r="G132" s="24" t="s">
        <v>288</v>
      </c>
      <c r="H132" s="124">
        <f t="shared" si="7"/>
        <v>60435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21029.93</v>
      </c>
      <c r="D139" s="24" t="s">
        <v>288</v>
      </c>
      <c r="E139" s="24" t="s">
        <v>288</v>
      </c>
      <c r="F139" s="24" t="s">
        <v>288</v>
      </c>
      <c r="G139" s="24" t="s">
        <v>288</v>
      </c>
      <c r="H139" s="124">
        <f t="shared" si="7"/>
        <v>21029.93</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-464.93000000000029</v>
      </c>
      <c r="D141" s="24" t="s">
        <v>288</v>
      </c>
      <c r="E141" s="24" t="s">
        <v>288</v>
      </c>
      <c r="F141" s="24" t="s">
        <v>288</v>
      </c>
      <c r="G141" s="24" t="s">
        <v>288</v>
      </c>
      <c r="H141" s="124">
        <f t="shared" si="7"/>
        <v>-464.93000000000029</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241000</v>
      </c>
      <c r="D144" s="141">
        <f>SUM(D130:D143)</f>
        <v>0</v>
      </c>
      <c r="E144" s="141">
        <f>SUM(E130:E143)</f>
        <v>0</v>
      </c>
      <c r="F144" s="141">
        <f>SUM(F130:F143)</f>
        <v>0</v>
      </c>
      <c r="G144" s="141">
        <f>SUM(G130:G143)</f>
        <v>0</v>
      </c>
      <c r="H144" s="141">
        <f t="shared" si="7"/>
        <v>241000</v>
      </c>
    </row>
    <row r="145" spans="1:9" ht="12.75" thickTop="1" thickBot="1" x14ac:dyDescent="0.25">
      <c r="A145" s="33" t="s">
        <v>244</v>
      </c>
      <c r="C145" s="86">
        <f>(C115+C128+C144)</f>
        <v>7990425.3300000001</v>
      </c>
      <c r="D145" s="86">
        <f>(D115+D128+D144)</f>
        <v>81218.720000000001</v>
      </c>
      <c r="E145" s="86">
        <f>(E115+E128+E144)</f>
        <v>331985.09999999998</v>
      </c>
      <c r="F145" s="86">
        <f>(F115+F128+F144)</f>
        <v>0</v>
      </c>
      <c r="G145" s="86">
        <f>(G115+G128+G144)</f>
        <v>0</v>
      </c>
      <c r="H145" s="86">
        <f t="shared" si="7"/>
        <v>8403629.1500000004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t="str">
        <f>'DOE25'!F492</f>
        <v>6/30/2018</v>
      </c>
      <c r="C152" s="152">
        <f>'DOE25'!G492</f>
        <v>0</v>
      </c>
      <c r="D152" s="152">
        <f>'DOE25'!H492</f>
        <v>0</v>
      </c>
      <c r="E152" s="152">
        <f>'DOE25'!I492</f>
        <v>0</v>
      </c>
      <c r="F152" s="152">
        <f>'DOE25'!J492</f>
        <v>0</v>
      </c>
      <c r="G152" s="24" t="s">
        <v>288</v>
      </c>
    </row>
    <row r="153" spans="1:9" x14ac:dyDescent="0.2">
      <c r="A153" s="136" t="s">
        <v>29</v>
      </c>
      <c r="B153" s="152" t="str">
        <f>'DOE25'!F493</f>
        <v>8/15/2028</v>
      </c>
      <c r="C153" s="152">
        <f>'DOE25'!G493</f>
        <v>0</v>
      </c>
      <c r="D153" s="152">
        <f>'DOE25'!H493</f>
        <v>0</v>
      </c>
      <c r="E153" s="152">
        <f>'DOE25'!I493</f>
        <v>0</v>
      </c>
      <c r="F153" s="152">
        <f>'DOE25'!J493</f>
        <v>0</v>
      </c>
      <c r="G153" s="24" t="s">
        <v>288</v>
      </c>
    </row>
    <row r="154" spans="1:9" x14ac:dyDescent="0.2">
      <c r="A154" s="136" t="s">
        <v>30</v>
      </c>
      <c r="B154" s="137">
        <f>'DOE25'!F494</f>
        <v>1790000</v>
      </c>
      <c r="C154" s="137">
        <f>'DOE25'!G494</f>
        <v>0</v>
      </c>
      <c r="D154" s="137">
        <f>'DOE25'!H494</f>
        <v>0</v>
      </c>
      <c r="E154" s="137">
        <f>'DOE25'!I494</f>
        <v>0</v>
      </c>
      <c r="F154" s="137">
        <f>'DOE25'!J494</f>
        <v>0</v>
      </c>
      <c r="G154" s="24" t="s">
        <v>288</v>
      </c>
    </row>
    <row r="155" spans="1:9" x14ac:dyDescent="0.2">
      <c r="A155" s="136" t="s">
        <v>31</v>
      </c>
      <c r="B155" s="137">
        <f>'DOE25'!F495</f>
        <v>2.56</v>
      </c>
      <c r="C155" s="137">
        <f>'DOE25'!G495</f>
        <v>0</v>
      </c>
      <c r="D155" s="137">
        <f>'DOE25'!H495</f>
        <v>0</v>
      </c>
      <c r="E155" s="137">
        <f>'DOE25'!I495</f>
        <v>0</v>
      </c>
      <c r="F155" s="137">
        <f>'DOE25'!J495</f>
        <v>0</v>
      </c>
      <c r="G155" s="24" t="s">
        <v>288</v>
      </c>
    </row>
    <row r="156" spans="1:9" x14ac:dyDescent="0.2">
      <c r="A156" s="22" t="s">
        <v>32</v>
      </c>
      <c r="B156" s="137">
        <f>'DOE25'!F496</f>
        <v>1105000</v>
      </c>
      <c r="C156" s="137">
        <f>'DOE25'!G496</f>
        <v>0</v>
      </c>
      <c r="D156" s="137">
        <f>'DOE25'!H496</f>
        <v>0</v>
      </c>
      <c r="E156" s="137">
        <f>'DOE25'!I496</f>
        <v>0</v>
      </c>
      <c r="F156" s="137">
        <f>'DOE25'!J496</f>
        <v>0</v>
      </c>
      <c r="G156" s="138">
        <f>SUM(B156:F156)</f>
        <v>1105000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160000</v>
      </c>
      <c r="C158" s="137">
        <f>'DOE25'!G498</f>
        <v>0</v>
      </c>
      <c r="D158" s="137">
        <f>'DOE25'!H498</f>
        <v>0</v>
      </c>
      <c r="E158" s="137">
        <f>'DOE25'!I498</f>
        <v>0</v>
      </c>
      <c r="F158" s="137">
        <f>'DOE25'!J498</f>
        <v>0</v>
      </c>
      <c r="G158" s="138">
        <f t="shared" si="8"/>
        <v>160000</v>
      </c>
    </row>
    <row r="159" spans="1:9" x14ac:dyDescent="0.2">
      <c r="A159" s="22" t="s">
        <v>35</v>
      </c>
      <c r="B159" s="137">
        <f>'DOE25'!F499</f>
        <v>1105000</v>
      </c>
      <c r="C159" s="137">
        <f>'DOE25'!G499</f>
        <v>0</v>
      </c>
      <c r="D159" s="137">
        <f>'DOE25'!H499</f>
        <v>0</v>
      </c>
      <c r="E159" s="137">
        <f>'DOE25'!I499</f>
        <v>0</v>
      </c>
      <c r="F159" s="137">
        <f>'DOE25'!J499</f>
        <v>0</v>
      </c>
      <c r="G159" s="138">
        <f t="shared" si="8"/>
        <v>1105000</v>
      </c>
    </row>
    <row r="160" spans="1:9" x14ac:dyDescent="0.2">
      <c r="A160" s="22" t="s">
        <v>36</v>
      </c>
      <c r="B160" s="137">
        <f>'DOE25'!F500</f>
        <v>195712.4</v>
      </c>
      <c r="C160" s="137">
        <f>'DOE25'!G500</f>
        <v>0</v>
      </c>
      <c r="D160" s="137">
        <f>'DOE25'!H500</f>
        <v>0</v>
      </c>
      <c r="E160" s="137">
        <f>'DOE25'!I500</f>
        <v>0</v>
      </c>
      <c r="F160" s="137">
        <f>'DOE25'!J500</f>
        <v>0</v>
      </c>
      <c r="G160" s="138">
        <f t="shared" si="8"/>
        <v>195712.4</v>
      </c>
    </row>
    <row r="161" spans="1:7" x14ac:dyDescent="0.2">
      <c r="A161" s="22" t="s">
        <v>37</v>
      </c>
      <c r="B161" s="137">
        <f>'DOE25'!F501</f>
        <v>1300712.3999999999</v>
      </c>
      <c r="C161" s="137">
        <f>'DOE25'!G501</f>
        <v>0</v>
      </c>
      <c r="D161" s="137">
        <f>'DOE25'!H501</f>
        <v>0</v>
      </c>
      <c r="E161" s="137">
        <f>'DOE25'!I501</f>
        <v>0</v>
      </c>
      <c r="F161" s="137">
        <f>'DOE25'!J501</f>
        <v>0</v>
      </c>
      <c r="G161" s="138">
        <f t="shared" si="8"/>
        <v>1300712.3999999999</v>
      </c>
    </row>
    <row r="162" spans="1:7" x14ac:dyDescent="0.2">
      <c r="A162" s="22" t="s">
        <v>38</v>
      </c>
      <c r="B162" s="137">
        <f>'DOE25'!F502</f>
        <v>160000</v>
      </c>
      <c r="C162" s="137">
        <f>'DOE25'!G502</f>
        <v>0</v>
      </c>
      <c r="D162" s="137">
        <f>'DOE25'!H502</f>
        <v>0</v>
      </c>
      <c r="E162" s="137">
        <f>'DOE25'!I502</f>
        <v>0</v>
      </c>
      <c r="F162" s="137">
        <f>'DOE25'!J502</f>
        <v>0</v>
      </c>
      <c r="G162" s="138">
        <f t="shared" si="8"/>
        <v>160000</v>
      </c>
    </row>
    <row r="163" spans="1:7" x14ac:dyDescent="0.2">
      <c r="A163" s="22" t="s">
        <v>39</v>
      </c>
      <c r="B163" s="137">
        <f>'DOE25'!F503</f>
        <v>52275</v>
      </c>
      <c r="C163" s="137">
        <f>'DOE25'!G503</f>
        <v>0</v>
      </c>
      <c r="D163" s="137">
        <f>'DOE25'!H503</f>
        <v>0</v>
      </c>
      <c r="E163" s="137">
        <f>'DOE25'!I503</f>
        <v>0</v>
      </c>
      <c r="F163" s="137">
        <f>'DOE25'!J503</f>
        <v>0</v>
      </c>
      <c r="G163" s="138">
        <f t="shared" si="8"/>
        <v>52275</v>
      </c>
    </row>
    <row r="164" spans="1:7" x14ac:dyDescent="0.2">
      <c r="A164" s="22" t="s">
        <v>246</v>
      </c>
      <c r="B164" s="137">
        <f>'DOE25'!F504</f>
        <v>212275</v>
      </c>
      <c r="C164" s="137">
        <f>'DOE25'!G504</f>
        <v>0</v>
      </c>
      <c r="D164" s="137">
        <f>'DOE25'!H504</f>
        <v>0</v>
      </c>
      <c r="E164" s="137">
        <f>'DOE25'!I504</f>
        <v>0</v>
      </c>
      <c r="F164" s="137">
        <f>'DOE25'!J504</f>
        <v>0</v>
      </c>
      <c r="G164" s="138">
        <f t="shared" si="8"/>
        <v>212275</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Dunbarton</v>
      </c>
    </row>
    <row r="3" spans="1:4" x14ac:dyDescent="0.2">
      <c r="B3" s="187" t="s">
        <v>1799</v>
      </c>
    </row>
    <row r="4" spans="1:4" x14ac:dyDescent="0.2">
      <c r="B4" t="s">
        <v>61</v>
      </c>
      <c r="C4" s="178">
        <f>IF('DOE25'!F666+'DOE25'!F671=0,0,ROUND('DOE25'!F673,0))</f>
        <v>17428</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17428</v>
      </c>
    </row>
    <row r="9" spans="1:4" x14ac:dyDescent="0.2">
      <c r="A9" s="186" t="s">
        <v>94</v>
      </c>
      <c r="B9" s="187" t="s">
        <v>1800</v>
      </c>
      <c r="C9" s="180" t="s">
        <v>720</v>
      </c>
      <c r="D9" s="180" t="s">
        <v>721</v>
      </c>
    </row>
    <row r="10" spans="1:4" x14ac:dyDescent="0.2">
      <c r="A10">
        <v>1100</v>
      </c>
      <c r="B10" t="s">
        <v>702</v>
      </c>
      <c r="C10" s="178">
        <f>ROUND('DOE25'!L198+'DOE25'!L216+'DOE25'!L234+'DOE25'!L277+'DOE25'!L296+'DOE25'!L315,0)</f>
        <v>5391463</v>
      </c>
      <c r="D10" s="181">
        <f>ROUND((C10/$C$28)*100,1)</f>
        <v>65.7</v>
      </c>
    </row>
    <row r="11" spans="1:4" x14ac:dyDescent="0.2">
      <c r="A11">
        <v>1200</v>
      </c>
      <c r="B11" t="s">
        <v>703</v>
      </c>
      <c r="C11" s="178">
        <f>ROUND('DOE25'!L199+'DOE25'!L217+'DOE25'!L235+'DOE25'!L278+'DOE25'!L297+'DOE25'!L316,0)</f>
        <v>840143</v>
      </c>
      <c r="D11" s="181">
        <f>ROUND((C11/$C$28)*100,1)</f>
        <v>10.199999999999999</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18230</v>
      </c>
      <c r="D13" s="181">
        <f>ROUND((C13/$C$28)*100,1)</f>
        <v>0.2</v>
      </c>
    </row>
    <row r="14" spans="1:4" x14ac:dyDescent="0.2">
      <c r="D14" s="181"/>
    </row>
    <row r="15" spans="1:4" x14ac:dyDescent="0.2">
      <c r="A15">
        <v>2100</v>
      </c>
      <c r="B15" t="s">
        <v>706</v>
      </c>
      <c r="C15" s="178">
        <f>ROUND('DOE25'!L203+'DOE25'!L221+'DOE25'!L239+'DOE25'!L282+'DOE25'!L301+'DOE25'!L320,0)</f>
        <v>493398</v>
      </c>
      <c r="D15" s="181">
        <f t="shared" ref="D15:D27" si="0">ROUND((C15/$C$28)*100,1)</f>
        <v>6</v>
      </c>
    </row>
    <row r="16" spans="1:4" x14ac:dyDescent="0.2">
      <c r="A16">
        <v>2200</v>
      </c>
      <c r="B16" t="s">
        <v>707</v>
      </c>
      <c r="C16" s="178">
        <f>ROUND('DOE25'!L204+'DOE25'!L222+'DOE25'!L240+'DOE25'!L283+'DOE25'!L302+'DOE25'!L321,0)</f>
        <v>208565</v>
      </c>
      <c r="D16" s="181">
        <f t="shared" si="0"/>
        <v>2.5</v>
      </c>
    </row>
    <row r="17" spans="1:4" x14ac:dyDescent="0.2">
      <c r="A17" s="182" t="s">
        <v>723</v>
      </c>
      <c r="B17" t="s">
        <v>738</v>
      </c>
      <c r="C17" s="178">
        <f>ROUND('DOE25'!L205+'DOE25'!L210+'DOE25'!L223+'DOE25'!L228+'DOE25'!L241+'DOE25'!L246+'DOE25'!L284+'DOE25'!L289+'DOE25'!L303+'DOE25'!L308+'DOE25'!L322+'DOE25'!L327,0)</f>
        <v>202417</v>
      </c>
      <c r="D17" s="181">
        <f t="shared" si="0"/>
        <v>2.5</v>
      </c>
    </row>
    <row r="18" spans="1:4" x14ac:dyDescent="0.2">
      <c r="A18">
        <v>2400</v>
      </c>
      <c r="B18" t="s">
        <v>711</v>
      </c>
      <c r="C18" s="178">
        <f>ROUND('DOE25'!L206+'DOE25'!L224+'DOE25'!L242+'DOE25'!L285+'DOE25'!L304+'DOE25'!L323,0)</f>
        <v>253926</v>
      </c>
      <c r="D18" s="181">
        <f t="shared" si="0"/>
        <v>3.1</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291709</v>
      </c>
      <c r="D20" s="181">
        <f t="shared" si="0"/>
        <v>3.6</v>
      </c>
    </row>
    <row r="21" spans="1:4" x14ac:dyDescent="0.2">
      <c r="A21">
        <v>2700</v>
      </c>
      <c r="B21" t="s">
        <v>710</v>
      </c>
      <c r="C21" s="178">
        <f>ROUND('DOE25'!L209+'DOE25'!L227+'DOE25'!L245+'DOE25'!L288+'DOE25'!L307+'DOE25'!L326,0)</f>
        <v>381560</v>
      </c>
      <c r="D21" s="181">
        <f t="shared" si="0"/>
        <v>4.5999999999999996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60435</v>
      </c>
      <c r="D25" s="181">
        <f t="shared" si="0"/>
        <v>0.7</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66990.850000000006</v>
      </c>
      <c r="D27" s="181">
        <f t="shared" si="0"/>
        <v>0.8</v>
      </c>
    </row>
    <row r="28" spans="1:4" x14ac:dyDescent="0.2">
      <c r="B28" s="186" t="s">
        <v>719</v>
      </c>
      <c r="C28" s="179">
        <f>SUM(C10:C27)</f>
        <v>8208836.8499999996</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8208836.8499999996</v>
      </c>
    </row>
    <row r="31" spans="1:4" x14ac:dyDescent="0.2">
      <c r="B31" s="33"/>
      <c r="C31" s="179"/>
    </row>
    <row r="32" spans="1:4" x14ac:dyDescent="0.2">
      <c r="A32">
        <v>5100</v>
      </c>
      <c r="B32" s="33" t="s">
        <v>726</v>
      </c>
      <c r="C32" s="179">
        <f>ROUND('DOE25'!L261+'DOE25'!L342,0)</f>
        <v>160000</v>
      </c>
    </row>
    <row r="34" spans="1:4" x14ac:dyDescent="0.2">
      <c r="A34" s="186" t="s">
        <v>94</v>
      </c>
      <c r="B34" s="187" t="s">
        <v>1801</v>
      </c>
      <c r="C34" s="180" t="s">
        <v>720</v>
      </c>
      <c r="D34" s="180" t="s">
        <v>721</v>
      </c>
    </row>
    <row r="35" spans="1:4" x14ac:dyDescent="0.2">
      <c r="A35">
        <v>1100</v>
      </c>
      <c r="B35" s="184" t="s">
        <v>727</v>
      </c>
      <c r="C35" s="178">
        <f>ROUND('DOE25'!F60+'DOE25'!G60+'DOE25'!H60+'DOE25'!I60+'DOE25'!J60,0)</f>
        <v>5949402</v>
      </c>
      <c r="D35" s="181">
        <f t="shared" ref="D35:D40" si="1">ROUND((C35/$C$41)*100,1)</f>
        <v>69.8</v>
      </c>
    </row>
    <row r="36" spans="1:4" x14ac:dyDescent="0.2">
      <c r="B36" s="184" t="s">
        <v>739</v>
      </c>
      <c r="C36" s="178">
        <f>SUM('DOE25'!F112:J112)-SUM('DOE25'!G97:G110)+('DOE25'!F175+'DOE25'!F176+'DOE25'!I175+'DOE25'!I176)-C35</f>
        <v>36440.029999999329</v>
      </c>
      <c r="D36" s="181">
        <f t="shared" si="1"/>
        <v>0.4</v>
      </c>
    </row>
    <row r="37" spans="1:4" x14ac:dyDescent="0.2">
      <c r="A37" s="182" t="s">
        <v>835</v>
      </c>
      <c r="B37" s="184" t="s">
        <v>728</v>
      </c>
      <c r="C37" s="178">
        <f>ROUND('DOE25'!F117+'DOE25'!F118,0)</f>
        <v>1976327</v>
      </c>
      <c r="D37" s="181">
        <f t="shared" si="1"/>
        <v>23.2</v>
      </c>
    </row>
    <row r="38" spans="1:4" x14ac:dyDescent="0.2">
      <c r="A38" s="182" t="s">
        <v>734</v>
      </c>
      <c r="B38" s="184" t="s">
        <v>729</v>
      </c>
      <c r="C38" s="178">
        <f>ROUND(SUM('DOE25'!F140:J140)-SUM('DOE25'!F117:F119),0)</f>
        <v>53653</v>
      </c>
      <c r="D38" s="181">
        <f t="shared" si="1"/>
        <v>0.6</v>
      </c>
    </row>
    <row r="39" spans="1:4" x14ac:dyDescent="0.2">
      <c r="A39">
        <v>4000</v>
      </c>
      <c r="B39" s="184" t="s">
        <v>730</v>
      </c>
      <c r="C39" s="178">
        <f>ROUND('DOE25'!F170+'DOE25'!G170+'DOE25'!H170+'DOE25'!I170,0)</f>
        <v>509780</v>
      </c>
      <c r="D39" s="181">
        <f t="shared" si="1"/>
        <v>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8525602.0299999993</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Dunbarton</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69</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f>IF('School Level Expenditures'!$B$2=A72,'School Tables'!H72,"")</f>
        <v>69</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2022-09-07T18:34:56Z</cp:lastPrinted>
  <dcterms:created xsi:type="dcterms:W3CDTF">1997-12-04T19:04:30Z</dcterms:created>
  <dcterms:modified xsi:type="dcterms:W3CDTF">2022-09-13T13:58:33Z</dcterms:modified>
</cp:coreProperties>
</file>