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229EFA6A-BEF5-4264-ACF4-FE3AA3C486B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435" yWindow="0" windowWidth="15825" windowHeight="1560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6">'MS-25'!$A$1:$H$164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E112" i="2"/>
  <c r="D115" i="2"/>
  <c r="F115" i="2"/>
  <c r="G115" i="2"/>
  <c r="C119" i="2"/>
  <c r="E120" i="2"/>
  <c r="E124"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H653" i="1"/>
  <c r="G654" i="1"/>
  <c r="H654" i="1"/>
  <c r="H655" i="1"/>
  <c r="H656" i="1"/>
  <c r="I170" i="1"/>
  <c r="H11" i="2" l="1"/>
  <c r="I409" i="1"/>
  <c r="H89" i="2"/>
  <c r="H59" i="2"/>
  <c r="H35" i="2"/>
  <c r="H34" i="2"/>
  <c r="H13" i="2"/>
  <c r="H9" i="2"/>
  <c r="H23" i="2"/>
  <c r="G477" i="1"/>
  <c r="H94" i="2"/>
  <c r="H85" i="2"/>
  <c r="H69" i="2"/>
  <c r="H30" i="2"/>
  <c r="H29" i="2"/>
  <c r="H28" i="2"/>
  <c r="H27" i="2"/>
  <c r="H25" i="2"/>
  <c r="H24" i="2"/>
  <c r="H17" i="2"/>
  <c r="H12" i="2"/>
  <c r="H132" i="2"/>
  <c r="G662" i="1"/>
  <c r="H36" i="2"/>
  <c r="H44" i="2"/>
  <c r="H48" i="2"/>
  <c r="H143" i="2"/>
  <c r="E121" i="2"/>
  <c r="H97" i="2"/>
  <c r="H93" i="2"/>
  <c r="H87" i="2"/>
  <c r="H80" i="2"/>
  <c r="H77" i="2"/>
  <c r="H61" i="2"/>
  <c r="H26" i="2"/>
  <c r="H22" i="2"/>
  <c r="C13" i="10"/>
  <c r="J652" i="1"/>
  <c r="C125" i="2"/>
  <c r="H125" i="2" s="1"/>
  <c r="G663" i="1"/>
  <c r="C12" i="10"/>
  <c r="C121" i="2"/>
  <c r="H121" i="2" s="1"/>
  <c r="E13" i="13"/>
  <c r="C13" i="13" s="1"/>
  <c r="C112" i="2"/>
  <c r="H112" i="2" s="1"/>
  <c r="D15" i="13"/>
  <c r="C15" i="13" s="1"/>
  <c r="C120" i="2"/>
  <c r="H120" i="2" s="1"/>
  <c r="D6" i="13"/>
  <c r="C6" i="13" s="1"/>
  <c r="H96" i="2"/>
  <c r="G409" i="1"/>
  <c r="H646" i="1" s="1"/>
  <c r="J646" i="1" s="1"/>
  <c r="H8"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E128" i="2" s="1"/>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31" i="2" l="1"/>
  <c r="H62" i="2"/>
  <c r="H78" i="2"/>
  <c r="D128" i="2"/>
  <c r="D145" i="2" s="1"/>
  <c r="H127" i="2"/>
  <c r="H91" i="2"/>
  <c r="H57" i="2"/>
  <c r="H42" i="2"/>
  <c r="H21" i="2"/>
  <c r="H16" i="2"/>
  <c r="I663" i="1"/>
  <c r="C81" i="2"/>
  <c r="H81" i="2" s="1"/>
  <c r="G144" i="2"/>
  <c r="G145" i="2" s="1"/>
  <c r="H134" i="2"/>
  <c r="H103" i="2"/>
  <c r="F194" i="1"/>
  <c r="G628" i="1" s="1"/>
  <c r="J628" i="1" s="1"/>
  <c r="H50" i="2"/>
  <c r="H18" i="2"/>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H51" i="2" s="1"/>
  <c r="G632" i="1"/>
  <c r="J632" i="1" s="1"/>
  <c r="G194" i="1"/>
  <c r="G629" i="1" s="1"/>
  <c r="J629" i="1" s="1"/>
  <c r="G627" i="1"/>
  <c r="J627" i="1" s="1"/>
  <c r="J52" i="1"/>
  <c r="H622" i="1" s="1"/>
  <c r="J622" i="1" s="1"/>
  <c r="C38" i="10"/>
  <c r="H673" i="1" l="1"/>
  <c r="C6" i="10" s="1"/>
  <c r="C104" i="2"/>
  <c r="H104" i="2" s="1"/>
  <c r="H63" i="2"/>
  <c r="C144" i="2"/>
  <c r="C145"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<sst xmlns="http://schemas.openxmlformats.org/spreadsheetml/2006/main" count="6529" uniqueCount="1802">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</sst>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I670" sqref="I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1780</v>
      </c>
      <c r="B2" s="126">
        <f>INDEX('School Tables'!$AH$3:$AH$208,MATCH('DOE25'!A2,'School Tables'!$AJ$3:$AJ$208,0))</f>
        <v>159</v>
      </c>
      <c r="C2" s="126">
        <f>INDEX('School Tables'!$AI$3:$AI$208,MATCH('DOE25'!A2,'School Tables'!$AJ$3:$AJ$208,0))</f>
        <v>159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63072.86</v>
      </c>
      <c r="G9" s="18"/>
      <c r="H9" s="18"/>
      <c r="I9" s="18"/>
      <c r="J9" s="67">
        <f>SUM(I440)</f>
        <v>173430.01</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63072.86</v>
      </c>
      <c r="G19" s="41">
        <f>SUM(G9:G18)</f>
        <v>0</v>
      </c>
      <c r="H19" s="41">
        <f>SUM(H9:H18)</f>
        <v>0</v>
      </c>
      <c r="I19" s="41">
        <f>SUM(I9:I18)</f>
        <v>0</v>
      </c>
      <c r="J19" s="41">
        <f>SUM(J9:J18)</f>
        <v>173430.01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9151</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25000</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34151</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22186</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173430.01</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6735.86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28921.86</v>
      </c>
      <c r="G51" s="41">
        <f>SUM(G35:G50)</f>
        <v>0</v>
      </c>
      <c r="H51" s="41">
        <f>SUM(H35:H50)</f>
        <v>0</v>
      </c>
      <c r="I51" s="41">
        <f>SUM(I35:I50)</f>
        <v>0</v>
      </c>
      <c r="J51" s="41">
        <f>SUM(J35:J50)</f>
        <v>173430.01</v>
      </c>
      <c r="K51" s="45" t="s">
        <v>288</v>
      </c>
      <c r="L51" s="45" t="s">
        <v>288</v>
      </c>
      <c r="N51" s="263"/>
    </row>
    <row r="52" spans="1:14" s="3" customFormat="1" ht="12.2" customHeight="1" thickTop="1" x14ac:dyDescent="0.15">
      <c r="A52" s="38" t="s">
        <v>455</v>
      </c>
      <c r="B52" s="39" t="s">
        <v>289</v>
      </c>
      <c r="C52" s="6">
        <v>37</v>
      </c>
      <c r="D52" s="39" t="s">
        <v>653</v>
      </c>
      <c r="E52" s="39"/>
      <c r="F52" s="41">
        <f>F51+F32</f>
        <v>63072.86</v>
      </c>
      <c r="G52" s="41">
        <f>G51+G32</f>
        <v>0</v>
      </c>
      <c r="H52" s="41">
        <f>H51+H32</f>
        <v>0</v>
      </c>
      <c r="I52" s="41">
        <f>I51+I32</f>
        <v>0</v>
      </c>
      <c r="J52" s="41">
        <f>J51+J32</f>
        <v>173430.01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680685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680685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200.86</v>
      </c>
      <c r="G96" s="18"/>
      <c r="H96" s="18"/>
      <c r="I96" s="18"/>
      <c r="J96" s="18">
        <v>201.97</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2002</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1078.0999999999999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3280.96</v>
      </c>
      <c r="G111" s="41">
        <f>SUM(G96:G110)</f>
        <v>0</v>
      </c>
      <c r="H111" s="41">
        <f>SUM(H96:H110)</f>
        <v>0</v>
      </c>
      <c r="I111" s="41">
        <f>SUM(I96:I110)</f>
        <v>0</v>
      </c>
      <c r="J111" s="41">
        <f>SUM(J96:J110)</f>
        <v>201.97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683965.96</v>
      </c>
      <c r="G112" s="41">
        <f>G60+G111</f>
        <v>0</v>
      </c>
      <c r="H112" s="41">
        <f>H60+H79+H94+H111</f>
        <v>0</v>
      </c>
      <c r="I112" s="41">
        <f>I60+I111</f>
        <v>0</v>
      </c>
      <c r="J112" s="41">
        <f>J60+J111</f>
        <v>201.97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206754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206754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206754</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184.06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184.06</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184.06</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73000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73000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88490</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73448.94</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161938.94</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161938.94</v>
      </c>
      <c r="G193" s="41">
        <f>G184+SUM(G189:G192)</f>
        <v>0</v>
      </c>
      <c r="H193" s="41">
        <f>+H184+SUM(H189:H192)</f>
        <v>0</v>
      </c>
      <c r="I193" s="41">
        <f>I178+I184+SUM(I189:I192)</f>
        <v>0</v>
      </c>
      <c r="J193" s="41">
        <f>J184</f>
        <v>73000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1052842.96</v>
      </c>
      <c r="G194" s="47">
        <f>G112+G140+G170+G193</f>
        <v>0</v>
      </c>
      <c r="H194" s="47">
        <f>H112+H140+H170+H193</f>
        <v>0</v>
      </c>
      <c r="I194" s="47">
        <f>I112+I140+I170+I193</f>
        <v>0</v>
      </c>
      <c r="J194" s="47">
        <f>J112+J140+J193</f>
        <v>73201.97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v>444869</v>
      </c>
      <c r="I198" s="18"/>
      <c r="J198" s="18"/>
      <c r="K198" s="18"/>
      <c r="L198" s="19">
        <f>SUM(F198:K198)</f>
        <v>444869</v>
      </c>
      <c r="M198" s="8"/>
      <c r="N198" s="265"/>
    </row>
    <row r="199" spans="1:14" s="3" customFormat="1" ht="12.2" customHeight="1" x14ac:dyDescent="0.15">
      <c r="A199" s="1" t="s">
        <v>439</v>
      </c>
      <c r="B199" s="2" t="s">
        <v>341</v>
      </c>
      <c r="C199" s="2" t="s">
        <v>291</v>
      </c>
      <c r="D199" s="2" t="s">
        <v>431</v>
      </c>
      <c r="E199" s="6">
        <v>1200</v>
      </c>
      <c r="F199" s="18"/>
      <c r="G199" s="18"/>
      <c r="H199" s="18">
        <v>24673.01</v>
      </c>
      <c r="I199" s="18"/>
      <c r="J199" s="18"/>
      <c r="K199" s="18"/>
      <c r="L199" s="19">
        <f>SUM(F199:K199)</f>
        <v>24673.01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v>5796.71</v>
      </c>
      <c r="I203" s="18"/>
      <c r="J203" s="18"/>
      <c r="K203" s="18"/>
      <c r="L203" s="19">
        <f t="shared" ref="L203:L209" si="0">SUM(F203:K203)</f>
        <v>5796.71</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v>1088</v>
      </c>
      <c r="G205" s="18"/>
      <c r="H205" s="18">
        <v>21451.97</v>
      </c>
      <c r="I205" s="18"/>
      <c r="J205" s="18"/>
      <c r="K205" s="18"/>
      <c r="L205" s="19">
        <f t="shared" si="0"/>
        <v>22539.97</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v>20718.25</v>
      </c>
      <c r="G209" s="18">
        <v>8376.83</v>
      </c>
      <c r="H209" s="18">
        <v>2120.41</v>
      </c>
      <c r="I209" s="18">
        <v>9472.2999999999993</v>
      </c>
      <c r="J209" s="18">
        <v>60173.2</v>
      </c>
      <c r="K209" s="18"/>
      <c r="L209" s="19">
        <f t="shared" si="0"/>
        <v>100860.98999999999</v>
      </c>
      <c r="M209" s="8"/>
      <c r="N209" s="265"/>
    </row>
    <row r="210" spans="1:14" s="3" customFormat="1" ht="12.2" customHeight="1" x14ac:dyDescent="0.15">
      <c r="A210" s="1" t="s">
        <v>449</v>
      </c>
      <c r="B210" s="2" t="s">
        <v>341</v>
      </c>
      <c r="C210" s="2" t="s">
        <v>343</v>
      </c>
      <c r="D210" s="2" t="s">
        <v>431</v>
      </c>
      <c r="E210" s="6">
        <v>2800</v>
      </c>
      <c r="F210" s="18"/>
      <c r="G210" s="18"/>
      <c r="H210" s="18">
        <v>18.850000000000001</v>
      </c>
      <c r="I210" s="18"/>
      <c r="J210" s="18"/>
      <c r="K210" s="18"/>
      <c r="L210" s="19">
        <f>SUM(F210:K210)</f>
        <v>18.850000000000001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21806.25</v>
      </c>
      <c r="G212" s="41">
        <f t="shared" si="1"/>
        <v>8376.83</v>
      </c>
      <c r="H212" s="41">
        <f t="shared" si="1"/>
        <v>498929.95</v>
      </c>
      <c r="I212" s="41">
        <f t="shared" si="1"/>
        <v>9472.2999999999993</v>
      </c>
      <c r="J212" s="41">
        <f t="shared" si="1"/>
        <v>60173.2</v>
      </c>
      <c r="K212" s="41">
        <f t="shared" si="1"/>
        <v>0</v>
      </c>
      <c r="L212" s="41">
        <f t="shared" si="1"/>
        <v>598758.53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193901</v>
      </c>
      <c r="I216" s="18"/>
      <c r="J216" s="18"/>
      <c r="K216" s="18"/>
      <c r="L216" s="19">
        <f>SUM(F216:K216)</f>
        <v>193901</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v>192</v>
      </c>
      <c r="G223" s="18"/>
      <c r="H223" s="18">
        <v>3785.64</v>
      </c>
      <c r="I223" s="18"/>
      <c r="J223" s="18"/>
      <c r="K223" s="18"/>
      <c r="L223" s="19">
        <f t="shared" si="2"/>
        <v>3977.64</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v>3656.16</v>
      </c>
      <c r="G227" s="18">
        <v>1478.26</v>
      </c>
      <c r="H227" s="18">
        <v>374.2</v>
      </c>
      <c r="I227" s="18">
        <v>1671.58</v>
      </c>
      <c r="J227" s="18">
        <v>10618.8</v>
      </c>
      <c r="K227" s="18"/>
      <c r="L227" s="19">
        <f t="shared" si="2"/>
        <v>17799</v>
      </c>
      <c r="M227" s="8"/>
      <c r="N227" s="265"/>
    </row>
    <row r="228" spans="1:14" s="3" customFormat="1" ht="12.2" customHeight="1" x14ac:dyDescent="0.15">
      <c r="A228" s="1" t="s">
        <v>449</v>
      </c>
      <c r="B228" s="2" t="s">
        <v>346</v>
      </c>
      <c r="C228" s="2" t="s">
        <v>343</v>
      </c>
      <c r="D228" s="2" t="s">
        <v>431</v>
      </c>
      <c r="E228" s="6">
        <v>2800</v>
      </c>
      <c r="F228" s="18"/>
      <c r="G228" s="18"/>
      <c r="H228" s="18">
        <v>3.33</v>
      </c>
      <c r="I228" s="18"/>
      <c r="J228" s="18"/>
      <c r="K228" s="18"/>
      <c r="L228" s="19">
        <f>SUM(F228:K228)</f>
        <v>3.33</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3848.16</v>
      </c>
      <c r="G230" s="41">
        <f>SUM(G216:G229)</f>
        <v>1478.26</v>
      </c>
      <c r="H230" s="41">
        <f>SUM(H216:H229)</f>
        <v>198064.17</v>
      </c>
      <c r="I230" s="41">
        <f>SUM(I216:I229)</f>
        <v>1671.58</v>
      </c>
      <c r="J230" s="41">
        <f>SUM(J216:J229)</f>
        <v>10618.8</v>
      </c>
      <c r="K230" s="41">
        <f t="shared" si="3"/>
        <v>0</v>
      </c>
      <c r="L230" s="41">
        <f t="shared" si="3"/>
        <v>215680.97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146210</v>
      </c>
      <c r="I234" s="18"/>
      <c r="J234" s="18"/>
      <c r="K234" s="18"/>
      <c r="L234" s="19">
        <f>SUM(F234:K234)</f>
        <v>146210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320</v>
      </c>
      <c r="G241" s="18"/>
      <c r="H241" s="18">
        <v>6309.4</v>
      </c>
      <c r="I241" s="18"/>
      <c r="J241" s="18"/>
      <c r="K241" s="18"/>
      <c r="L241" s="19">
        <f t="shared" si="4"/>
        <v>6629.4</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v>6093.6</v>
      </c>
      <c r="G245" s="18">
        <v>2463.77</v>
      </c>
      <c r="H245" s="18">
        <v>623.66</v>
      </c>
      <c r="I245" s="18">
        <v>2785.97</v>
      </c>
      <c r="J245" s="18">
        <v>17698</v>
      </c>
      <c r="K245" s="18"/>
      <c r="L245" s="19">
        <f t="shared" si="4"/>
        <v>29665</v>
      </c>
      <c r="M245" s="8"/>
      <c r="N245" s="265"/>
    </row>
    <row r="246" spans="1:14" s="3" customFormat="1" ht="12.2" customHeight="1" x14ac:dyDescent="0.15">
      <c r="A246" s="1" t="s">
        <v>449</v>
      </c>
      <c r="B246" s="2" t="s">
        <v>350</v>
      </c>
      <c r="C246" s="2" t="s">
        <v>343</v>
      </c>
      <c r="D246" s="2" t="s">
        <v>431</v>
      </c>
      <c r="E246" s="6">
        <v>2800</v>
      </c>
      <c r="F246" s="18"/>
      <c r="G246" s="18"/>
      <c r="H246" s="18">
        <v>5.55</v>
      </c>
      <c r="I246" s="18"/>
      <c r="J246" s="18"/>
      <c r="K246" s="18"/>
      <c r="L246" s="19">
        <f>SUM(F246:K246)</f>
        <v>5.55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6413.6</v>
      </c>
      <c r="G248" s="41">
        <f t="shared" si="5"/>
        <v>2463.77</v>
      </c>
      <c r="H248" s="41">
        <f t="shared" si="5"/>
        <v>153148.60999999999</v>
      </c>
      <c r="I248" s="41">
        <f t="shared" si="5"/>
        <v>2785.97</v>
      </c>
      <c r="J248" s="41">
        <f t="shared" si="5"/>
        <v>17698</v>
      </c>
      <c r="K248" s="41">
        <f t="shared" si="5"/>
        <v>0</v>
      </c>
      <c r="L248" s="41">
        <f t="shared" si="5"/>
        <v>182509.94999999998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32068.010000000002</v>
      </c>
      <c r="G258" s="41">
        <f t="shared" si="8"/>
        <v>12318.86</v>
      </c>
      <c r="H258" s="41">
        <f t="shared" si="8"/>
        <v>850142.73</v>
      </c>
      <c r="I258" s="41">
        <f t="shared" si="8"/>
        <v>13929.849999999999</v>
      </c>
      <c r="J258" s="41">
        <f t="shared" si="8"/>
        <v>88490</v>
      </c>
      <c r="K258" s="41">
        <f t="shared" si="8"/>
        <v>0</v>
      </c>
      <c r="L258" s="41">
        <f t="shared" si="8"/>
        <v>996949.45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73000</v>
      </c>
      <c r="L267" s="19">
        <f t="shared" si="9"/>
        <v>73000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73000</v>
      </c>
      <c r="L271" s="41">
        <f t="shared" si="9"/>
        <v>73000</v>
      </c>
      <c r="M271" s="8"/>
      <c r="N271" s="265"/>
    </row>
    <row r="272" spans="1:14" s="34" customFormat="1" ht="12.2" customHeight="1" thickTop="1" x14ac:dyDescent="0.2">
      <c r="A272" s="43" t="s">
        <v>464</v>
      </c>
      <c r="B272" s="40">
        <v>10</v>
      </c>
      <c r="C272" s="40">
        <v>18</v>
      </c>
      <c r="D272" s="39" t="s">
        <v>431</v>
      </c>
      <c r="E272" s="40"/>
      <c r="F272" s="42">
        <f t="shared" ref="F272:L272" si="11">F258+F271</f>
        <v>32068.010000000002</v>
      </c>
      <c r="G272" s="42">
        <f t="shared" si="11"/>
        <v>12318.86</v>
      </c>
      <c r="H272" s="42">
        <f t="shared" si="11"/>
        <v>850142.73</v>
      </c>
      <c r="I272" s="42">
        <f t="shared" si="11"/>
        <v>13929.849999999999</v>
      </c>
      <c r="J272" s="42">
        <f t="shared" si="11"/>
        <v>88490</v>
      </c>
      <c r="K272" s="42">
        <f t="shared" si="11"/>
        <v>73000</v>
      </c>
      <c r="L272" s="42">
        <f t="shared" si="11"/>
        <v>1069949.45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v>43000</v>
      </c>
      <c r="H391" s="18">
        <v>54.66</v>
      </c>
      <c r="I391" s="18"/>
      <c r="J391" s="24" t="s">
        <v>288</v>
      </c>
      <c r="K391" s="24" t="s">
        <v>288</v>
      </c>
      <c r="L391" s="56">
        <f t="shared" si="25"/>
        <v>43054.66</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43000</v>
      </c>
      <c r="H394" s="139">
        <f>SUM(H388:H393)</f>
        <v>54.66</v>
      </c>
      <c r="I394" s="65">
        <f>SUM(I388:I393)</f>
        <v>0</v>
      </c>
      <c r="J394" s="45" t="s">
        <v>288</v>
      </c>
      <c r="K394" s="45" t="s">
        <v>288</v>
      </c>
      <c r="L394" s="47">
        <f>SUM(L388:L393)</f>
        <v>43054.66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30000</v>
      </c>
      <c r="H398" s="18">
        <v>147.31</v>
      </c>
      <c r="I398" s="18"/>
      <c r="J398" s="24" t="s">
        <v>288</v>
      </c>
      <c r="K398" s="24" t="s">
        <v>288</v>
      </c>
      <c r="L398" s="56">
        <f t="shared" si="26"/>
        <v>30147.31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147.31</v>
      </c>
      <c r="I402" s="47">
        <f>SUM(I396:I401)</f>
        <v>0</v>
      </c>
      <c r="J402" s="45" t="s">
        <v>288</v>
      </c>
      <c r="K402" s="45" t="s">
        <v>288</v>
      </c>
      <c r="L402" s="47">
        <f>SUM(L396:L401)</f>
        <v>30147.31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73000</v>
      </c>
      <c r="H409" s="47">
        <f>H394+H402+H408</f>
        <v>201.97</v>
      </c>
      <c r="I409" s="47">
        <f>I394+I402+I408</f>
        <v>0</v>
      </c>
      <c r="J409" s="24" t="s">
        <v>288</v>
      </c>
      <c r="K409" s="24" t="s">
        <v>288</v>
      </c>
      <c r="L409" s="47">
        <f>L394+L402+L408</f>
        <v>73201.97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v>88490</v>
      </c>
      <c r="L417" s="56">
        <f t="shared" si="27"/>
        <v>88490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88490</v>
      </c>
      <c r="L420" s="47">
        <f t="shared" si="28"/>
        <v>88490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88490</v>
      </c>
      <c r="L435" s="47">
        <f t="shared" si="32"/>
        <v>88490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37977.800000000003</v>
      </c>
      <c r="G440" s="18">
        <v>135452.21</v>
      </c>
      <c r="H440" s="18"/>
      <c r="I440" s="56">
        <f t="shared" ref="I440:I446" si="33">SUM(F440:H440)</f>
        <v>173430.01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37977.800000000003</v>
      </c>
      <c r="G447" s="13">
        <f>SUM(G440:G446)</f>
        <v>135452.21</v>
      </c>
      <c r="H447" s="13">
        <f>SUM(H440:H446)</f>
        <v>0</v>
      </c>
      <c r="I447" s="13">
        <f>SUM(I440:I446)</f>
        <v>173430.01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37977.800000000003</v>
      </c>
      <c r="G460" s="18">
        <v>135452.21</v>
      </c>
      <c r="H460" s="18"/>
      <c r="I460" s="56">
        <f t="shared" si="34"/>
        <v>173430.01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37977.800000000003</v>
      </c>
      <c r="G461" s="83">
        <f>SUM(G455:G460)</f>
        <v>135452.21</v>
      </c>
      <c r="H461" s="83">
        <f>SUM(H455:H460)</f>
        <v>0</v>
      </c>
      <c r="I461" s="83">
        <f>SUM(I455:I460)</f>
        <v>173430.01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37977.800000000003</v>
      </c>
      <c r="G462" s="42">
        <f>G453+G461</f>
        <v>135452.21</v>
      </c>
      <c r="H462" s="42">
        <f>H453+H461</f>
        <v>0</v>
      </c>
      <c r="I462" s="42">
        <f>I453+I461</f>
        <v>173430.01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46028.35</v>
      </c>
      <c r="G466" s="18"/>
      <c r="H466" s="18"/>
      <c r="I466" s="18"/>
      <c r="J466" s="18">
        <v>188718.04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1052842.96</v>
      </c>
      <c r="G469" s="18"/>
      <c r="H469" s="18"/>
      <c r="I469" s="18"/>
      <c r="J469" s="18">
        <v>73201.97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1052842.96</v>
      </c>
      <c r="G471" s="53">
        <f>SUM(G469:G470)</f>
        <v>0</v>
      </c>
      <c r="H471" s="53">
        <f>SUM(H469:H470)</f>
        <v>0</v>
      </c>
      <c r="I471" s="53">
        <f>SUM(I469:I470)</f>
        <v>0</v>
      </c>
      <c r="J471" s="53">
        <f>SUM(J469:J470)</f>
        <v>73201.97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1069949.45</v>
      </c>
      <c r="G473" s="18"/>
      <c r="H473" s="18"/>
      <c r="I473" s="18"/>
      <c r="J473" s="18">
        <v>88490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1069949.45</v>
      </c>
      <c r="G475" s="53">
        <f>SUM(G473:G474)</f>
        <v>0</v>
      </c>
      <c r="H475" s="53">
        <f>SUM(H473:H474)</f>
        <v>0</v>
      </c>
      <c r="I475" s="53">
        <f>SUM(I473:I474)</f>
        <v>0</v>
      </c>
      <c r="J475" s="53">
        <f>SUM(J473:J474)</f>
        <v>88490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28921.860000000102</v>
      </c>
      <c r="G477" s="53">
        <f>(G466+G471)- G475</f>
        <v>0</v>
      </c>
      <c r="H477" s="53">
        <f>(H466+H471)- H475</f>
        <v>0</v>
      </c>
      <c r="I477" s="53">
        <f>(I466+I471)- I475</f>
        <v>0</v>
      </c>
      <c r="J477" s="53">
        <f>(J466+J471)- J475</f>
        <v>173430.01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v>24673.01</v>
      </c>
      <c r="I522" s="18"/>
      <c r="J522" s="18"/>
      <c r="K522" s="18"/>
      <c r="L522" s="88">
        <f>SUM(F522:K522)</f>
        <v>24673.01</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24673.01</v>
      </c>
      <c r="I525" s="108">
        <f t="shared" si="36"/>
        <v>0</v>
      </c>
      <c r="J525" s="108">
        <f t="shared" si="36"/>
        <v>0</v>
      </c>
      <c r="K525" s="108">
        <f t="shared" si="36"/>
        <v>0</v>
      </c>
      <c r="L525" s="89">
        <f t="shared" si="36"/>
        <v>24673.01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5796.71</v>
      </c>
      <c r="I527" s="18"/>
      <c r="J527" s="18"/>
      <c r="K527" s="18"/>
      <c r="L527" s="88">
        <f>SUM(F527:K527)</f>
        <v>5796.71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5796.71</v>
      </c>
      <c r="I530" s="89">
        <f t="shared" si="37"/>
        <v>0</v>
      </c>
      <c r="J530" s="89">
        <f t="shared" si="37"/>
        <v>0</v>
      </c>
      <c r="K530" s="89">
        <f t="shared" si="37"/>
        <v>0</v>
      </c>
      <c r="L530" s="89">
        <f t="shared" si="37"/>
        <v>5796.71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3454.65</v>
      </c>
      <c r="I532" s="18"/>
      <c r="J532" s="18"/>
      <c r="K532" s="18"/>
      <c r="L532" s="88">
        <f>SUM(F532:K532)</f>
        <v>3454.65</v>
      </c>
      <c r="M532" s="8"/>
      <c r="N532" s="265"/>
    </row>
    <row r="533" spans="1:14" s="3" customFormat="1" ht="12.2" customHeight="1" x14ac:dyDescent="0.15">
      <c r="A533" s="22" t="s">
        <v>634</v>
      </c>
      <c r="B533" s="105">
        <v>21</v>
      </c>
      <c r="C533" s="105">
        <v>10</v>
      </c>
      <c r="D533" s="2" t="s">
        <v>432</v>
      </c>
      <c r="E533" s="105"/>
      <c r="F533" s="18"/>
      <c r="G533" s="18"/>
      <c r="H533" s="18">
        <v>609.64</v>
      </c>
      <c r="I533" s="18"/>
      <c r="J533" s="18"/>
      <c r="K533" s="18"/>
      <c r="L533" s="88">
        <f>SUM(F533:K533)</f>
        <v>609.64</v>
      </c>
      <c r="M533" s="8"/>
      <c r="N533" s="265"/>
    </row>
    <row r="534" spans="1:14" s="3" customFormat="1" ht="12.2" customHeight="1" thickBot="1" x14ac:dyDescent="0.2">
      <c r="A534" s="22" t="s">
        <v>635</v>
      </c>
      <c r="B534" s="105">
        <v>21</v>
      </c>
      <c r="C534" s="105">
        <v>11</v>
      </c>
      <c r="D534" s="2" t="s">
        <v>432</v>
      </c>
      <c r="E534" s="105"/>
      <c r="F534" s="18"/>
      <c r="G534" s="18"/>
      <c r="H534" s="18">
        <v>1016.08</v>
      </c>
      <c r="I534" s="18"/>
      <c r="J534" s="18"/>
      <c r="K534" s="18"/>
      <c r="L534" s="88">
        <f>SUM(F534:K534)</f>
        <v>1016.08</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5080.37</v>
      </c>
      <c r="I535" s="89">
        <f t="shared" si="38"/>
        <v>0</v>
      </c>
      <c r="J535" s="89">
        <f t="shared" si="38"/>
        <v>0</v>
      </c>
      <c r="K535" s="89">
        <f t="shared" si="38"/>
        <v>0</v>
      </c>
      <c r="L535" s="89">
        <f t="shared" si="38"/>
        <v>5080.37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35550.089999999997</v>
      </c>
      <c r="I546" s="89">
        <f t="shared" si="41"/>
        <v>0</v>
      </c>
      <c r="J546" s="89">
        <f t="shared" si="41"/>
        <v>0</v>
      </c>
      <c r="K546" s="89">
        <f t="shared" si="41"/>
        <v>0</v>
      </c>
      <c r="L546" s="89">
        <f t="shared" si="41"/>
        <v>35550.089999999997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24673.01</v>
      </c>
      <c r="G550" s="87">
        <f>L527</f>
        <v>5796.71</v>
      </c>
      <c r="H550" s="87">
        <f>L532</f>
        <v>3454.65</v>
      </c>
      <c r="I550" s="87">
        <f>L537</f>
        <v>0</v>
      </c>
      <c r="J550" s="87">
        <f>L542</f>
        <v>0</v>
      </c>
      <c r="K550" s="87">
        <f>SUM(F550:J550)</f>
        <v>33924.369999999995</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609.64</v>
      </c>
      <c r="I551" s="87">
        <f>L538</f>
        <v>0</v>
      </c>
      <c r="J551" s="87">
        <f>L543</f>
        <v>0</v>
      </c>
      <c r="K551" s="87">
        <f>SUM(F551:J551)</f>
        <v>609.64</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1016.08</v>
      </c>
      <c r="I552" s="87">
        <f>L539</f>
        <v>0</v>
      </c>
      <c r="J552" s="87">
        <f>L544</f>
        <v>0</v>
      </c>
      <c r="K552" s="87">
        <f>SUM(F552:J552)</f>
        <v>1016.08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24673.01</v>
      </c>
      <c r="G553" s="89">
        <f t="shared" si="42"/>
        <v>5796.71</v>
      </c>
      <c r="H553" s="89">
        <f t="shared" si="42"/>
        <v>5080.37</v>
      </c>
      <c r="I553" s="89">
        <f t="shared" si="42"/>
        <v>0</v>
      </c>
      <c r="J553" s="89">
        <f t="shared" si="42"/>
        <v>0</v>
      </c>
      <c r="K553" s="89">
        <f t="shared" si="42"/>
        <v>35550.089999999997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444869</v>
      </c>
      <c r="G576" s="18">
        <v>193901</v>
      </c>
      <c r="H576" s="18">
        <v>146210</v>
      </c>
      <c r="I576" s="87">
        <f>SUM(F576:H576)</f>
        <v>784980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18304.400000000001</v>
      </c>
      <c r="G583" s="18"/>
      <c r="H583" s="18"/>
      <c r="I583" s="87">
        <f t="shared" si="47"/>
        <v>18304.400000000001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100860.99</v>
      </c>
      <c r="I592" s="18">
        <v>17799</v>
      </c>
      <c r="J592" s="18">
        <v>29665</v>
      </c>
      <c r="K592" s="104">
        <f t="shared" ref="K592:K598" si="48">SUM(H592:J592)</f>
        <v>148324.99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100860.99</v>
      </c>
      <c r="I599" s="108">
        <f>SUM(I592:I598)</f>
        <v>17799</v>
      </c>
      <c r="J599" s="108">
        <f>SUM(J592:J598)</f>
        <v>29665</v>
      </c>
      <c r="K599" s="108">
        <f>SUM(K592:K598)</f>
        <v>148324.99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60173.2</v>
      </c>
      <c r="I605" s="18">
        <v>10618.8</v>
      </c>
      <c r="J605" s="18">
        <v>17698</v>
      </c>
      <c r="K605" s="104">
        <f>SUM(H605:J605)</f>
        <v>88490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60173.2</v>
      </c>
      <c r="I606" s="108">
        <f>SUM(I603:I605)</f>
        <v>10618.8</v>
      </c>
      <c r="J606" s="108">
        <f>SUM(J603:J605)</f>
        <v>17698</v>
      </c>
      <c r="K606" s="108">
        <f>SUM(K603:K605)</f>
        <v>88490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63072.86</v>
      </c>
      <c r="H618" s="109">
        <f>SUM(F52)</f>
        <v>63072.86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173430.01</v>
      </c>
      <c r="H622" s="109">
        <f>SUM(J52)</f>
        <v>173430.01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28921.86</v>
      </c>
      <c r="H623" s="109">
        <f>F477</f>
        <v>28921.860000000102</v>
      </c>
      <c r="I623" s="121" t="s">
        <v>101</v>
      </c>
      <c r="J623" s="109">
        <f t="shared" ref="J623:J656" si="50">G623-H623</f>
        <v>-1.0186340659856796E-10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173430.01</v>
      </c>
      <c r="H627" s="109">
        <f>J477</f>
        <v>173430.01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1052842.96</v>
      </c>
      <c r="H628" s="104">
        <f>SUM(F469)</f>
        <v>1052842.96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73201.97</v>
      </c>
      <c r="H632" s="104">
        <f>SUM(J469)</f>
        <v>73201.97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1069949.45</v>
      </c>
      <c r="H633" s="104">
        <f>SUM(F473)</f>
        <v>1069949.45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73201.97</v>
      </c>
      <c r="H638" s="164">
        <f>SUM(J469)</f>
        <v>73201.97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88490</v>
      </c>
      <c r="H639" s="164">
        <f>SUM(J473)</f>
        <v>88490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37977.800000000003</v>
      </c>
      <c r="H640" s="104">
        <f>SUM(F462)</f>
        <v>37977.800000000003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135452.21</v>
      </c>
      <c r="H641" s="104">
        <f>SUM(G462)</f>
        <v>135452.21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173430.01</v>
      </c>
      <c r="H643" s="104">
        <f>SUM(I462)</f>
        <v>173430.01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201.97</v>
      </c>
      <c r="H645" s="104">
        <f>H409</f>
        <v>201.97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73000</v>
      </c>
      <c r="H646" s="104">
        <f>G409</f>
        <v>73000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73201.97</v>
      </c>
      <c r="H647" s="104">
        <f>L409</f>
        <v>73201.97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148324.99</v>
      </c>
      <c r="H648" s="104">
        <f>L209+L227+L245</f>
        <v>148324.99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88490</v>
      </c>
      <c r="H649" s="104">
        <f>(J258+J339)-(J256+J337)</f>
        <v>88490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100860.98999999999</v>
      </c>
      <c r="H650" s="104">
        <f>H599</f>
        <v>100860.99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17799</v>
      </c>
      <c r="H651" s="104">
        <f>I599</f>
        <v>17799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29665</v>
      </c>
      <c r="H652" s="104">
        <f>J599</f>
        <v>29665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73000</v>
      </c>
      <c r="H656" s="104">
        <f>K267+K348</f>
        <v>73000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598758.53</v>
      </c>
      <c r="G661" s="19">
        <f>(L230+L310+L360)</f>
        <v>215680.97</v>
      </c>
      <c r="H661" s="19">
        <f>(L248+L329+L361)</f>
        <v>182509.94999999998</v>
      </c>
      <c r="I661" s="19">
        <f>SUM(F661:H661)</f>
        <v>996949.45</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40687.789999999994</v>
      </c>
      <c r="G663" s="19">
        <f>(L227+L307)-(J227+J307)</f>
        <v>7180.2000000000007</v>
      </c>
      <c r="H663" s="19">
        <f>(L245+L326)-(J245+J326)</f>
        <v>11967</v>
      </c>
      <c r="I663" s="19">
        <f>SUM(F663:H663)</f>
        <v>59834.989999999991</v>
      </c>
      <c r="J663"/>
      <c r="K663" s="13"/>
      <c r="L663" s="13"/>
      <c r="M663" s="9"/>
    </row>
    <row r="664" spans="1:13" s="3" customFormat="1" ht="12.2" customHeight="1" x14ac:dyDescent="0.15">
      <c r="A664" s="197" t="s">
        <v>129</v>
      </c>
      <c r="B664" s="169"/>
      <c r="C664" s="169"/>
      <c r="D664" s="169"/>
      <c r="E664" s="169"/>
      <c r="F664" s="198">
        <f>SUM(F576:F588)+SUM(H603:H605)+SUM(L612)</f>
        <v>523346.60000000003</v>
      </c>
      <c r="G664" s="198">
        <f>SUM(G576:G588)+SUM(I603:I605)+L613</f>
        <v>204519.8</v>
      </c>
      <c r="H664" s="198">
        <f>SUM(H576:H588)+SUM(J603:J605)+L614</f>
        <v>163908</v>
      </c>
      <c r="I664" s="19">
        <f>SUM(F664:H664)</f>
        <v>891774.4</v>
      </c>
      <c r="J664" s="13"/>
      <c r="K664" s="13"/>
      <c r="L664" s="13"/>
      <c r="M664" s="9"/>
    </row>
    <row r="665" spans="1:13" s="3" customFormat="1" ht="12.2" customHeight="1" x14ac:dyDescent="0.15">
      <c r="A665" s="1" t="s">
        <v>130</v>
      </c>
      <c r="F665" s="19">
        <f>F661-SUM(F662:F664)</f>
        <v>34724.140000000014</v>
      </c>
      <c r="G665" s="19">
        <f>G661-SUM(G662:G664)</f>
        <v>3980.9700000000012</v>
      </c>
      <c r="H665" s="19">
        <f>H661-SUM(H662:H664)</f>
        <v>6634.9499999999825</v>
      </c>
      <c r="I665" s="19">
        <f>I661-SUM(I662:I664)</f>
        <v>45340.059999999939</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-34724.14</v>
      </c>
      <c r="G670" s="18">
        <v>-3980.97</v>
      </c>
      <c r="H670" s="18">
        <v>-6634.95</v>
      </c>
      <c r="I670" s="19">
        <f>SUM(F670:H670)</f>
        <v>-45340.06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7"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Eaton</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Eaton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Eaton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809653.01</v>
      </c>
      <c r="D5" s="20">
        <f>SUM('DOE25'!L198:L201)+SUM('DOE25'!L216:L219)+SUM('DOE25'!L234:L237)-F5-G5-H5</f>
        <v>809653.01</v>
      </c>
      <c r="E5" s="242"/>
      <c r="F5" s="243"/>
      <c r="G5" s="53">
        <f>SUM('DOE25'!J198:J201)+SUM('DOE25'!J216:J219)+SUM('DOE25'!J234:J237)</f>
        <v>0</v>
      </c>
      <c r="H5" s="53">
        <f>SUM('DOE25'!K198:K201)+SUM('DOE25'!K216:K219)+SUM('DOE25'!K234:K237)</f>
        <v>0</v>
      </c>
      <c r="I5" s="255"/>
    </row>
    <row r="6" spans="1:9" x14ac:dyDescent="0.2">
      <c r="A6" s="32">
        <v>2100</v>
      </c>
      <c r="B6" t="s">
        <v>796</v>
      </c>
      <c r="C6" s="274">
        <f t="shared" si="0"/>
        <v>5796.71</v>
      </c>
      <c r="D6" s="20">
        <f>'DOE25'!L203+'DOE25'!L221+'DOE25'!L239-F6-G6-H6</f>
        <v>5796.71</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21203.95</v>
      </c>
      <c r="D8" s="242"/>
      <c r="E8" s="20">
        <f>'DOE25'!L205+'DOE25'!L223+'DOE25'!L241-F8-G8-H8-D9-D11</f>
        <v>21203.95</v>
      </c>
      <c r="F8" s="243"/>
      <c r="G8" s="53">
        <f>'DOE25'!J205+'DOE25'!J223+'DOE25'!J241</f>
        <v>0</v>
      </c>
      <c r="H8" s="53">
        <f>'DOE25'!K205+'DOE25'!K223+'DOE25'!K241</f>
        <v>0</v>
      </c>
      <c r="I8" s="255"/>
    </row>
    <row r="9" spans="1:9" ht="14.25" x14ac:dyDescent="0.2">
      <c r="A9" s="32">
        <v>2310</v>
      </c>
      <c r="B9" s="184" t="s">
        <v>888</v>
      </c>
      <c r="C9" s="274">
        <f t="shared" si="0"/>
        <v>3077.02</v>
      </c>
      <c r="D9" s="243">
        <v>3077.02</v>
      </c>
      <c r="E9" s="242"/>
      <c r="F9" s="252"/>
      <c r="G9" s="252"/>
      <c r="H9" s="252"/>
      <c r="I9" s="255"/>
    </row>
    <row r="10" spans="1:9" ht="14.25" x14ac:dyDescent="0.2">
      <c r="A10" s="32">
        <v>2317</v>
      </c>
      <c r="B10" s="184" t="s">
        <v>889</v>
      </c>
      <c r="C10" s="274">
        <f t="shared" si="0"/>
        <v>3000</v>
      </c>
      <c r="D10" s="242"/>
      <c r="E10" s="243">
        <v>3000</v>
      </c>
      <c r="F10" s="252"/>
      <c r="G10" s="252"/>
      <c r="H10" s="252"/>
      <c r="I10" s="255"/>
    </row>
    <row r="11" spans="1:9" ht="14.25" x14ac:dyDescent="0.2">
      <c r="A11" s="32">
        <v>2321</v>
      </c>
      <c r="B11" s="184" t="s">
        <v>890</v>
      </c>
      <c r="C11" s="274">
        <f t="shared" si="0"/>
        <v>8866.0400000000009</v>
      </c>
      <c r="D11" s="243">
        <v>8866.0400000000009</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148324.99</v>
      </c>
      <c r="D15" s="20">
        <f>'DOE25'!L209+'DOE25'!L227+'DOE25'!L245-F15-G15-H15</f>
        <v>59834.989999999991</v>
      </c>
      <c r="E15" s="242"/>
      <c r="F15" s="243"/>
      <c r="G15" s="53">
        <f>'DOE25'!J209+'DOE25'!J227+'DOE25'!J245</f>
        <v>88490</v>
      </c>
      <c r="H15" s="53">
        <f>'DOE25'!K209+'DOE25'!K227+'DOE25'!K245</f>
        <v>0</v>
      </c>
      <c r="I15" s="255"/>
    </row>
    <row r="16" spans="1:9" x14ac:dyDescent="0.2">
      <c r="A16" s="32">
        <v>2800</v>
      </c>
      <c r="B16" t="s">
        <v>800</v>
      </c>
      <c r="C16" s="274">
        <f t="shared" si="0"/>
        <v>27.73</v>
      </c>
      <c r="D16" s="242"/>
      <c r="E16" s="20">
        <f>'DOE25'!L210+'DOE25'!L228+'DOE25'!L246-F16-G16-H16</f>
        <v>27.73</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887227.77</v>
      </c>
      <c r="E33" s="244">
        <f t="shared" si="1"/>
        <v>24231.68</v>
      </c>
      <c r="F33" s="244">
        <f t="shared" si="1"/>
        <v>0</v>
      </c>
      <c r="G33" s="244">
        <f t="shared" si="1"/>
        <v>88490</v>
      </c>
      <c r="H33" s="244">
        <f t="shared" si="1"/>
        <v>0</v>
      </c>
      <c r="I33" s="244">
        <f t="shared" si="1"/>
        <v>0</v>
      </c>
    </row>
    <row r="35" spans="1:9" ht="12" thickBot="1" x14ac:dyDescent="0.25">
      <c r="B35" s="250" t="s">
        <v>831</v>
      </c>
      <c r="D35" s="251">
        <f>E33</f>
        <v>24231.68</v>
      </c>
      <c r="E35" s="247"/>
      <c r="F35" s="328" t="s">
        <v>1617</v>
      </c>
      <c r="G35" s="329"/>
      <c r="H35" s="329"/>
      <c r="I35" s="329"/>
    </row>
    <row r="36" spans="1:9" ht="12" thickTop="1" x14ac:dyDescent="0.2">
      <c r="B36" t="s">
        <v>810</v>
      </c>
      <c r="D36" s="20">
        <f>D33</f>
        <v>887227.77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3"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Eaton</v>
      </c>
      <c r="B2" s="126">
        <f>'DOE25'!B2</f>
        <v>159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598758.53</v>
      </c>
      <c r="G4" s="299">
        <f>'DOE25'!L212+'DOE25'!L291</f>
        <v>598758.53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598758.53</v>
      </c>
      <c r="E5" s="290"/>
      <c r="F5" s="303">
        <f>D5+E5</f>
        <v>598758.53</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598758.53</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215680.97</v>
      </c>
      <c r="G24" s="299">
        <f>'DOE25'!L230+'DOE25'!L310</f>
        <v>215680.97</v>
      </c>
      <c r="H24" s="340">
        <f>F24-G24</f>
        <v>0</v>
      </c>
      <c r="I24" s="383" t="str">
        <f>IF(H24=0,"","ISSUES!! Please review page 8 and 12 totals in comparison with total on this page")</f>
        <v/>
      </c>
      <c r="N24"/>
    </row>
    <row r="25" spans="1:14" x14ac:dyDescent="0.2">
      <c r="A25" s="126" t="s">
        <v>1548</v>
      </c>
      <c r="B25" s="300">
        <v>99999</v>
      </c>
      <c r="C25" s="293" t="s">
        <v>1548</v>
      </c>
      <c r="D25" s="290">
        <v>215680.97</v>
      </c>
      <c r="E25" s="290"/>
      <c r="F25" s="303">
        <f>D25+E25</f>
        <v>215680.97</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215680.97</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182509.95</v>
      </c>
      <c r="G36" s="299">
        <f>'DOE25'!L248+'DOE25'!L329</f>
        <v>182509.94999999998</v>
      </c>
      <c r="H36" s="340">
        <f>F36-G36</f>
        <v>0</v>
      </c>
      <c r="I36" s="383" t="str">
        <f>IF(H36=0,"","ISSUES!! Please review page 9 and 13 totals in comparison with total on this page")</f>
        <v/>
      </c>
      <c r="N36"/>
    </row>
    <row r="37" spans="1:14" x14ac:dyDescent="0.2">
      <c r="A37" s="126" t="s">
        <v>1548</v>
      </c>
      <c r="B37" s="300">
        <v>99999</v>
      </c>
      <c r="C37" s="293" t="s">
        <v>1548</v>
      </c>
      <c r="D37" s="290">
        <v>182509.95</v>
      </c>
      <c r="E37" s="290"/>
      <c r="F37" s="303">
        <f t="shared" ref="F37:F42" si="2">D37+E37</f>
        <v>182509.95</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182509.95</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91" zoomScale="80" zoomScaleNormal="80" workbookViewId="0">
      <selection activeCell="A164" sqref="A1:H1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Eaton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63072.86</v>
      </c>
      <c r="D8" s="95">
        <f>'DOE25'!G9</f>
        <v>0</v>
      </c>
      <c r="E8" s="95">
        <f>'DOE25'!H9</f>
        <v>0</v>
      </c>
      <c r="F8" s="95">
        <f>'DOE25'!I9</f>
        <v>0</v>
      </c>
      <c r="G8" s="95">
        <f>'DOE25'!J9</f>
        <v>173430.01</v>
      </c>
      <c r="H8" s="124">
        <f>SUM(C8:G8)</f>
        <v>236502.87</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63072.86</v>
      </c>
      <c r="D18" s="41">
        <f>SUM(D8:D17)</f>
        <v>0</v>
      </c>
      <c r="E18" s="41">
        <f>SUM(E8:E17)</f>
        <v>0</v>
      </c>
      <c r="F18" s="41">
        <f>SUM(F8:F17)</f>
        <v>0</v>
      </c>
      <c r="G18" s="41">
        <f>SUM(G8:G17)</f>
        <v>173430.01</v>
      </c>
      <c r="H18" s="41">
        <f t="shared" si="0"/>
        <v>236502.87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9151</v>
      </c>
      <c r="D23" s="95">
        <f>'DOE25'!G24</f>
        <v>0</v>
      </c>
      <c r="E23" s="95">
        <f>'DOE25'!H24</f>
        <v>0</v>
      </c>
      <c r="F23" s="95">
        <f>'DOE25'!I24</f>
        <v>0</v>
      </c>
      <c r="G23" s="95">
        <f>'DOE25'!J24</f>
        <v>0</v>
      </c>
      <c r="H23" s="124">
        <f t="shared" si="1"/>
        <v>9151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25000</v>
      </c>
      <c r="D29" s="95">
        <f>'DOE25'!G30</f>
        <v>0</v>
      </c>
      <c r="E29" s="95">
        <f>'DOE25'!H30</f>
        <v>0</v>
      </c>
      <c r="F29" s="95">
        <f>'DOE25'!I30</f>
        <v>0</v>
      </c>
      <c r="G29" s="24" t="s">
        <v>288</v>
      </c>
      <c r="H29" s="124">
        <f t="shared" si="1"/>
        <v>25000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34151</v>
      </c>
      <c r="D31" s="41">
        <f>SUM(D21:D30)</f>
        <v>0</v>
      </c>
      <c r="E31" s="41">
        <f>SUM(E21:E30)</f>
        <v>0</v>
      </c>
      <c r="F31" s="41">
        <f>SUM(F21:F30)</f>
        <v>0</v>
      </c>
      <c r="G31" s="41">
        <f>SUM(G21:G30)</f>
        <v>0</v>
      </c>
      <c r="H31" s="41">
        <f t="shared" si="1"/>
        <v>34151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22186</v>
      </c>
      <c r="D45" s="24" t="s">
        <v>288</v>
      </c>
      <c r="E45" s="24" t="s">
        <v>288</v>
      </c>
      <c r="F45" s="24" t="s">
        <v>288</v>
      </c>
      <c r="G45" s="24" t="s">
        <v>288</v>
      </c>
      <c r="H45" s="124">
        <f t="shared" si="2"/>
        <v>22186</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173430.01</v>
      </c>
      <c r="H47" s="124">
        <f t="shared" si="2"/>
        <v>173430.01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6735.86</v>
      </c>
      <c r="D49" s="24" t="s">
        <v>288</v>
      </c>
      <c r="E49" s="24" t="s">
        <v>288</v>
      </c>
      <c r="F49" s="24" t="s">
        <v>288</v>
      </c>
      <c r="G49" s="24" t="s">
        <v>288</v>
      </c>
      <c r="H49" s="124">
        <f t="shared" si="2"/>
        <v>6735.86</v>
      </c>
      <c r="I49" s="124"/>
    </row>
    <row r="50" spans="1:9" ht="12.75" thickTop="1" thickBot="1" x14ac:dyDescent="0.25">
      <c r="A50" s="38" t="s">
        <v>884</v>
      </c>
      <c r="B50" s="48"/>
      <c r="C50" s="41">
        <f>SUM(C34:C49)</f>
        <v>28921.86</v>
      </c>
      <c r="D50" s="41">
        <f>SUM(D34:D49)</f>
        <v>0</v>
      </c>
      <c r="E50" s="41">
        <f>SUM(E34:E49)</f>
        <v>0</v>
      </c>
      <c r="F50" s="41">
        <f>SUM(F34:F49)</f>
        <v>0</v>
      </c>
      <c r="G50" s="41">
        <f>SUM(G34:G49)</f>
        <v>173430.01</v>
      </c>
      <c r="H50" s="41">
        <f t="shared" si="2"/>
        <v>202351.87</v>
      </c>
      <c r="I50" s="124"/>
    </row>
    <row r="51" spans="1:9" ht="12" thickTop="1" x14ac:dyDescent="0.2">
      <c r="A51" s="38" t="s">
        <v>885</v>
      </c>
      <c r="B51" s="2"/>
      <c r="C51" s="41">
        <f>C50+C31</f>
        <v>63072.86</v>
      </c>
      <c r="D51" s="41">
        <f>D50+D31</f>
        <v>0</v>
      </c>
      <c r="E51" s="41">
        <f>E50+E31</f>
        <v>0</v>
      </c>
      <c r="F51" s="41">
        <f>F50+F31</f>
        <v>0</v>
      </c>
      <c r="G51" s="41">
        <f>G50+G31</f>
        <v>173430.01</v>
      </c>
      <c r="H51" s="41">
        <f t="shared" si="2"/>
        <v>236502.87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680685</v>
      </c>
      <c r="D56" s="95">
        <f>'DOE25'!G60</f>
        <v>0</v>
      </c>
      <c r="E56" s="95">
        <f>'DOE25'!H60</f>
        <v>0</v>
      </c>
      <c r="F56" s="95">
        <f>'DOE25'!I60</f>
        <v>0</v>
      </c>
      <c r="G56" s="95">
        <f>'DOE25'!J60</f>
        <v>0</v>
      </c>
      <c r="H56" s="124">
        <f t="shared" ref="H56:H63" si="3">SUM(C56:G56)</f>
        <v>680685</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200.86</v>
      </c>
      <c r="D59" s="95">
        <f>'DOE25'!G96</f>
        <v>0</v>
      </c>
      <c r="E59" s="95">
        <f>'DOE25'!H96</f>
        <v>0</v>
      </c>
      <c r="F59" s="95">
        <f>'DOE25'!I96</f>
        <v>0</v>
      </c>
      <c r="G59" s="95">
        <f>'DOE25'!J96</f>
        <v>201.97</v>
      </c>
      <c r="H59" s="124">
        <f t="shared" si="3"/>
        <v>402.83000000000004</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3080.1</v>
      </c>
      <c r="D61" s="95">
        <f>SUM('DOE25'!G98:G110)</f>
        <v>0</v>
      </c>
      <c r="E61" s="95">
        <f>SUM('DOE25'!H98:H110)</f>
        <v>0</v>
      </c>
      <c r="F61" s="95">
        <f>SUM('DOE25'!I98:I110)</f>
        <v>0</v>
      </c>
      <c r="G61" s="95">
        <f>SUM('DOE25'!J98:J110)</f>
        <v>0</v>
      </c>
      <c r="H61" s="124">
        <f t="shared" si="3"/>
        <v>3080.1</v>
      </c>
      <c r="I61"/>
    </row>
    <row r="62" spans="1:9" ht="12.75" thickTop="1" thickBot="1" x14ac:dyDescent="0.25">
      <c r="A62" s="29" t="s">
        <v>174</v>
      </c>
      <c r="B62" s="6"/>
      <c r="C62" s="130">
        <f>SUM(C57:C61)</f>
        <v>3280.96</v>
      </c>
      <c r="D62" s="130">
        <f>SUM(D57:D61)</f>
        <v>0</v>
      </c>
      <c r="E62" s="130">
        <f>SUM(E57:E61)</f>
        <v>0</v>
      </c>
      <c r="F62" s="130">
        <f>SUM(F57:F61)</f>
        <v>0</v>
      </c>
      <c r="G62" s="130">
        <f>SUM(G57:G61)</f>
        <v>201.97</v>
      </c>
      <c r="H62" s="124">
        <f t="shared" si="3"/>
        <v>3482.93</v>
      </c>
      <c r="I62"/>
    </row>
    <row r="63" spans="1:9" ht="12" thickTop="1" x14ac:dyDescent="0.2">
      <c r="A63" s="29" t="s">
        <v>175</v>
      </c>
      <c r="B63" s="6"/>
      <c r="C63" s="22">
        <f>C56+C62</f>
        <v>683965.96</v>
      </c>
      <c r="D63" s="22">
        <f>D56+D62</f>
        <v>0</v>
      </c>
      <c r="E63" s="22">
        <f>E56+E62</f>
        <v>0</v>
      </c>
      <c r="F63" s="22">
        <f>F56+F62</f>
        <v>0</v>
      </c>
      <c r="G63" s="22">
        <f>G56+G62</f>
        <v>201.97</v>
      </c>
      <c r="H63" s="124">
        <f t="shared" si="3"/>
        <v>684167.92999999993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206754</v>
      </c>
      <c r="D67" s="24"/>
      <c r="E67" s="24"/>
      <c r="F67" s="24"/>
      <c r="G67" s="24"/>
      <c r="H67" s="124">
        <f t="shared" si="4"/>
        <v>206754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206754</v>
      </c>
      <c r="D70" s="139">
        <f>D69</f>
        <v>0</v>
      </c>
      <c r="E70" s="139">
        <f>E69</f>
        <v>0</v>
      </c>
      <c r="F70" s="139">
        <f>F69</f>
        <v>0</v>
      </c>
      <c r="G70" s="139">
        <f>G69</f>
        <v>0</v>
      </c>
      <c r="H70" s="124">
        <f t="shared" si="4"/>
        <v>206754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206754</v>
      </c>
      <c r="D81" s="130">
        <f>SUM(D79:D80)+D78+D70</f>
        <v>0</v>
      </c>
      <c r="E81" s="130">
        <f>SUM(E79:E80)+E78+E70</f>
        <v>0</v>
      </c>
      <c r="F81" s="130">
        <f>SUM(F79:F80)+F78+F70</f>
        <v>0</v>
      </c>
      <c r="G81" s="130">
        <f>SUM(G79:G80)+G78+G70</f>
        <v>0</v>
      </c>
      <c r="H81" s="130">
        <f t="shared" si="4"/>
        <v>206754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184.06</v>
      </c>
      <c r="D88" s="326">
        <f>SUM('DOE25'!G153:G162)</f>
        <v>0</v>
      </c>
      <c r="E88" s="326">
        <f>SUM('DOE25'!H153:H162)</f>
        <v>0</v>
      </c>
      <c r="F88" s="326">
        <f>SUM('DOE25'!I153:I162)</f>
        <v>0</v>
      </c>
      <c r="G88" s="24" t="s">
        <v>288</v>
      </c>
      <c r="H88" s="124">
        <f t="shared" si="5"/>
        <v>184.06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184.06</v>
      </c>
      <c r="D91" s="131">
        <f>SUM(D85:D90)</f>
        <v>0</v>
      </c>
      <c r="E91" s="131">
        <f>SUM(E85:E90)</f>
        <v>0</v>
      </c>
      <c r="F91" s="131">
        <f>SUM(F85:F90)</f>
        <v>0</v>
      </c>
      <c r="G91" s="24" t="s">
        <v>288</v>
      </c>
      <c r="H91" s="124">
        <f t="shared" si="5"/>
        <v>184.06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73000</v>
      </c>
      <c r="H96" s="124">
        <f t="shared" si="5"/>
        <v>73000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88490</v>
      </c>
      <c r="D99" s="95">
        <f>'DOE25'!G186</f>
        <v>0</v>
      </c>
      <c r="E99" s="95">
        <f>'DOE25'!H186</f>
        <v>0</v>
      </c>
      <c r="F99" s="95">
        <f>'DOE25'!I186</f>
        <v>0</v>
      </c>
      <c r="G99" s="24" t="s">
        <v>288</v>
      </c>
      <c r="H99" s="124">
        <f t="shared" si="5"/>
        <v>88490</v>
      </c>
    </row>
    <row r="100" spans="1:8" x14ac:dyDescent="0.2">
      <c r="A100" t="s">
        <v>757</v>
      </c>
      <c r="B100" s="32" t="s">
        <v>190</v>
      </c>
      <c r="C100" s="95">
        <f>SUM('DOE25'!F187:F188)</f>
        <v>73448.94</v>
      </c>
      <c r="D100" s="95">
        <f>SUM('DOE25'!G187:G188)</f>
        <v>0</v>
      </c>
      <c r="E100" s="95">
        <f>SUM('DOE25'!H187:H188)</f>
        <v>0</v>
      </c>
      <c r="F100" s="95">
        <f>SUM('DOE25'!I187:I188)</f>
        <v>0</v>
      </c>
      <c r="G100" s="24" t="s">
        <v>288</v>
      </c>
      <c r="H100" s="124">
        <f t="shared" si="5"/>
        <v>73448.94</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161938.94</v>
      </c>
      <c r="D103" s="86">
        <f>SUM(D93:D102)</f>
        <v>0</v>
      </c>
      <c r="E103" s="86">
        <f>SUM(E93:E102)</f>
        <v>0</v>
      </c>
      <c r="F103" s="86">
        <f>SUM(F93:F102)</f>
        <v>0</v>
      </c>
      <c r="G103" s="86">
        <f>SUM(G93:G102)</f>
        <v>73000</v>
      </c>
      <c r="H103" s="86">
        <f t="shared" si="5"/>
        <v>234938.94</v>
      </c>
    </row>
    <row r="104" spans="1:8" ht="12.75" thickTop="1" thickBot="1" x14ac:dyDescent="0.25">
      <c r="A104" s="33" t="s">
        <v>761</v>
      </c>
      <c r="C104" s="86">
        <f>C63+C81+C91+C103</f>
        <v>1052842.96</v>
      </c>
      <c r="D104" s="86">
        <f>D63+D81+D91+D103</f>
        <v>0</v>
      </c>
      <c r="E104" s="86">
        <f>E63+E81+E91+E103</f>
        <v>0</v>
      </c>
      <c r="F104" s="86">
        <f>F63+F81+F91+F103</f>
        <v>0</v>
      </c>
      <c r="G104" s="86">
        <f>G63+G81+G103</f>
        <v>73201.97</v>
      </c>
      <c r="H104" s="86">
        <f t="shared" si="5"/>
        <v>1126044.93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784980</v>
      </c>
      <c r="D109" s="24" t="s">
        <v>288</v>
      </c>
      <c r="E109" s="95">
        <f>('DOE25'!L277)+('DOE25'!L296)+('DOE25'!L315)</f>
        <v>0</v>
      </c>
      <c r="F109" s="24" t="s">
        <v>288</v>
      </c>
      <c r="G109" s="24" t="s">
        <v>288</v>
      </c>
      <c r="H109" s="124">
        <f t="shared" ref="H109:H115" si="6">SUM(C109:G109)</f>
        <v>784980</v>
      </c>
    </row>
    <row r="110" spans="1:8" x14ac:dyDescent="0.2">
      <c r="A110" t="s">
        <v>198</v>
      </c>
      <c r="B110" s="32" t="s">
        <v>199</v>
      </c>
      <c r="C110" s="95">
        <f>('DOE25'!L199)+('DOE25'!L217)+('DOE25'!L235)</f>
        <v>24673.01</v>
      </c>
      <c r="D110" s="24" t="s">
        <v>288</v>
      </c>
      <c r="E110" s="95">
        <f>('DOE25'!L278)+('DOE25'!L297)+('DOE25'!L316)</f>
        <v>0</v>
      </c>
      <c r="F110" s="24" t="s">
        <v>288</v>
      </c>
      <c r="G110" s="24" t="s">
        <v>288</v>
      </c>
      <c r="H110" s="124">
        <f t="shared" si="6"/>
        <v>24673.01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809653.01</v>
      </c>
      <c r="D115" s="86">
        <f>SUM(D109:D114)</f>
        <v>0</v>
      </c>
      <c r="E115" s="86">
        <f>SUM(E109:E114)</f>
        <v>0</v>
      </c>
      <c r="F115" s="86">
        <f>SUM(F109:F114)</f>
        <v>0</v>
      </c>
      <c r="G115" s="86">
        <f>SUM(G109:G114)</f>
        <v>0</v>
      </c>
      <c r="H115" s="86">
        <f t="shared" si="6"/>
        <v>809653.01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5796.71</v>
      </c>
      <c r="D118" s="24" t="s">
        <v>288</v>
      </c>
      <c r="E118" s="95">
        <f>+('DOE25'!L282)+('DOE25'!L301)+('DOE25'!L320)</f>
        <v>0</v>
      </c>
      <c r="F118" s="24" t="s">
        <v>288</v>
      </c>
      <c r="G118" s="24" t="s">
        <v>288</v>
      </c>
      <c r="H118" s="124">
        <f t="shared" ref="H118:H145" si="7">SUM(C118:G118)</f>
        <v>5796.71</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33147.01</v>
      </c>
      <c r="D120" s="24" t="s">
        <v>288</v>
      </c>
      <c r="E120" s="95">
        <f>+('DOE25'!L284)+('DOE25'!L303)+('DOE25'!L322)</f>
        <v>0</v>
      </c>
      <c r="F120" s="24" t="s">
        <v>288</v>
      </c>
      <c r="G120" s="24" t="s">
        <v>288</v>
      </c>
      <c r="H120" s="124">
        <f t="shared" si="7"/>
        <v>33147.01</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148324.99</v>
      </c>
      <c r="D124" s="24" t="s">
        <v>288</v>
      </c>
      <c r="E124" s="95">
        <f>+('DOE25'!L288)+('DOE25'!L307)+('DOE25'!L326)</f>
        <v>0</v>
      </c>
      <c r="F124" s="24" t="s">
        <v>288</v>
      </c>
      <c r="G124" s="24" t="s">
        <v>288</v>
      </c>
      <c r="H124" s="124">
        <f t="shared" si="7"/>
        <v>148324.99</v>
      </c>
    </row>
    <row r="125" spans="1:8" x14ac:dyDescent="0.2">
      <c r="A125" t="s">
        <v>220</v>
      </c>
      <c r="B125" s="32" t="s">
        <v>221</v>
      </c>
      <c r="C125" s="95">
        <f>('DOE25'!L210)+('DOE25'!L228)+('DOE25'!L246)</f>
        <v>27.73</v>
      </c>
      <c r="D125" s="24" t="s">
        <v>288</v>
      </c>
      <c r="E125" s="95">
        <f>+('DOE25'!L289)+('DOE25'!L308)+('DOE25'!L327)</f>
        <v>0</v>
      </c>
      <c r="F125" s="24" t="s">
        <v>288</v>
      </c>
      <c r="G125" s="24" t="s">
        <v>288</v>
      </c>
      <c r="H125" s="124">
        <f t="shared" si="7"/>
        <v>27.73</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187296.44</v>
      </c>
      <c r="D128" s="86">
        <f>SUM(D118:D127)</f>
        <v>0</v>
      </c>
      <c r="E128" s="86">
        <f>SUM(E118:E127)</f>
        <v>0</v>
      </c>
      <c r="F128" s="86">
        <f>SUM(F118:F127)</f>
        <v>0</v>
      </c>
      <c r="G128" s="86">
        <f>SUM(G118:G127)</f>
        <v>0</v>
      </c>
      <c r="H128" s="86">
        <f t="shared" si="7"/>
        <v>187296.44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88490</v>
      </c>
      <c r="H134" s="124">
        <f t="shared" si="7"/>
        <v>88490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43054.66</v>
      </c>
      <c r="D138" s="24" t="s">
        <v>288</v>
      </c>
      <c r="E138" s="24" t="s">
        <v>288</v>
      </c>
      <c r="F138" s="24" t="s">
        <v>288</v>
      </c>
      <c r="G138" s="24" t="s">
        <v>288</v>
      </c>
      <c r="H138" s="124">
        <f t="shared" si="7"/>
        <v>43054.66</v>
      </c>
    </row>
    <row r="139" spans="1:8" x14ac:dyDescent="0.2">
      <c r="A139" t="s">
        <v>239</v>
      </c>
      <c r="B139" s="32">
        <v>5252</v>
      </c>
      <c r="C139" s="95">
        <f>'DOE25'!L402</f>
        <v>30147.31</v>
      </c>
      <c r="D139" s="24" t="s">
        <v>288</v>
      </c>
      <c r="E139" s="24" t="s">
        <v>288</v>
      </c>
      <c r="F139" s="24" t="s">
        <v>288</v>
      </c>
      <c r="G139" s="24" t="s">
        <v>288</v>
      </c>
      <c r="H139" s="124">
        <f t="shared" si="7"/>
        <v>30147.31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-201.97000000000116</v>
      </c>
      <c r="D141" s="24" t="s">
        <v>288</v>
      </c>
      <c r="E141" s="24" t="s">
        <v>288</v>
      </c>
      <c r="F141" s="24" t="s">
        <v>288</v>
      </c>
      <c r="G141" s="24" t="s">
        <v>288</v>
      </c>
      <c r="H141" s="124">
        <f t="shared" si="7"/>
        <v>-201.97000000000116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73000</v>
      </c>
      <c r="D144" s="141">
        <f>SUM(D130:D143)</f>
        <v>0</v>
      </c>
      <c r="E144" s="141">
        <f>SUM(E130:E143)</f>
        <v>0</v>
      </c>
      <c r="F144" s="141">
        <f>SUM(F130:F143)</f>
        <v>0</v>
      </c>
      <c r="G144" s="141">
        <f>SUM(G130:G143)</f>
        <v>88490</v>
      </c>
      <c r="H144" s="141">
        <f t="shared" si="7"/>
        <v>161490</v>
      </c>
    </row>
    <row r="145" spans="1:9" ht="12.75" thickTop="1" thickBot="1" x14ac:dyDescent="0.25">
      <c r="A145" s="33" t="s">
        <v>244</v>
      </c>
      <c r="C145" s="86">
        <f>(C115+C128+C144)</f>
        <v>1069949.45</v>
      </c>
      <c r="D145" s="86">
        <f>(D115+D128+D144)</f>
        <v>0</v>
      </c>
      <c r="E145" s="86">
        <f>(E115+E128+E144)</f>
        <v>0</v>
      </c>
      <c r="F145" s="86">
        <f>(F115+F128+F144)</f>
        <v>0</v>
      </c>
      <c r="G145" s="86">
        <f>(G115+G128+G144)</f>
        <v>88490</v>
      </c>
      <c r="H145" s="86">
        <f t="shared" si="7"/>
        <v>1158439.45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7"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Eaton</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784980</v>
      </c>
      <c r="D10" s="181">
        <f>ROUND((C10/$C$28)*100,1)</f>
        <v>78.7</v>
      </c>
    </row>
    <row r="11" spans="1:4" x14ac:dyDescent="0.2">
      <c r="A11">
        <v>1200</v>
      </c>
      <c r="B11" t="s">
        <v>703</v>
      </c>
      <c r="C11" s="178">
        <f>ROUND('DOE25'!L199+'DOE25'!L217+'DOE25'!L235+'DOE25'!L278+'DOE25'!L297+'DOE25'!L316,0)</f>
        <v>24673</v>
      </c>
      <c r="D11" s="181">
        <f>ROUND((C11/$C$28)*100,1)</f>
        <v>2.5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5797</v>
      </c>
      <c r="D15" s="181">
        <f t="shared" ref="D15:D27" si="0">ROUND((C15/$C$28)*100,1)</f>
        <v>0.6</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33175</v>
      </c>
      <c r="D17" s="181">
        <f t="shared" si="0"/>
        <v>3.3</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148325</v>
      </c>
      <c r="D21" s="181">
        <f t="shared" si="0"/>
        <v>14.9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996950</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996950</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680685</v>
      </c>
      <c r="D35" s="181">
        <f t="shared" ref="D35:D40" si="1">ROUND((C35/$C$41)*100,1)</f>
        <v>76.400000000000006</v>
      </c>
    </row>
    <row r="36" spans="1:4" x14ac:dyDescent="0.2">
      <c r="B36" s="184" t="s">
        <v>739</v>
      </c>
      <c r="C36" s="178">
        <f>SUM('DOE25'!F112:J112)-SUM('DOE25'!G97:G110)+('DOE25'!F175+'DOE25'!F176+'DOE25'!I175+'DOE25'!I176)-C35</f>
        <v>3482.9299999999348</v>
      </c>
      <c r="D36" s="181">
        <f t="shared" si="1"/>
        <v>0.4</v>
      </c>
    </row>
    <row r="37" spans="1:4" x14ac:dyDescent="0.2">
      <c r="A37" s="182" t="s">
        <v>835</v>
      </c>
      <c r="B37" s="184" t="s">
        <v>728</v>
      </c>
      <c r="C37" s="178">
        <f>ROUND('DOE25'!F117+'DOE25'!F118,0)</f>
        <v>206754</v>
      </c>
      <c r="D37" s="181">
        <f t="shared" si="1"/>
        <v>23.2</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184</v>
      </c>
      <c r="D39" s="181">
        <f t="shared" si="1"/>
        <v>0</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891105.92999999993</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Eaton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2022-08-24T14:25:46Z</cp:lastPrinted>
  <dcterms:created xsi:type="dcterms:W3CDTF">1997-12-04T19:04:30Z</dcterms:created>
  <dcterms:modified xsi:type="dcterms:W3CDTF">2022-09-22T14:34:44Z</dcterms:modified>
</cp:coreProperties>
</file>