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06BFE28D-D208-49E6-8C5E-B4EE293CC615}"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9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78"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G36" i="13" l="1"/>
  <c r="G29" i="13"/>
  <c r="B22" i="12" l="1"/>
  <c r="B5" i="14" l="1"/>
  <c r="C5" i="14" s="1"/>
  <c r="F88" i="2" l="1"/>
  <c r="E88" i="2"/>
  <c r="D88" i="2"/>
  <c r="C88" i="2"/>
  <c r="I163" i="1"/>
  <c r="H163" i="1"/>
  <c r="G163" i="1"/>
  <c r="F163" i="1"/>
  <c r="B31" i="16" l="1"/>
  <c r="B27" i="16"/>
  <c r="B9" i="16"/>
  <c r="B5" i="16"/>
  <c r="F42" i="14" l="1"/>
  <c r="F38" i="14" l="1"/>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F24" i="14" l="1"/>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I409" i="1" l="1"/>
  <c r="C110" i="2"/>
  <c r="C12" i="10"/>
  <c r="E121" i="2"/>
  <c r="H477" i="1"/>
  <c r="H625" i="1" s="1"/>
  <c r="J625" i="1" s="1"/>
  <c r="C120" i="2"/>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E5" i="14" s="1"/>
  <c r="H624" i="1"/>
  <c r="J624" i="1" s="1"/>
  <c r="B33" i="16"/>
  <c r="L615" i="1"/>
  <c r="K599" i="1"/>
  <c r="G648" i="1" s="1"/>
  <c r="K572" i="1"/>
  <c r="L571" i="1"/>
  <c r="H572" i="1"/>
  <c r="L566" i="1"/>
  <c r="I572" i="1"/>
  <c r="K546" i="1"/>
  <c r="H52" i="1"/>
  <c r="H620" i="1" s="1"/>
  <c r="J620" i="1" s="1"/>
  <c r="C114" i="2"/>
  <c r="G112" i="1"/>
  <c r="B10" i="16" s="1"/>
  <c r="E118" i="2"/>
  <c r="E128" i="2" s="1"/>
  <c r="L248" i="1"/>
  <c r="D37" i="14" s="1"/>
  <c r="L212" i="1"/>
  <c r="D5" i="14" s="1"/>
  <c r="D21" i="14" s="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D43" i="14" l="1"/>
  <c r="F37" i="14"/>
  <c r="F36" i="14" s="1"/>
  <c r="L572" i="1"/>
  <c r="E21" i="14"/>
  <c r="F5" i="14"/>
  <c r="F4" i="14" s="1"/>
  <c r="F661" i="1"/>
  <c r="F665" i="1" s="1"/>
  <c r="F668" i="1" s="1"/>
  <c r="E115" i="2"/>
  <c r="C81" i="2"/>
  <c r="H661" i="1"/>
  <c r="H665" i="1" s="1"/>
  <c r="H668" i="1" s="1"/>
  <c r="H194" i="1"/>
  <c r="G630" i="1" s="1"/>
  <c r="J630" i="1" s="1"/>
  <c r="H649" i="1"/>
  <c r="C141" i="2"/>
  <c r="C144" i="2" s="1"/>
  <c r="F51" i="2"/>
  <c r="G36" i="14"/>
  <c r="H36" i="14" s="1"/>
  <c r="I36" i="14" s="1"/>
  <c r="E145" i="2"/>
  <c r="E104" i="2"/>
  <c r="C36" i="10"/>
  <c r="L435" i="1"/>
  <c r="G639" i="1" s="1"/>
  <c r="J639" i="1" s="1"/>
  <c r="I662" i="1"/>
  <c r="G104" i="2"/>
  <c r="L339" i="1"/>
  <c r="L353" i="1" s="1"/>
  <c r="G634" i="1" s="1"/>
  <c r="J634" i="1" s="1"/>
  <c r="J649" i="1"/>
  <c r="I194" i="1"/>
  <c r="G631" i="1" s="1"/>
  <c r="J631" i="1" s="1"/>
  <c r="G636" i="1"/>
  <c r="J636" i="1" s="1"/>
  <c r="G51" i="2"/>
  <c r="D104" i="2"/>
  <c r="L409" i="1"/>
  <c r="C27" i="10"/>
  <c r="H673" i="1"/>
  <c r="C6" i="10" s="1"/>
  <c r="G4" i="14"/>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4" i="14" l="1"/>
  <c r="I4" i="14"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<sst xmlns="http://schemas.openxmlformats.org/spreadsheetml/2006/main" count="6504" uniqueCount="1802">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</sst>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670" sqref="F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1781</v>
      </c>
      <c r="B2" s="126">
        <f>INDEX('School Tables'!$AH$3:$AH$208,MATCH('DOE25'!A2,'School Tables'!$AJ$3:$AJ$208,0))</f>
        <v>162</v>
      </c>
      <c r="C2" s="126">
        <f>INDEX('School Tables'!$AI$3:$AI$208,MATCH('DOE25'!A2,'School Tables'!$AJ$3:$AJ$208,0))</f>
        <v>162</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-12228.42</v>
      </c>
      <c r="G9" s="18"/>
      <c r="H9" s="18">
        <v>-918.2</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v>918.2</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-12228.42</v>
      </c>
      <c r="G19" s="41">
        <f>SUM(G9:G18)</f>
        <v>0</v>
      </c>
      <c r="H19" s="41">
        <f>SUM(H9:H18)</f>
        <v>0</v>
      </c>
      <c r="I19" s="41">
        <f>SUM(I9:I18)</f>
        <v>0</v>
      </c>
      <c r="J19" s="41">
        <f>SUM(J9:J18)</f>
        <v>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-12228.42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-12228.42</v>
      </c>
      <c r="G51" s="41">
        <f>SUM(G35:G50)</f>
        <v>0</v>
      </c>
      <c r="H51" s="41">
        <f>SUM(H35:H50)</f>
        <v>0</v>
      </c>
      <c r="I51" s="41">
        <f>SUM(I35:I50)</f>
        <v>0</v>
      </c>
      <c r="J51" s="41">
        <f>SUM(J35:J50)</f>
        <v>0</v>
      </c>
      <c r="K51" s="45" t="s">
        <v>288</v>
      </c>
      <c r="L51" s="45" t="s">
        <v>288</v>
      </c>
      <c r="N51" s="263"/>
    </row>
    <row r="52" spans="1:14" s="3" customFormat="1" ht="12.2" customHeight="1" thickTop="1" x14ac:dyDescent="0.15">
      <c r="A52" s="38" t="s">
        <v>455</v>
      </c>
      <c r="B52" s="39" t="s">
        <v>289</v>
      </c>
      <c r="C52" s="6">
        <v>37</v>
      </c>
      <c r="D52" s="39" t="s">
        <v>653</v>
      </c>
      <c r="E52" s="39"/>
      <c r="F52" s="41">
        <f>F51+F32</f>
        <v>-12228.42</v>
      </c>
      <c r="G52" s="41">
        <f>G51+G32</f>
        <v>0</v>
      </c>
      <c r="H52" s="41">
        <f>H51+H32</f>
        <v>0</v>
      </c>
      <c r="I52" s="41">
        <f>I51+I32</f>
        <v>0</v>
      </c>
      <c r="J52" s="41">
        <f>J51+J32</f>
        <v>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162022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162022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0.97</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0.97</v>
      </c>
      <c r="G111" s="41">
        <f>SUM(G96:G110)</f>
        <v>0</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162022.97</v>
      </c>
      <c r="G112" s="41">
        <f>G60+G111</f>
        <v>0</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25636.17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30870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56506.17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56506.17</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2088.59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2088.59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5562.58</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5562.58</v>
      </c>
      <c r="G170" s="41">
        <f>G147+G163+SUM(G164:G169)</f>
        <v>0</v>
      </c>
      <c r="H170" s="41">
        <f>H147+H163+SUM(H164:H169)</f>
        <v>2088.59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224091.72</v>
      </c>
      <c r="G194" s="47">
        <f>G112+G140+G170+G193</f>
        <v>0</v>
      </c>
      <c r="H194" s="47">
        <f>H112+H140+H170+H193</f>
        <v>2088.59</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v>121555.56</v>
      </c>
      <c r="I198" s="18"/>
      <c r="J198" s="18"/>
      <c r="K198" s="18"/>
      <c r="L198" s="19">
        <f>SUM(F198:K198)</f>
        <v>121555.56</v>
      </c>
      <c r="M198" s="8"/>
      <c r="N198" s="265"/>
    </row>
    <row r="199" spans="1:14" s="3" customFormat="1" ht="12.2" customHeight="1" x14ac:dyDescent="0.15">
      <c r="A199" s="1" t="s">
        <v>439</v>
      </c>
      <c r="B199" s="2" t="s">
        <v>341</v>
      </c>
      <c r="C199" s="2" t="s">
        <v>291</v>
      </c>
      <c r="D199" s="2" t="s">
        <v>431</v>
      </c>
      <c r="E199" s="6">
        <v>1200</v>
      </c>
      <c r="F199" s="18"/>
      <c r="G199" s="18"/>
      <c r="H199" s="18">
        <v>81658.179999999993</v>
      </c>
      <c r="I199" s="18"/>
      <c r="J199" s="18"/>
      <c r="K199" s="18"/>
      <c r="L199" s="19">
        <f>SUM(F199:K199)</f>
        <v>81658.179999999993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v>825</v>
      </c>
      <c r="G205" s="18"/>
      <c r="H205" s="18">
        <v>13849.49</v>
      </c>
      <c r="I205" s="18">
        <v>11.6</v>
      </c>
      <c r="J205" s="18"/>
      <c r="K205" s="18">
        <v>235.79</v>
      </c>
      <c r="L205" s="19">
        <f t="shared" si="0"/>
        <v>14921.880000000001</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v>8160</v>
      </c>
      <c r="I209" s="18"/>
      <c r="J209" s="18"/>
      <c r="K209" s="18"/>
      <c r="L209" s="19">
        <f t="shared" si="0"/>
        <v>8160</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825</v>
      </c>
      <c r="G212" s="41">
        <f t="shared" si="1"/>
        <v>0</v>
      </c>
      <c r="H212" s="41">
        <f t="shared" si="1"/>
        <v>225223.22999999998</v>
      </c>
      <c r="I212" s="41">
        <f t="shared" si="1"/>
        <v>11.6</v>
      </c>
      <c r="J212" s="41">
        <f t="shared" si="1"/>
        <v>0</v>
      </c>
      <c r="K212" s="41">
        <f t="shared" si="1"/>
        <v>235.79</v>
      </c>
      <c r="L212" s="41">
        <f t="shared" si="1"/>
        <v>226295.62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30658.5</v>
      </c>
      <c r="I234" s="18"/>
      <c r="J234" s="18"/>
      <c r="K234" s="18"/>
      <c r="L234" s="19">
        <f>SUM(F234:K234)</f>
        <v>30658.5</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30658.5</v>
      </c>
      <c r="I248" s="41">
        <f t="shared" si="5"/>
        <v>0</v>
      </c>
      <c r="J248" s="41">
        <f t="shared" si="5"/>
        <v>0</v>
      </c>
      <c r="K248" s="41">
        <f t="shared" si="5"/>
        <v>0</v>
      </c>
      <c r="L248" s="41">
        <f t="shared" si="5"/>
        <v>30658.5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825</v>
      </c>
      <c r="G258" s="41">
        <f t="shared" si="8"/>
        <v>0</v>
      </c>
      <c r="H258" s="41">
        <f t="shared" si="8"/>
        <v>255881.72999999998</v>
      </c>
      <c r="I258" s="41">
        <f t="shared" si="8"/>
        <v>11.6</v>
      </c>
      <c r="J258" s="41">
        <f t="shared" si="8"/>
        <v>0</v>
      </c>
      <c r="K258" s="41">
        <f t="shared" si="8"/>
        <v>235.79</v>
      </c>
      <c r="L258" s="41">
        <f t="shared" si="8"/>
        <v>256954.12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825</v>
      </c>
      <c r="G272" s="42">
        <f t="shared" si="11"/>
        <v>0</v>
      </c>
      <c r="H272" s="42">
        <f t="shared" si="11"/>
        <v>255881.72999999998</v>
      </c>
      <c r="I272" s="42">
        <f t="shared" si="11"/>
        <v>11.6</v>
      </c>
      <c r="J272" s="42">
        <f t="shared" si="11"/>
        <v>0</v>
      </c>
      <c r="K272" s="42">
        <f t="shared" si="11"/>
        <v>235.79</v>
      </c>
      <c r="L272" s="42">
        <f t="shared" si="11"/>
        <v>256954.12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f>900+135.05+96.86</f>
        <v>1131.9099999999999</v>
      </c>
      <c r="I278" s="18"/>
      <c r="J278" s="18"/>
      <c r="K278" s="18">
        <v>38.479999999999997</v>
      </c>
      <c r="L278" s="19">
        <f>SUM(F278:K278)</f>
        <v>1170.3899999999999</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1131.9099999999999</v>
      </c>
      <c r="I291" s="42">
        <f t="shared" si="13"/>
        <v>0</v>
      </c>
      <c r="J291" s="42">
        <f t="shared" si="13"/>
        <v>0</v>
      </c>
      <c r="K291" s="42">
        <f t="shared" si="13"/>
        <v>38.479999999999997</v>
      </c>
      <c r="L291" s="41">
        <f t="shared" si="13"/>
        <v>1170.3899999999999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1131.9099999999999</v>
      </c>
      <c r="I339" s="41">
        <f t="shared" si="20"/>
        <v>0</v>
      </c>
      <c r="J339" s="41">
        <f t="shared" si="20"/>
        <v>0</v>
      </c>
      <c r="K339" s="41">
        <f t="shared" si="20"/>
        <v>38.479999999999997</v>
      </c>
      <c r="L339" s="41">
        <f t="shared" si="20"/>
        <v>1170.3899999999999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1131.9099999999999</v>
      </c>
      <c r="I353" s="41">
        <f>I339</f>
        <v>0</v>
      </c>
      <c r="J353" s="41">
        <f>J339</f>
        <v>0</v>
      </c>
      <c r="K353" s="47">
        <f>K339+K352</f>
        <v>38.479999999999997</v>
      </c>
      <c r="L353" s="41">
        <f>L339+L352</f>
        <v>1170.3899999999999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20633.98</v>
      </c>
      <c r="G466" s="18"/>
      <c r="H466" s="18"/>
      <c r="I466" s="18"/>
      <c r="J466" s="18"/>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224091.72</v>
      </c>
      <c r="G469" s="18"/>
      <c r="H469" s="18">
        <v>2088.59</v>
      </c>
      <c r="I469" s="18"/>
      <c r="J469" s="18"/>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224091.72</v>
      </c>
      <c r="G471" s="53">
        <f>SUM(G469:G470)</f>
        <v>0</v>
      </c>
      <c r="H471" s="53">
        <f>SUM(H469:H470)</f>
        <v>2088.59</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256954.12</v>
      </c>
      <c r="G473" s="18"/>
      <c r="H473" s="18">
        <v>1170.3900000000001</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v>918.2</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256954.12</v>
      </c>
      <c r="G475" s="53">
        <f>SUM(G473:G474)</f>
        <v>0</v>
      </c>
      <c r="H475" s="53">
        <f>SUM(H473:H474)</f>
        <v>2088.59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-12228.419999999984</v>
      </c>
      <c r="G477" s="53">
        <f>(G466+G471)- G475</f>
        <v>0</v>
      </c>
      <c r="H477" s="53">
        <f>(H466+H471)- H475</f>
        <v>0</v>
      </c>
      <c r="I477" s="53">
        <f>(I466+I471)- I475</f>
        <v>0</v>
      </c>
      <c r="J477" s="53">
        <f>(J466+J471)- J475</f>
        <v>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0</v>
      </c>
      <c r="I525" s="108">
        <f t="shared" si="36"/>
        <v>0</v>
      </c>
      <c r="J525" s="108">
        <f t="shared" si="36"/>
        <v>0</v>
      </c>
      <c r="K525" s="108">
        <f t="shared" si="36"/>
        <v>0</v>
      </c>
      <c r="L525" s="89">
        <f t="shared" si="36"/>
        <v>0</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81658.179999999993</v>
      </c>
      <c r="I527" s="18"/>
      <c r="J527" s="18"/>
      <c r="K527" s="18"/>
      <c r="L527" s="88">
        <f>SUM(F527:K527)</f>
        <v>81658.179999999993</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81658.179999999993</v>
      </c>
      <c r="I530" s="89">
        <f t="shared" si="37"/>
        <v>0</v>
      </c>
      <c r="J530" s="89">
        <f t="shared" si="37"/>
        <v>0</v>
      </c>
      <c r="K530" s="89">
        <f t="shared" si="37"/>
        <v>0</v>
      </c>
      <c r="L530" s="89">
        <f t="shared" si="37"/>
        <v>81658.179999999993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754.36</v>
      </c>
      <c r="G532" s="18">
        <v>368.57</v>
      </c>
      <c r="H532" s="18"/>
      <c r="I532" s="18"/>
      <c r="J532" s="18"/>
      <c r="K532" s="18"/>
      <c r="L532" s="88">
        <f>SUM(F532:K532)</f>
        <v>1122.93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754.36</v>
      </c>
      <c r="G535" s="89">
        <f t="shared" ref="G535:L535" si="38">SUM(G532:G534)</f>
        <v>368.57</v>
      </c>
      <c r="H535" s="89">
        <f t="shared" si="38"/>
        <v>0</v>
      </c>
      <c r="I535" s="89">
        <f t="shared" si="38"/>
        <v>0</v>
      </c>
      <c r="J535" s="89">
        <f t="shared" si="38"/>
        <v>0</v>
      </c>
      <c r="K535" s="89">
        <f t="shared" si="38"/>
        <v>0</v>
      </c>
      <c r="L535" s="89">
        <f t="shared" si="38"/>
        <v>1122.93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754.36</v>
      </c>
      <c r="G546" s="89">
        <f t="shared" ref="G546:L546" si="41">G525+G530+G535+G540+G545</f>
        <v>368.57</v>
      </c>
      <c r="H546" s="89">
        <f t="shared" si="41"/>
        <v>81658.179999999993</v>
      </c>
      <c r="I546" s="89">
        <f t="shared" si="41"/>
        <v>0</v>
      </c>
      <c r="J546" s="89">
        <f t="shared" si="41"/>
        <v>0</v>
      </c>
      <c r="K546" s="89">
        <f t="shared" si="41"/>
        <v>0</v>
      </c>
      <c r="L546" s="89">
        <f t="shared" si="41"/>
        <v>82781.109999999986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81658.179999999993</v>
      </c>
      <c r="H550" s="87">
        <f>L532</f>
        <v>1122.93</v>
      </c>
      <c r="I550" s="87">
        <f>L537</f>
        <v>0</v>
      </c>
      <c r="J550" s="87">
        <f>L542</f>
        <v>0</v>
      </c>
      <c r="K550" s="87">
        <f>SUM(F550:J550)</f>
        <v>82781.109999999986</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0</v>
      </c>
      <c r="G553" s="89">
        <f t="shared" si="42"/>
        <v>81658.179999999993</v>
      </c>
      <c r="H553" s="89">
        <f t="shared" si="42"/>
        <v>1122.93</v>
      </c>
      <c r="I553" s="89">
        <f t="shared" si="42"/>
        <v>0</v>
      </c>
      <c r="J553" s="89">
        <f t="shared" si="42"/>
        <v>0</v>
      </c>
      <c r="K553" s="89">
        <f t="shared" si="42"/>
        <v>82781.109999999986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121555.56</v>
      </c>
      <c r="G576" s="18"/>
      <c r="H576" s="18">
        <v>30658.5</v>
      </c>
      <c r="I576" s="87">
        <f>SUM(F576:H576)</f>
        <v>152214.06</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81658.179999999993</v>
      </c>
      <c r="G580" s="18"/>
      <c r="H580" s="18"/>
      <c r="I580" s="87">
        <f t="shared" si="47"/>
        <v>81658.179999999993</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8160</v>
      </c>
      <c r="I592" s="18"/>
      <c r="J592" s="18"/>
      <c r="K592" s="104">
        <f t="shared" ref="K592:K598" si="48">SUM(H592:J592)</f>
        <v>8160</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8160</v>
      </c>
      <c r="I599" s="108">
        <f>SUM(I592:I598)</f>
        <v>0</v>
      </c>
      <c r="J599" s="108">
        <f>SUM(J592:J598)</f>
        <v>0</v>
      </c>
      <c r="K599" s="108">
        <f>SUM(K592:K598)</f>
        <v>8160</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-12228.42</v>
      </c>
      <c r="H618" s="109">
        <f>SUM(F52)</f>
        <v>-12228.42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-12228.42</v>
      </c>
      <c r="H623" s="109">
        <f>F477</f>
        <v>-12228.419999999984</v>
      </c>
      <c r="I623" s="121" t="s">
        <v>101</v>
      </c>
      <c r="J623" s="109">
        <f t="shared" ref="J623:J656" si="50">G623-H623</f>
        <v>-1.6370904631912708E-11</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224091.72</v>
      </c>
      <c r="H628" s="104">
        <f>SUM(F469)</f>
        <v>224091.72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2088.59</v>
      </c>
      <c r="H630" s="104">
        <f>SUM(H469)</f>
        <v>2088.59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256954.12</v>
      </c>
      <c r="H633" s="104">
        <f>SUM(F473)</f>
        <v>256954.12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1170.3899999999999</v>
      </c>
      <c r="H634" s="104">
        <f>SUM(H473)</f>
        <v>1170.3900000000001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8160</v>
      </c>
      <c r="H648" s="104">
        <f>L209+L227+L245</f>
        <v>8160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8160</v>
      </c>
      <c r="H650" s="104">
        <f>H599</f>
        <v>8160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227466.01</v>
      </c>
      <c r="G661" s="19">
        <f>(L230+L310+L360)</f>
        <v>0</v>
      </c>
      <c r="H661" s="19">
        <f>(L248+L329+L361)</f>
        <v>30658.5</v>
      </c>
      <c r="I661" s="19">
        <f>SUM(F661:H661)</f>
        <v>258124.51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8160</v>
      </c>
      <c r="G663" s="19">
        <f>(L227+L307)-(J227+J307)</f>
        <v>0</v>
      </c>
      <c r="H663" s="19">
        <f>(L245+L326)-(J245+J326)</f>
        <v>0</v>
      </c>
      <c r="I663" s="19">
        <f>SUM(F663:H663)</f>
        <v>8160</v>
      </c>
      <c r="J663"/>
      <c r="K663" s="13"/>
      <c r="L663" s="13"/>
      <c r="M663" s="9"/>
    </row>
    <row r="664" spans="1:13" s="3" customFormat="1" ht="12.2" customHeight="1" x14ac:dyDescent="0.15">
      <c r="A664" s="197" t="s">
        <v>129</v>
      </c>
      <c r="B664" s="169"/>
      <c r="C664" s="169"/>
      <c r="D664" s="169"/>
      <c r="E664" s="169"/>
      <c r="F664" s="198">
        <f>SUM(F576:F588)+SUM(H603:H605)+SUM(L612)</f>
        <v>203213.74</v>
      </c>
      <c r="G664" s="198">
        <f>SUM(G576:G588)+SUM(I603:I605)+L613</f>
        <v>0</v>
      </c>
      <c r="H664" s="198">
        <f>SUM(H576:H588)+SUM(J603:J605)+L614</f>
        <v>30658.5</v>
      </c>
      <c r="I664" s="19">
        <f>SUM(F664:H664)</f>
        <v>233872.24</v>
      </c>
      <c r="J664" s="13"/>
      <c r="K664" s="13"/>
      <c r="L664" s="13"/>
      <c r="M664" s="9"/>
    </row>
    <row r="665" spans="1:13" s="3" customFormat="1" ht="12.2" customHeight="1" x14ac:dyDescent="0.15">
      <c r="A665" s="1" t="s">
        <v>130</v>
      </c>
      <c r="F665" s="19">
        <f>F661-SUM(F662:F664)</f>
        <v>16092.270000000019</v>
      </c>
      <c r="G665" s="19">
        <f>G661-SUM(G662:G664)</f>
        <v>0</v>
      </c>
      <c r="H665" s="19">
        <f>H661-SUM(H662:H664)</f>
        <v>0</v>
      </c>
      <c r="I665" s="19">
        <f>I661-SUM(I662:I664)</f>
        <v>16092.270000000019</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-16092.27</v>
      </c>
      <c r="G670" s="18"/>
      <c r="H670" s="18"/>
      <c r="I670" s="19">
        <f>SUM(F670:H670)</f>
        <v>-16092.27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Ellsworth</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Ellsworth</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Ellsworth</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233872.24</v>
      </c>
      <c r="D5" s="20">
        <f>SUM('DOE25'!L198:L201)+SUM('DOE25'!L216:L219)+SUM('DOE25'!L234:L237)-F5-G5-H5</f>
        <v>233872.24</v>
      </c>
      <c r="E5" s="242"/>
      <c r="F5" s="243"/>
      <c r="G5" s="53">
        <f>SUM('DOE25'!J198:J201)+SUM('DOE25'!J216:J219)+SUM('DOE25'!J234:J237)</f>
        <v>0</v>
      </c>
      <c r="H5" s="53">
        <f>SUM('DOE25'!K198:K201)+SUM('DOE25'!K216:K219)+SUM('DOE25'!K234:K237)</f>
        <v>0</v>
      </c>
      <c r="I5" s="255"/>
    </row>
    <row r="6" spans="1:9" x14ac:dyDescent="0.2">
      <c r="A6" s="32">
        <v>2100</v>
      </c>
      <c r="B6" t="s">
        <v>796</v>
      </c>
      <c r="C6" s="274">
        <f t="shared" si="0"/>
        <v>0</v>
      </c>
      <c r="D6" s="20">
        <f>'DOE25'!L203+'DOE25'!L221+'DOE25'!L239-F6-G6-H6</f>
        <v>0</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8921.07</v>
      </c>
      <c r="D8" s="242"/>
      <c r="E8" s="20">
        <f>'DOE25'!L205+'DOE25'!L223+'DOE25'!L241-F8-G8-H8-D9-D11</f>
        <v>8685.2799999999988</v>
      </c>
      <c r="F8" s="243"/>
      <c r="G8" s="53">
        <f>'DOE25'!J205+'DOE25'!J223+'DOE25'!J241</f>
        <v>0</v>
      </c>
      <c r="H8" s="53">
        <f>'DOE25'!K205+'DOE25'!K223+'DOE25'!K241</f>
        <v>235.79</v>
      </c>
      <c r="I8" s="255"/>
    </row>
    <row r="9" spans="1:9" ht="14.25" x14ac:dyDescent="0.2">
      <c r="A9" s="32">
        <v>2310</v>
      </c>
      <c r="B9" s="184" t="s">
        <v>888</v>
      </c>
      <c r="C9" s="274">
        <f t="shared" si="0"/>
        <v>2636.6</v>
      </c>
      <c r="D9" s="243">
        <v>2636.6</v>
      </c>
      <c r="E9" s="242"/>
      <c r="F9" s="252"/>
      <c r="G9" s="252"/>
      <c r="H9" s="252"/>
      <c r="I9" s="255"/>
    </row>
    <row r="10" spans="1:9" ht="14.25" x14ac:dyDescent="0.2">
      <c r="A10" s="32">
        <v>2317</v>
      </c>
      <c r="B10" s="184" t="s">
        <v>889</v>
      </c>
      <c r="C10" s="274">
        <f t="shared" si="0"/>
        <v>2500</v>
      </c>
      <c r="D10" s="242"/>
      <c r="E10" s="243">
        <v>2500</v>
      </c>
      <c r="F10" s="252"/>
      <c r="G10" s="252"/>
      <c r="H10" s="252"/>
      <c r="I10" s="255"/>
    </row>
    <row r="11" spans="1:9" ht="14.25" x14ac:dyDescent="0.2">
      <c r="A11" s="32">
        <v>2321</v>
      </c>
      <c r="B11" s="184" t="s">
        <v>890</v>
      </c>
      <c r="C11" s="274">
        <f t="shared" si="0"/>
        <v>3364.21</v>
      </c>
      <c r="D11" s="243">
        <v>3364.21</v>
      </c>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8160</v>
      </c>
      <c r="D15" s="20">
        <f>'DOE25'!L209+'DOE25'!L227+'DOE25'!L245-F15-G15-H15</f>
        <v>8160</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1170.3899999999999</v>
      </c>
      <c r="D31" s="20">
        <f>'DOE25'!L291+'DOE25'!L310+'DOE25'!L329+'DOE25'!L334+'DOE25'!L335+'DOE25'!L336-F31-G31-H31</f>
        <v>1131.9099999999999</v>
      </c>
      <c r="E31" s="242"/>
      <c r="F31" s="243"/>
      <c r="G31" s="53">
        <f>'DOE25'!J291+'DOE25'!J310+'DOE25'!J329+'DOE25'!J334+'DOE25'!J335+'DOE25'!J336</f>
        <v>0</v>
      </c>
      <c r="H31" s="53">
        <f>'DOE25'!K291+'DOE25'!K310+'DOE25'!K329+'DOE25'!K334+'DOE25'!K335+'DOE25'!K336</f>
        <v>38.479999999999997</v>
      </c>
      <c r="I31" s="255"/>
    </row>
    <row r="32" spans="1:9" ht="12" thickBot="1" x14ac:dyDescent="0.25">
      <c r="C32" s="275"/>
      <c r="G32" s="250"/>
      <c r="H32" s="250"/>
      <c r="I32" s="257"/>
    </row>
    <row r="33" spans="1:9" ht="12" thickTop="1" x14ac:dyDescent="0.2">
      <c r="B33" t="s">
        <v>809</v>
      </c>
      <c r="D33" s="244">
        <f t="shared" ref="D33:I33" si="1">SUM(D5:D31)</f>
        <v>249164.96</v>
      </c>
      <c r="E33" s="244">
        <f t="shared" si="1"/>
        <v>11185.279999999999</v>
      </c>
      <c r="F33" s="244">
        <f t="shared" si="1"/>
        <v>0</v>
      </c>
      <c r="G33" s="244">
        <f t="shared" si="1"/>
        <v>0</v>
      </c>
      <c r="H33" s="244">
        <f t="shared" si="1"/>
        <v>274.27</v>
      </c>
      <c r="I33" s="244">
        <f t="shared" si="1"/>
        <v>0</v>
      </c>
    </row>
    <row r="35" spans="1:9" ht="12" thickBot="1" x14ac:dyDescent="0.25">
      <c r="B35" s="250" t="s">
        <v>831</v>
      </c>
      <c r="D35" s="251">
        <f>E33</f>
        <v>11185.279999999999</v>
      </c>
      <c r="E35" s="247"/>
      <c r="F35" s="328" t="s">
        <v>1617</v>
      </c>
      <c r="G35" s="329"/>
      <c r="H35" s="329"/>
      <c r="I35" s="329"/>
    </row>
    <row r="36" spans="1:9" ht="12" thickTop="1" x14ac:dyDescent="0.2">
      <c r="B36" t="s">
        <v>810</v>
      </c>
      <c r="D36" s="20">
        <f>D33</f>
        <v>249164.96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horizontalDpi="4294967295" verticalDpi="4294967295"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0"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Ellsworth</v>
      </c>
      <c r="B2" s="126">
        <f>'DOE25'!B2</f>
        <v>162</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227466.01</v>
      </c>
      <c r="G4" s="299">
        <f>'DOE25'!L212+'DOE25'!L291</f>
        <v>227466.01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f>'DOE25'!L212</f>
        <v>226295.62</v>
      </c>
      <c r="E5" s="290">
        <f>'DOE25'!L291</f>
        <v>1170.3899999999999</v>
      </c>
      <c r="F5" s="303">
        <f>D5+E5</f>
        <v>227466.01</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226295.62</v>
      </c>
      <c r="E21" s="338">
        <f>SUM(E5:E20)</f>
        <v>1170.3899999999999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30658.5</v>
      </c>
      <c r="G36" s="299">
        <f>'DOE25'!L248+'DOE25'!L329</f>
        <v>30658.5</v>
      </c>
      <c r="H36" s="340">
        <f>F36-G36</f>
        <v>0</v>
      </c>
      <c r="I36" s="383" t="str">
        <f>IF(H36=0,"","ISSUES!! Please review page 9 and 13 totals in comparison with total on this page")</f>
        <v/>
      </c>
      <c r="N36"/>
    </row>
    <row r="37" spans="1:14" x14ac:dyDescent="0.2">
      <c r="A37" s="126" t="s">
        <v>1548</v>
      </c>
      <c r="B37" s="300">
        <v>99999</v>
      </c>
      <c r="C37" s="293" t="s">
        <v>1548</v>
      </c>
      <c r="D37" s="290">
        <f>'DOE25'!L248</f>
        <v>30658.5</v>
      </c>
      <c r="E37" s="290"/>
      <c r="F37" s="303">
        <f t="shared" ref="F37:F42" si="2">D37+E37</f>
        <v>30658.5</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30658.5</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Ellsworth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-12228.42</v>
      </c>
      <c r="D8" s="95">
        <f>'DOE25'!G9</f>
        <v>0</v>
      </c>
      <c r="E8" s="95">
        <f>'DOE25'!H9</f>
        <v>-918.2</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918.2</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-12228.42</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-12228.42</v>
      </c>
      <c r="D49" s="24" t="s">
        <v>288</v>
      </c>
      <c r="E49" s="24" t="s">
        <v>288</v>
      </c>
      <c r="F49" s="24" t="s">
        <v>288</v>
      </c>
      <c r="G49" s="24" t="s">
        <v>288</v>
      </c>
      <c r="H49" s="124"/>
      <c r="I49" s="124"/>
    </row>
    <row r="50" spans="1:9" ht="12.75" thickTop="1" thickBot="1" x14ac:dyDescent="0.25">
      <c r="A50" s="38" t="s">
        <v>884</v>
      </c>
      <c r="B50" s="48"/>
      <c r="C50" s="41">
        <f>SUM(C34:C49)</f>
        <v>-12228.42</v>
      </c>
      <c r="D50" s="41">
        <f>SUM(D34:D49)</f>
        <v>0</v>
      </c>
      <c r="E50" s="41">
        <f>SUM(E34:E49)</f>
        <v>0</v>
      </c>
      <c r="F50" s="41">
        <f>SUM(F34:F49)</f>
        <v>0</v>
      </c>
      <c r="G50" s="41">
        <f>SUM(G34:G49)</f>
        <v>0</v>
      </c>
      <c r="H50" s="124"/>
      <c r="I50" s="124"/>
    </row>
    <row r="51" spans="1:9" ht="12" thickTop="1" x14ac:dyDescent="0.2">
      <c r="A51" s="38" t="s">
        <v>885</v>
      </c>
      <c r="B51" s="2"/>
      <c r="C51" s="41">
        <f>C50+C31</f>
        <v>-12228.42</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162022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0.97</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0.97</v>
      </c>
      <c r="D62" s="130">
        <f>SUM(D57:D61)</f>
        <v>0</v>
      </c>
      <c r="E62" s="130">
        <f>SUM(E57:E61)</f>
        <v>0</v>
      </c>
      <c r="F62" s="130">
        <f>SUM(F57:F61)</f>
        <v>0</v>
      </c>
      <c r="G62" s="130">
        <f>SUM(G57:G61)</f>
        <v>0</v>
      </c>
      <c r="H62"/>
      <c r="I62"/>
    </row>
    <row r="63" spans="1:9" ht="12" thickTop="1" x14ac:dyDescent="0.2">
      <c r="A63" s="29" t="s">
        <v>175</v>
      </c>
      <c r="B63" s="6"/>
      <c r="C63" s="22">
        <f>C56+C62</f>
        <v>162022.97</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25636.17</v>
      </c>
      <c r="D66" s="24" t="s">
        <v>288</v>
      </c>
      <c r="E66" s="24" t="s">
        <v>288</v>
      </c>
      <c r="F66" s="24" t="s">
        <v>288</v>
      </c>
      <c r="G66" s="24" t="s">
        <v>288</v>
      </c>
      <c r="H66"/>
      <c r="I66"/>
    </row>
    <row r="67" spans="1:9" x14ac:dyDescent="0.2">
      <c r="A67" s="1" t="s">
        <v>770</v>
      </c>
      <c r="B67" s="6">
        <v>3112</v>
      </c>
      <c r="C67" s="95">
        <f>'DOE25'!F118</f>
        <v>30870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56506.17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56506.17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7" t="s">
        <v>747</v>
      </c>
      <c r="B88" s="325" t="s">
        <v>184</v>
      </c>
      <c r="C88" s="326">
        <f>SUM('DOE25'!F153:F162)</f>
        <v>0</v>
      </c>
      <c r="D88" s="326">
        <f>SUM('DOE25'!G153:G162)</f>
        <v>0</v>
      </c>
      <c r="E88" s="326">
        <f>SUM('DOE25'!H153:H162)</f>
        <v>2088.59</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5562.58</v>
      </c>
      <c r="D90" s="24" t="s">
        <v>288</v>
      </c>
      <c r="E90" s="24" t="s">
        <v>288</v>
      </c>
      <c r="F90" s="24" t="s">
        <v>288</v>
      </c>
      <c r="G90" s="24" t="s">
        <v>288</v>
      </c>
    </row>
    <row r="91" spans="1:9" ht="12.75" thickTop="1" thickBot="1" x14ac:dyDescent="0.25">
      <c r="A91" s="33" t="s">
        <v>750</v>
      </c>
      <c r="C91" s="131">
        <f>SUM(C85:C90)</f>
        <v>5562.58</v>
      </c>
      <c r="D91" s="131">
        <f>SUM(D85:D90)</f>
        <v>0</v>
      </c>
      <c r="E91" s="131">
        <f>SUM(E85:E90)</f>
        <v>2088.59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224091.72</v>
      </c>
      <c r="D104" s="86">
        <f>D63+D81+D91+D103</f>
        <v>0</v>
      </c>
      <c r="E104" s="86">
        <f>E63+E81+E91+E103</f>
        <v>2088.59</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152214.06</v>
      </c>
      <c r="D109" s="24" t="s">
        <v>288</v>
      </c>
      <c r="E109" s="95">
        <f>('DOE25'!L277)+('DOE25'!L296)+('DOE25'!L315)</f>
        <v>0</v>
      </c>
      <c r="F109" s="24" t="s">
        <v>288</v>
      </c>
      <c r="G109" s="24" t="s">
        <v>288</v>
      </c>
    </row>
    <row r="110" spans="1:7" x14ac:dyDescent="0.2">
      <c r="A110" t="s">
        <v>198</v>
      </c>
      <c r="B110" s="32" t="s">
        <v>199</v>
      </c>
      <c r="C110" s="95">
        <f>('DOE25'!L199)+('DOE25'!L217)+('DOE25'!L235)</f>
        <v>81658.179999999993</v>
      </c>
      <c r="D110" s="24" t="s">
        <v>288</v>
      </c>
      <c r="E110" s="95">
        <f>('DOE25'!L278)+('DOE25'!L297)+('DOE25'!L316)</f>
        <v>1170.3899999999999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233872.24</v>
      </c>
      <c r="D115" s="86">
        <f>SUM(D109:D114)</f>
        <v>0</v>
      </c>
      <c r="E115" s="86">
        <f>SUM(E109:E114)</f>
        <v>1170.3899999999999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14921.880000000001</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8160</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23081.88</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256954.12</v>
      </c>
      <c r="D145" s="86">
        <f>(D115+D128+D144)</f>
        <v>0</v>
      </c>
      <c r="E145" s="86">
        <f>(E115+E128+E144)</f>
        <v>1170.3899999999999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Ellsworth</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152214</v>
      </c>
      <c r="D10" s="181">
        <f>ROUND((C10/$C$28)*100,1)</f>
        <v>59</v>
      </c>
    </row>
    <row r="11" spans="1:4" x14ac:dyDescent="0.2">
      <c r="A11">
        <v>1200</v>
      </c>
      <c r="B11" t="s">
        <v>703</v>
      </c>
      <c r="C11" s="178">
        <f>ROUND('DOE25'!L199+'DOE25'!L217+'DOE25'!L235+'DOE25'!L278+'DOE25'!L297+'DOE25'!L316,0)</f>
        <v>82829</v>
      </c>
      <c r="D11" s="181">
        <f>ROUND((C11/$C$28)*100,1)</f>
        <v>32.1</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0</v>
      </c>
      <c r="D15" s="181">
        <f t="shared" ref="D15:D27" si="0">ROUND((C15/$C$28)*100,1)</f>
        <v>0</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14922</v>
      </c>
      <c r="D17" s="181">
        <f t="shared" si="0"/>
        <v>5.8</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8160</v>
      </c>
      <c r="D21" s="181">
        <f t="shared" si="0"/>
        <v>3.2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258125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258125</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162022</v>
      </c>
      <c r="D35" s="181">
        <f t="shared" ref="D35:D40" si="1">ROUND((C35/$C$41)*100,1)</f>
        <v>71.599999999999994</v>
      </c>
    </row>
    <row r="36" spans="1:4" x14ac:dyDescent="0.2">
      <c r="B36" s="184" t="s">
        <v>739</v>
      </c>
      <c r="C36" s="178">
        <f>SUM('DOE25'!F112:J112)-SUM('DOE25'!G97:G110)+('DOE25'!F175+'DOE25'!F176+'DOE25'!I175+'DOE25'!I176)-C35</f>
        <v>0.97000000000116415</v>
      </c>
      <c r="D36" s="181">
        <f t="shared" si="1"/>
        <v>0</v>
      </c>
    </row>
    <row r="37" spans="1:4" x14ac:dyDescent="0.2">
      <c r="A37" s="182" t="s">
        <v>835</v>
      </c>
      <c r="B37" s="184" t="s">
        <v>728</v>
      </c>
      <c r="C37" s="178">
        <f>ROUND('DOE25'!F117+'DOE25'!F118,0)</f>
        <v>56506</v>
      </c>
      <c r="D37" s="181">
        <f t="shared" si="1"/>
        <v>25</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7651</v>
      </c>
      <c r="D39" s="181">
        <f t="shared" si="1"/>
        <v>3.4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226179.97</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Ellsworth</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2022-08-12T18:57:35Z</cp:lastPrinted>
  <dcterms:created xsi:type="dcterms:W3CDTF">1997-12-04T19:04:30Z</dcterms:created>
  <dcterms:modified xsi:type="dcterms:W3CDTF">2022-08-23T13:49:45Z</dcterms:modified>
</cp:coreProperties>
</file>