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67DE5FCF-AEDC-470C-9A20-99078ECB628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8" i="1" l="1"/>
  <c r="F13" i="1"/>
  <c r="H466" i="1"/>
  <c r="H470" i="1"/>
  <c r="F469" i="1"/>
  <c r="C39" i="12"/>
  <c r="B39" i="12"/>
  <c r="C30" i="12"/>
  <c r="C10" i="12"/>
  <c r="B10" i="12" l="1"/>
  <c r="F70" i="1" l="1"/>
  <c r="F110" i="1"/>
  <c r="F50" i="1"/>
  <c r="F57" i="1"/>
  <c r="D9" i="14"/>
  <c r="I277" i="1"/>
  <c r="H473" i="1"/>
  <c r="H48" i="1"/>
  <c r="F12" i="1"/>
  <c r="F31" i="13"/>
  <c r="F14" i="13"/>
  <c r="G500" i="1" l="1"/>
  <c r="F500" i="1"/>
  <c r="G499" i="1"/>
  <c r="D15" i="14" l="1"/>
  <c r="D12" i="14"/>
  <c r="D8" i="14"/>
  <c r="D11" i="14"/>
  <c r="D7" i="14"/>
  <c r="D38" i="14"/>
  <c r="J605" i="1"/>
  <c r="H605" i="1"/>
  <c r="J592" i="1"/>
  <c r="H592" i="1"/>
  <c r="F443" i="1" l="1"/>
  <c r="H390" i="1"/>
  <c r="H98" i="1"/>
  <c r="I315" i="1"/>
  <c r="C28" i="12" l="1"/>
  <c r="F24" i="1" l="1"/>
  <c r="G158" i="1"/>
  <c r="G460" i="1" l="1"/>
  <c r="H135" i="2" l="1"/>
  <c r="H136" i="2"/>
  <c r="H137" i="2"/>
  <c r="H140" i="2"/>
  <c r="H142" i="2"/>
  <c r="H143" i="2"/>
  <c r="H134" i="2"/>
  <c r="H113" i="2"/>
  <c r="H114" i="2"/>
  <c r="H97" i="2"/>
  <c r="H98" i="2"/>
  <c r="H100" i="2"/>
  <c r="H101" i="2"/>
  <c r="H102" i="2"/>
  <c r="H96" i="2"/>
  <c r="H94" i="2"/>
  <c r="H93" i="2"/>
  <c r="H89" i="2"/>
  <c r="H90" i="2"/>
  <c r="H87" i="2"/>
  <c r="H85" i="2"/>
  <c r="H73" i="2"/>
  <c r="H74" i="2"/>
  <c r="H79" i="2"/>
  <c r="H80" i="2"/>
  <c r="H58" i="2"/>
  <c r="H48" i="2"/>
  <c r="H44" i="2"/>
  <c r="H45" i="2"/>
  <c r="H42" i="2"/>
  <c r="H40" i="2"/>
  <c r="H38" i="2"/>
  <c r="H36" i="2"/>
  <c r="H35" i="2"/>
  <c r="H22" i="2"/>
  <c r="H24" i="2"/>
  <c r="H25" i="2"/>
  <c r="H26" i="2"/>
  <c r="H28" i="2"/>
  <c r="H30" i="2"/>
  <c r="H14"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H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H8" i="2" s="1"/>
  <c r="D8" i="2"/>
  <c r="E8" i="2"/>
  <c r="F8" i="2"/>
  <c r="I440" i="1"/>
  <c r="J9" i="1" s="1"/>
  <c r="G8" i="2" s="1"/>
  <c r="C9" i="2"/>
  <c r="D9" i="2"/>
  <c r="E9" i="2"/>
  <c r="H9" i="2" s="1"/>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C15" i="2"/>
  <c r="D15" i="2"/>
  <c r="H15" i="2" s="1"/>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H29" i="2" s="1"/>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H76" i="2" s="1"/>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D101" i="2"/>
  <c r="E101" i="2"/>
  <c r="F101" i="2"/>
  <c r="C102" i="2"/>
  <c r="D102" i="2"/>
  <c r="E102" i="2"/>
  <c r="F102" i="2"/>
  <c r="C110" i="2"/>
  <c r="E111" i="2"/>
  <c r="C112" i="2"/>
  <c r="E112" i="2"/>
  <c r="D115" i="2"/>
  <c r="F115" i="2"/>
  <c r="G115" i="2"/>
  <c r="E120" i="2"/>
  <c r="E124" i="2"/>
  <c r="C125" i="2"/>
  <c r="E125" i="2"/>
  <c r="H125" i="2" s="1"/>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H653" i="1"/>
  <c r="G654" i="1"/>
  <c r="H654" i="1"/>
  <c r="H655" i="1"/>
  <c r="H656" i="1"/>
  <c r="I170" i="1"/>
  <c r="H477" i="1" l="1"/>
  <c r="H625" i="1" s="1"/>
  <c r="J652" i="1"/>
  <c r="G62" i="2"/>
  <c r="G63" i="2" s="1"/>
  <c r="H112" i="2"/>
  <c r="H61" i="2"/>
  <c r="G477" i="1"/>
  <c r="H624" i="1" s="1"/>
  <c r="J624" i="1" s="1"/>
  <c r="G662" i="1"/>
  <c r="D78" i="2"/>
  <c r="D81" i="2" s="1"/>
  <c r="H77" i="2"/>
  <c r="E13" i="13"/>
  <c r="C13" i="13" s="1"/>
  <c r="D6" i="13"/>
  <c r="C6" i="13" s="1"/>
  <c r="C13" i="10"/>
  <c r="C12" i="10"/>
  <c r="C121" i="2"/>
  <c r="H121" i="2" s="1"/>
  <c r="A40" i="12"/>
  <c r="H27" i="2"/>
  <c r="H23" i="2"/>
  <c r="H12" i="2"/>
  <c r="H11" i="2"/>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B33" i="16" l="1"/>
  <c r="E115" i="2"/>
  <c r="H109" i="2"/>
  <c r="E128" i="2"/>
  <c r="H118" i="2"/>
  <c r="F661" i="1"/>
  <c r="F665" i="1" s="1"/>
  <c r="F668" i="1" s="1"/>
  <c r="D128" i="2"/>
  <c r="D145" i="2" s="1"/>
  <c r="H127" i="2"/>
  <c r="H91" i="2"/>
  <c r="H62" i="2"/>
  <c r="C81" i="2"/>
  <c r="H81" i="2" s="1"/>
  <c r="H78" i="2"/>
  <c r="F194" i="1"/>
  <c r="G628" i="1" s="1"/>
  <c r="J628" i="1" s="1"/>
  <c r="I663" i="1"/>
  <c r="H31" i="2"/>
  <c r="H21" i="2"/>
  <c r="H50" i="2"/>
  <c r="E51" i="2"/>
  <c r="D5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15" i="2"/>
  <c r="H128" i="2"/>
  <c r="C104" i="2"/>
  <c r="H104" i="2" s="1"/>
  <c r="H63" i="2"/>
  <c r="H673" i="1"/>
  <c r="C6" i="10" s="1"/>
  <c r="C144" i="2"/>
  <c r="H144" i="2" s="1"/>
  <c r="H141"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<sst xmlns="http://schemas.openxmlformats.org/spreadsheetml/2006/main" count="6538" uniqueCount="1810">
  <si>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</si>
  <si>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</si>
  <si>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</si>
  <si>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</si>
  <si>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</si>
  <si>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</si>
  <si>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</si>
  <si>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</si>
  <si>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</si>
  <si>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</si>
  <si>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</si>
  <si>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</si>
  <si>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</si>
  <si>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</si>
  <si>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</si>
  <si>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</si>
  <si>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</si>
  <si>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</si>
  <si>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</si>
  <si>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</si>
  <si>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</si>
  <si>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</si>
  <si>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</si>
  <si>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</si>
  <si>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</si>
  <si>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</si>
  <si>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</si>
  <si>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</si>
  <si>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</si>
  <si>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</si>
  <si>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</si>
  <si>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</si>
  <si>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</si>
  <si>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</si>
  <si>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</si>
  <si>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</si>
  <si>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</si>
  <si>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</si>
  <si>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</si>
  <si>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</si>
  <si>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</si>
  <si>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</si>
  <si>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</si>
  <si>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</si>
  <si>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</si>
  <si>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</si>
  <si>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</si>
  <si>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</si>
  <si>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</si>
  <si>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</si>
  <si>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</si>
  <si>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</si>
  <si>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</si>
  <si>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</si>
  <si>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</si>
  <si>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</si>
  <si>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</si>
  <si>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</si>
  <si>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</si>
  <si>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</si>
  <si>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</si>
  <si>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</si>
  <si>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</si>
  <si>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</si>
  <si>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</si>
  <si>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</si>
  <si>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</si>
  <si>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</si>
  <si>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</si>
  <si>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</si>
  <si>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</si>
  <si>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</si>
  <si>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</si>
  <si>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</si>
  <si>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</si>
  <si>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</si>
  <si>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</si>
  <si>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</si>
  <si>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</si>
  <si>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</si>
  <si>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</si>
  <si>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</si>
  <si>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</si>
  <si>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</si>
  <si>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</si>
  <si>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</si>
  <si>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</si>
  <si>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</si>
  <si>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</si>
  <si>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</si>
  <si>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</si>
  <si>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</si>
  <si>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</si>
  <si>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</si>
  <si>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</si>
  <si>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</si>
  <si>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</si>
  <si>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</si>
  <si>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</si>
  <si>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</si>
  <si>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</si>
  <si>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</si>
  <si>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</si>
  <si>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</si>
  <si>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</si>
  <si>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</si>
  <si>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</si>
  <si>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</si>
  <si>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</si>
  <si>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</si>
  <si>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</si>
  <si>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</si>
  <si>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</si>
  <si>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</si>
  <si>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</si>
  <si>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</si>
  <si>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</si>
  <si>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</si>
  <si>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</si>
  <si>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</si>
  <si>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</si>
  <si>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</si>
  <si>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</si>
  <si>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</si>
  <si>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</si>
  <si>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</si>
  <si>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</si>
  <si>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</si>
  <si>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</si>
  <si>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</si>
  <si>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</si>
  <si>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</si>
  <si>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</si>
  <si>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</si>
  <si>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</si>
  <si>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</si>
  <si>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</si>
  <si>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</si>
  <si>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</si>
  <si>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</si>
  <si>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</si>
  <si>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</si>
  <si>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</si>
  <si>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</si>
  <si>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</si>
  <si>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</si>
  <si>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</si>
  <si>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</si>
  <si>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</si>
  <si>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</si>
  <si>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</si>
  <si>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</si>
  <si>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</si>
  <si>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</si>
  <si>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</si>
  <si>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</si>
  <si>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</si>
  <si>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</si>
  <si>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</si>
  <si>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</si>
  <si>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</si>
  <si>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</si>
  <si>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</si>
  <si>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</si>
  <si>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</si>
  <si>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</si>
  <si>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</si>
  <si>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</si>
  <si>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</si>
  <si>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</si>
  <si>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</si>
  <si>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</si>
  <si>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</si>
  <si>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</si>
  <si>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</si>
  <si>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</si>
  <si>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</si>
  <si>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</si>
  <si>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</si>
  <si>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</si>
  <si>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</si>
  <si>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</si>
  <si>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</si>
  <si>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</si>
  <si>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</si>
  <si>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</si>
  <si>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</si>
  <si>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</si>
  <si>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</si>
  <si>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</si>
  <si>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</si>
  <si>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</si>
  <si>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</si>
  <si>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</si>
  <si>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</si>
  <si>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</si>
  <si>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</si>
  <si>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</si>
  <si>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</si>
  <si>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</si>
  <si>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</si>
  <si>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</si>
  <si>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</si>
  <si>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</si>
  <si>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</si>
  <si>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</si>
  <si>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</si>
  <si>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</si>
  <si>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</si>
  <si>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</si>
  <si>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</si>
  <si>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</si>
  <si>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</si>
  <si>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</si>
  <si>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</si>
  <si>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</si>
  <si>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</si>
  <si>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</si>
  <si>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</si>
  <si>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</si>
  <si>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</si>
  <si>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</si>
  <si>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</si>
  <si>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</si>
  <si>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</si>
  <si>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</si>
  <si>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</si>
  <si>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</si>
  <si>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</si>
  <si>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</si>
  <si>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</si>
  <si>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</si>
  <si>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</si>
  <si>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</si>
  <si>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</si>
  <si>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</si>
  <si>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</si>
  <si>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</si>
  <si>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</si>
  <si>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</si>
  <si>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</si>
  <si>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</si>
  <si>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</si>
  <si>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</si>
  <si>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</si>
  <si>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</si>
  <si>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</si>
  <si>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</si>
  <si>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</si>
  <si>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</si>
  <si>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</si>
  <si>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</si>
  <si>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</si>
  <si>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</si>
  <si>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</si>
  <si>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</si>
  <si>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</si>
  <si>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</si>
  <si>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</si>
  <si>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</si>
  <si>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</si>
  <si>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</si>
  <si>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</si>
  <si>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</si>
  <si>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</si>
  <si>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</si>
  <si>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</si>
  <si>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</si>
  <si>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</si>
  <si>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</si>
  <si>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</si>
  <si>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</si>
  <si>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</si>
  <si>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</si>
  <si>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</si>
  <si>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</si>
  <si>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</si>
  <si>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</si>
  <si>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</si>
  <si>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</si>
  <si>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</si>
  <si>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</si>
  <si>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</si>
  <si>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</si>
  <si>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</si>
  <si>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</si>
  <si>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</si>
  <si>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</si>
  <si>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</si>
  <si>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</si>
  <si>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</si>
  <si>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</si>
  <si>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</si>
  <si>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</si>
  <si>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</si>
  <si>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</si>
  <si>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</si>
  <si>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</si>
  <si>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</si>
  <si>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</si>
  <si>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</si>
  <si>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</si>
  <si>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</si>
  <si>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</si>
  <si>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</si>
  <si>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</si>
  <si>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</si>
  <si>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</si>
  <si>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</si>
  <si>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</si>
  <si>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</si>
  <si>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</si>
  <si>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</si>
  <si>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</si>
  <si>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</si>
  <si>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</si>
  <si>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</si>
  <si>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</si>
  <si>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</si>
  <si>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</si>
  <si>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</si>
  <si>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</si>
  <si>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</si>
  <si>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</si>
  <si>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</si>
  <si>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</si>
  <si>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</si>
  <si>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</si>
  <si>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</si>
  <si>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</si>
  <si>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</si>
  <si>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</si>
  <si>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</si>
  <si>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</si>
  <si>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</si>
  <si>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</si>
  <si>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</si>
  <si>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</si>
  <si>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</si>
  <si>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</si>
  <si>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</si>
  <si>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</si>
  <si>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</si>
  <si>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</si>
  <si>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</si>
  <si>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</si>
  <si>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</si>
  <si>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</si>
  <si>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</si>
  <si>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</si>
  <si>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</si>
  <si>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</si>
  <si>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</si>
  <si>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</si>
  <si>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</si>
  <si>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</si>
  <si>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</si>
  <si>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</si>
  <si>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</si>
  <si>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</si>
  <si>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</si>
  <si>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</si>
  <si>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</si>
  <si>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</si>
  <si>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</si>
  <si>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</si>
  <si>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</si>
  <si>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</si>
  <si>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</si>
  <si>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</si>
  <si>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</si>
  <si>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</si>
  <si>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</si>
  <si>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</si>
  <si>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</si>
  <si>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</si>
  <si>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</si>
  <si>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</si>
  <si>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</si>
  <si>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</si>
  <si>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</si>
  <si>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</si>
  <si>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</si>
  <si>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</si>
  <si>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</si>
  <si>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</si>
  <si>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</si>
  <si>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</si>
  <si>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</si>
  <si>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</si>
  <si>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</si>
  <si>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</si>
  <si>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</si>
  <si>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</si>
  <si>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</si>
  <si>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</si>
  <si>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</si>
  <si>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</si>
  <si>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</si>
  <si>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</si>
  <si>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</si>
  <si>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</si>
  <si>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</si>
  <si>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</si>
  <si>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</si>
  <si>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</si>
  <si>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</si>
  <si>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</si>
  <si>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</si>
  <si>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</si>
  <si>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</si>
  <si>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</si>
  <si>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</si>
  <si>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</si>
  <si>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</si>
  <si>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</si>
  <si>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</si>
  <si>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</si>
  <si>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</si>
  <si>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</si>
  <si>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</si>
  <si>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</si>
  <si>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</si>
  <si>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</si>
  <si>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</si>
  <si>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</si>
  <si>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</si>
  <si>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</si>
  <si>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</si>
  <si>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</si>
  <si>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</si>
  <si>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</si>
  <si>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</si>
  <si>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</si>
  <si>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</si>
  <si>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</si>
  <si>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</si>
  <si>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</si>
  <si>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</si>
  <si>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</si>
  <si>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</si>
  <si>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</si>
  <si>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</si>
  <si>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</si>
  <si>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</si>
  <si>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</si>
  <si>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</si>
  <si>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</si>
  <si>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</si>
  <si>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</si>
  <si>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</si>
  <si>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</si>
  <si>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</si>
  <si>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</si>
  <si>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</si>
  <si>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</si>
  <si>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</si>
  <si>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</si>
  <si>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</si>
  <si>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</si>
  <si>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</si>
  <si>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</si>
  <si>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</si>
  <si>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</si>
  <si>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</si>
  <si>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</si>
  <si>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</si>
  <si>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</si>
  <si>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</si>
  <si>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</si>
  <si>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</si>
  <si>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</si>
  <si>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</si>
  <si>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</si>
  <si>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</si>
  <si>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</si>
  <si>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</si>
  <si>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</si>
  <si>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</si>
  <si>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</si>
  <si>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</si>
  <si>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</si>
  <si>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</si>
  <si>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</si>
  <si>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</si>
  <si>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</si>
  <si>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</si>
  <si>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</si>
  <si>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</si>
  <si>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</si>
  <si>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</si>
  <si>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</si>
  <si>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</si>
  <si>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</si>
  <si>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</si>
  <si>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</si>
  <si>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</si>
  <si>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</si>
  <si>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</si>
  <si>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</si>
  <si>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</si>
  <si>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</si>
  <si>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</si>
  <si>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</si>
  <si>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</si>
  <si>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</si>
  <si>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</si>
  <si>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</si>
  <si>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</si>
  <si>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</si>
  <si>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</si>
  <si>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</si>
  <si>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</si>
  <si>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</si>
  <si>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</si>
  <si>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</si>
  <si>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</si>
  <si>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</si>
  <si>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</si>
  <si>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</si>
  <si>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</si>
  <si>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</si>
  <si>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</si>
  <si>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</si>
  <si>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</si>
  <si>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</si>
  <si>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</si>
  <si>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</si>
  <si>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</si>
  <si>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</si>
  <si>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</si>
  <si>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</si>
  <si>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</si>
  <si>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</si>
  <si>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</si>
  <si>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</si>
  <si>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</si>
  <si>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</si>
  <si>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</si>
  <si>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</si>
  <si>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</si>
  <si>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</si>
  <si>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</si>
  <si>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</si>
  <si>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</si>
  <si>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</si>
  <si>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</si>
  <si>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</si>
  <si>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</si>
  <si>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</si>
  <si>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</si>
  <si>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</si>
  <si>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</si>
  <si>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</si>
  <si>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</si>
  <si>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</si>
  <si>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</si>
  <si>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</si>
  <si>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</si>
  <si>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</si>
  <si>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</si>
  <si>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</si>
  <si>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</si>
  <si>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</si>
  <si>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</si>
  <si>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</si>
  <si>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</si>
  <si>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</si>
  <si>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</si>
  <si>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</si>
  <si>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</si>
  <si>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</si>
  <si>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</si>
  <si>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</si>
  <si>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</si>
  <si>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</si>
  <si>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</si>
  <si>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</si>
  <si>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</si>
  <si>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</si>
  <si>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</si>
  <si>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</si>
  <si>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</si>
  <si>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</si>
  <si>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</si>
  <si>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</si>
  <si>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</si>
  <si>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</si>
  <si>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</si>
  <si>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</si>
  <si>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</si>
  <si>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</si>
  <si>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</si>
  <si>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</si>
  <si>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</si>
  <si>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</si>
  <si>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</si>
  <si>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</si>
  <si>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</si>
  <si>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</si>
  <si>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</si>
  <si>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</si>
  <si>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</si>
  <si>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</si>
  <si>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</si>
  <si>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</si>
  <si>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</si>
  <si>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</si>
  <si>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</si>
  <si>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</si>
  <si>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</si>
  <si>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</si>
  <si>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</si>
  <si>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</si>
  <si>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</si>
  <si>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</si>
  <si>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</si>
  <si>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</si>
  <si>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</si>
  <si>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</si>
  <si>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</si>
  <si>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</si>
  <si>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</si>
  <si>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</si>
  <si>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</si>
  <si>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</si>
  <si>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</si>
  <si>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</si>
  <si>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</si>
  <si>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</si>
  <si>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</si>
  <si>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</si>
  <si>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</si>
  <si>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</si>
  <si>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</si>
  <si>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</si>
  <si>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</si>
  <si>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</si>
  <si>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</si>
  <si>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</si>
  <si>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</si>
  <si>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</si>
  <si>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</si>
  <si>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</si>
  <si>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</si>
  <si>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</si>
  <si>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</si>
  <si>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</si>
  <si>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</si>
  <si>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</si>
  <si>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</si>
  <si>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</si>
  <si>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</si>
  <si>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</si>
  <si>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</si>
  <si>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</si>
  <si>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</si>
  <si>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</si>
  <si>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</si>
  <si>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</si>
  <si>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</si>
  <si>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</si>
  <si>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</si>
  <si>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</si>
  <si>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</si>
  <si>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</si>
  <si>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</si>
  <si>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</si>
  <si>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</si>
  <si>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</si>
  <si>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</si>
  <si>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</si>
  <si>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</si>
  <si>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</si>
  <si>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</si>
  <si>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</si>
  <si>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</si>
  <si>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</si>
  <si>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</si>
  <si>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</si>
  <si>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</si>
  <si>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</si>
  <si>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</si>
  <si>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</si>
  <si>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</si>
  <si>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</si>
  <si>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</si>
  <si>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</si>
  <si>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</si>
  <si>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</si>
  <si>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</si>
  <si>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</si>
  <si>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</si>
  <si>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</si>
  <si>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</si>
  <si>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</si>
  <si>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</si>
  <si>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</si>
  <si>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</si>
  <si>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</si>
  <si>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</si>
  <si>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</si>
  <si>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</si>
  <si>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</si>
  <si>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</si>
  <si>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</si>
  <si>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</si>
  <si>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</si>
  <si>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</si>
  <si>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</si>
  <si>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</si>
  <si>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</si>
  <si>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</si>
  <si>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</si>
  <si>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</si>
  <si>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</si>
  <si>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</si>
  <si>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</si>
  <si>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</si>
  <si>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</si>
  <si>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</si>
  <si>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</si>
  <si>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</si>
  <si>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</si>
  <si>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</si>
  <si>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</si>
  <si>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</si>
  <si>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</si>
  <si>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</si>
  <si>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</si>
  <si>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</si>
  <si>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</si>
  <si>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</si>
  <si>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</si>
  <si>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</si>
  <si>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</si>
  <si>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</si>
  <si>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</si>
  <si>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</si>
  <si>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</si>
  <si>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</si>
  <si>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</si>
  <si>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</si>
  <si>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</si>
  <si>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</si>
  <si>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</si>
  <si>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</si>
  <si>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</si>
  <si>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</si>
  <si>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</si>
  <si>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</si>
  <si>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</si>
  <si>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</si>
  <si>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</si>
  <si>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</si>
  <si>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</si>
  <si>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</si>
  <si>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</si>
  <si>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</si>
  <si>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</si>
  <si>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</si>
  <si>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</si>
  <si>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</si>
  <si>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</si>
  <si>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</si>
  <si>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</si>
  <si>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</si>
  <si>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</si>
  <si>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</si>
  <si>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</si>
  <si>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</si>
  <si>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</si>
  <si>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</si>
  <si>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</si>
  <si>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</si>
  <si>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</si>
  <si>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</si>
  <si>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</si>
  <si>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</si>
  <si>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</si>
  <si>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</si>
  <si>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</si>
  <si>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</si>
  <si>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</si>
  <si>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</si>
  <si>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</si>
  <si>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</si>
  <si>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</si>
  <si>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</si>
  <si>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</si>
  <si>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</si>
  <si>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</si>
  <si>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</si>
  <si>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</si>
  <si>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</si>
  <si>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</si>
  <si>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</si>
  <si>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</si>
  <si>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</si>
  <si>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</si>
  <si>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</si>
  <si>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</si>
  <si>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</si>
  <si>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</si>
  <si>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</si>
  <si>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</si>
  <si>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</si>
  <si>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</si>
  <si>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</si>
  <si>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</si>
  <si>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</si>
  <si>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</si>
  <si>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</si>
  <si>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</si>
  <si>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</si>
  <si>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</si>
  <si>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</si>
  <si>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</si>
  <si>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</si>
  <si>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</si>
  <si>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</si>
  <si>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</si>
  <si>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</si>
  <si>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</si>
  <si>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</si>
  <si>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</si>
  <si>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</si>
  <si>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</si>
  <si>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</si>
  <si>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</si>
  <si>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</si>
  <si>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</si>
  <si>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</si>
  <si>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</si>
  <si>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</si>
  <si>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</si>
  <si>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</si>
  <si>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</si>
  <si>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</si>
  <si>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</si>
  <si>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</si>
  <si>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</si>
  <si>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</si>
  <si>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</si>
  <si>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</si>
  <si>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</si>
  <si>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</si>
  <si>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</si>
  <si>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</si>
  <si>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</si>
  <si>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</si>
  <si>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</si>
  <si>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</si>
  <si>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</si>
  <si>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</si>
  <si>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</si>
  <si>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</si>
  <si>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</si>
  <si>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</si>
  <si>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</si>
  <si>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</si>
  <si>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</si>
  <si>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</si>
  <si>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</si>
  <si>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</si>
  <si>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</si>
  <si>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</si>
  <si>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</si>
  <si>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</si>
  <si>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</si>
  <si>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</si>
  <si>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</si>
  <si>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</si>
  <si>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</si>
  <si>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</si>
  <si>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</si>
  <si>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</si>
  <si>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</si>
  <si>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</si>
  <si>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</si>
  <si>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</si>
  <si>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</si>
  <si>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</si>
  <si>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</si>
  <si>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</si>
  <si>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</si>
  <si>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</si>
  <si>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</si>
  <si>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</si>
  <si>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</si>
  <si>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</si>
  <si>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</si>
  <si>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</si>
  <si>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</si>
  <si>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</si>
  <si>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</si>
  <si>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</si>
  <si>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</si>
  <si>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</si>
  <si>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</si>
  <si>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</si>
  <si>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</si>
  <si>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</si>
  <si>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</si>
  <si>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</si>
  <si>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</si>
  <si>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</si>
  <si>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</si>
  <si>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</si>
  <si>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</si>
  <si>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</si>
  <si>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</si>
  <si>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</si>
  <si>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</si>
  <si>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</si>
  <si>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</si>
  <si>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</si>
  <si>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</si>
  <si>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</si>
  <si>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</si>
  <si>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</si>
  <si>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</si>
  <si>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</si>
  <si>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</si>
  <si>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</si>
  <si>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</si>
  <si>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</si>
  <si>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</si>
  <si>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</si>
  <si>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</si>
  <si>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</si>
  <si>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</si>
  <si>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</si>
  <si>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</si>
  <si>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</si>
  <si>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</si>
  <si>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</si>
  <si>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</si>
  <si>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</si>
  <si>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</si>
  <si>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</si>
  <si>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</si>
  <si>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</si>
  <si>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</si>
  <si>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</si>
  <si>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</si>
  <si>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</si>
  <si>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</si>
  <si>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</si>
  <si>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</si>
  <si>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</si>
  <si>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</si>
  <si>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</si>
  <si>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</si>
  <si>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</si>
  <si>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</si>
  <si>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</si>
  <si>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</si>
  <si>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</si>
  <si>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</si>
  <si>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</si>
  <si>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</si>
  <si>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</si>
  <si>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</si>
  <si>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</si>
  <si>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</si>
  <si>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</si>
  <si>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</si>
  <si>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</si>
  <si>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</si>
  <si>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</si>
  <si>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</si>
  <si>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</si>
  <si>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</si>
  <si>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</si>
  <si>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</si>
  <si>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</si>
  <si>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</si>
  <si>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</si>
  <si>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</si>
  <si>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</si>
  <si>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</si>
  <si>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</si>
  <si>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</si>
  <si>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</si>
  <si>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</si>
  <si>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</si>
  <si>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</si>
  <si>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</si>
  <si>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</si>
  <si>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</si>
  <si>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</si>
  <si>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</si>
  <si>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</si>
  <si>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</si>
  <si>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</si>
  <si>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</si>
  <si>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</si>
  <si>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</si>
  <si>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</si>
  <si>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</si>
  <si>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</si>
  <si>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</si>
  <si>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</si>
  <si>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</si>
  <si>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</si>
  <si>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</si>
  <si>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</si>
  <si>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</si>
  <si>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</si>
  <si>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</si>
  <si>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</si>
  <si>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</si>
  <si>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</si>
  <si>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</si>
  <si>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</si>
  <si>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</si>
  <si>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</si>
  <si>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</si>
  <si>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</si>
  <si>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</si>
  <si>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</si>
  <si>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</si>
  <si>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</si>
  <si>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</si>
  <si>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</si>
  <si>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</si>
  <si>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</si>
  <si>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</si>
  <si>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</si>
  <si>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</si>
  <si>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</si>
  <si>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</si>
  <si>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</si>
  <si>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</si>
  <si>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</si>
  <si>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</si>
  <si>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</si>
  <si>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</si>
  <si>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</si>
  <si>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</si>
  <si>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</si>
  <si>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</si>
  <si>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</si>
  <si>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</si>
  <si>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</si>
  <si>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</si>
  <si>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</si>
  <si>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</si>
  <si>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</si>
  <si>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</si>
  <si>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</si>
  <si>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</si>
  <si>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</si>
  <si>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</si>
  <si>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</si>
  <si>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</si>
  <si>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</si>
  <si>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</si>
  <si>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</si>
  <si>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</si>
  <si>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</si>
  <si>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</si>
  <si>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</si>
  <si>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</si>
  <si>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</si>
  <si>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</si>
  <si>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</si>
  <si>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</si>
  <si>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</si>
  <si>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</si>
  <si>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</si>
  <si>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</si>
  <si>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</si>
  <si>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</si>
  <si>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</si>
  <si>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</si>
  <si>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</si>
  <si>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</si>
  <si>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</si>
  <si>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</si>
  <si>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</si>
  <si>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</si>
  <si>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</si>
  <si>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</si>
  <si>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</si>
  <si>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</si>
  <si>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</si>
  <si>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</si>
  <si>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</si>
  <si>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</si>
  <si>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</si>
  <si>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</si>
  <si>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</si>
  <si>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</si>
  <si>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</si>
  <si>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</si>
  <si>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</si>
  <si>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</si>
  <si>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</si>
  <si>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</si>
  <si>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</si>
  <si>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</si>
  <si>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</si>
  <si>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</si>
  <si>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</si>
  <si>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</si>
  <si>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</si>
  <si>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</si>
  <si>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</si>
  <si>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</si>
  <si>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</si>
  <si>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</si>
  <si>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</si>
  <si>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</si>
  <si>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</si>
  <si>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</si>
  <si>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</si>
  <si>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</si>
  <si>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</si>
  <si>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</si>
  <si>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</si>
  <si>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</si>
  <si>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</si>
  <si>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</si>
  <si>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</si>
  <si>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</si>
  <si>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</si>
  <si>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</si>
  <si>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</si>
  <si>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</si>
  <si>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</si>
  <si>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</si>
  <si>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</si>
  <si>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</si>
  <si>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</si>
  <si>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</si>
  <si>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</si>
  <si>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</si>
  <si>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</si>
  <si>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</si>
  <si>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</si>
  <si>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</si>
  <si>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</si>
  <si>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</si>
  <si>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</si>
  <si>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</si>
  <si>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</si>
  <si>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</si>
  <si>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</si>
  <si>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</si>
  <si>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</si>
  <si>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</si>
  <si>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</si>
  <si>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</si>
  <si>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</si>
  <si>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</si>
  <si>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</si>
  <si>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</si>
  <si>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</si>
  <si>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</si>
  <si>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</si>
  <si>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</si>
  <si>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</si>
  <si>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</si>
  <si>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</si>
  <si>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</si>
  <si>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</si>
  <si>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</si>
  <si>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</si>
  <si>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</si>
  <si>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</si>
  <si>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</si>
  <si>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</si>
  <si>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</si>
  <si>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</si>
  <si>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</si>
  <si>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</si>
  <si>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</si>
  <si>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</si>
  <si>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</si>
  <si>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</si>
  <si>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</si>
  <si>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</si>
  <si>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</si>
  <si>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</si>
  <si>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</si>
  <si>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</si>
  <si>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</si>
  <si>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</si>
  <si>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</si>
  <si>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</si>
  <si>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</si>
  <si>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</si>
  <si>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</si>
  <si>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</si>
  <si>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</si>
  <si>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</si>
  <si>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</si>
  <si>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</si>
  <si>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</si>
  <si>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</si>
  <si>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</si>
  <si>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</si>
  <si>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</si>
  <si>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</si>
  <si>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</si>
  <si>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</si>
  <si>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</si>
  <si>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</si>
  <si>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</si>
  <si>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</si>
  <si>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</si>
  <si>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</si>
  <si>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</si>
  <si>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</si>
  <si>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</si>
  <si>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</si>
  <si>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</si>
  <si>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</si>
  <si>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</si>
  <si>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</si>
  <si>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</si>
  <si>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</si>
  <si>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</si>
  <si>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</si>
  <si>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</si>
  <si>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</si>
  <si>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</si>
  <si>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</si>
  <si>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</si>
  <si>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</si>
  <si>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</si>
  <si>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</si>
  <si>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</si>
  <si>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</si>
  <si>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</si>
  <si>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</si>
  <si>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</si>
  <si>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</si>
  <si>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</si>
  <si>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</si>
  <si>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</si>
  <si>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</si>
  <si>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</si>
  <si>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</si>
  <si>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</si>
  <si>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</si>
  <si>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</si>
  <si>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</si>
  <si>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</si>
  <si>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</si>
  <si>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</si>
  <si>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</si>
  <si>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</si>
  <si>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</si>
  <si>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</si>
  <si>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</si>
  <si>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</si>
  <si>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</si>
  <si>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</si>
  <si>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</si>
  <si>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</si>
  <si>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</si>
  <si>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</si>
  <si>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</si>
  <si>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</si>
  <si>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</si>
  <si>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</si>
  <si>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</si>
  <si>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</si>
  <si>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</si>
  <si>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</si>
  <si>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</si>
  <si>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</si>
  <si>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</si>
  <si>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</si>
  <si>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</si>
  <si>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</si>
  <si>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</si>
  <si>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</si>
  <si>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</si>
  <si>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</si>
  <si>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</si>
  <si>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</si>
  <si>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</si>
  <si>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</si>
  <si>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</si>
  <si>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</si>
  <si>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</si>
  <si>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</si>
  <si>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</si>
  <si>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</si>
  <si>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</si>
  <si>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</si>
  <si>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</si>
  <si>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</si>
  <si>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</si>
  <si>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</si>
  <si>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</si>
  <si>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</si>
  <si>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</si>
  <si>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</si>
  <si>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</si>
  <si>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</si>
  <si>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</si>
  <si>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</si>
  <si>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</si>
  <si>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</si>
  <si>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</si>
  <si>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</si>
  <si>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</si>
  <si>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</si>
  <si>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</si>
  <si>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</si>
  <si>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</si>
  <si>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</si>
  <si>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</si>
  <si>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</si>
  <si>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</si>
  <si>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</si>
  <si>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</si>
  <si>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</si>
  <si>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</si>
  <si>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</si>
  <si>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</si>
  <si>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</si>
  <si>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</si>
  <si>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</si>
  <si>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</si>
  <si>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</si>
  <si>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</si>
  <si>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</si>
  <si>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</si>
  <si>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</si>
  <si>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</si>
  <si>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</si>
  <si>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</si>
  <si>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</si>
  <si>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</si>
  <si>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</si>
  <si>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</si>
  <si>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</si>
  <si>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</si>
  <si>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</si>
  <si>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</si>
  <si>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</si>
  <si>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</si>
  <si>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</si>
  <si>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</si>
  <si>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</si>
  <si>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</si>
  <si>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</si>
  <si>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</si>
  <si>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</si>
  <si>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</si>
  <si>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</si>
  <si>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</si>
  <si>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</si>
  <si>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</si>
  <si>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</si>
  <si>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</si>
  <si>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</si>
  <si>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</si>
  <si>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</si>
  <si>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</si>
  <si>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</si>
  <si>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</si>
  <si>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</si>
  <si>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</si>
  <si>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</si>
  <si>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</si>
  <si>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</si>
  <si>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</si>
  <si>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</si>
  <si>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</si>
  <si>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</si>
  <si>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</si>
  <si>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</si>
  <si>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</si>
  <si>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</si>
  <si>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</si>
  <si>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</si>
  <si>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</si>
  <si>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</si>
  <si>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</si>
  <si>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</si>
  <si>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</si>
  <si>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</si>
  <si>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</si>
  <si>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</si>
  <si>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</si>
  <si>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</si>
  <si>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</si>
  <si>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</si>
  <si>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</si>
  <si>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</si>
  <si>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</si>
  <si>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</si>
  <si>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</si>
  <si>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</si>
  <si>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</si>
  <si>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</si>
  <si>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</si>
  <si>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</si>
  <si>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</si>
  <si>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</si>
  <si>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</si>
  <si>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</si>
  <si>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</si>
  <si>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</si>
  <si>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</si>
  <si>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</si>
  <si>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</si>
  <si>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</si>
  <si>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</si>
  <si>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</si>
  <si>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</si>
  <si>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</si>
  <si>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</si>
  <si>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</si>
  <si>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</si>
  <si>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</si>
  <si>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</si>
  <si>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</si>
  <si>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</si>
  <si>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</si>
  <si>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</si>
  <si>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</si>
  <si>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</si>
  <si>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</si>
  <si>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</si>
  <si>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</si>
  <si>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</si>
  <si>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</si>
  <si>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</si>
  <si>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</si>
  <si>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</si>
  <si>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</si>
  <si>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</si>
  <si>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</si>
  <si>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</si>
  <si>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</si>
  <si>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</si>
  <si>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</si>
  <si>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</si>
  <si>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</si>
  <si>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</si>
  <si>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</si>
  <si>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</si>
  <si>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</si>
  <si>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</si>
  <si>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</si>
  <si>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</si>
  <si>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</si>
  <si>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</si>
  <si>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</si>
  <si>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</si>
  <si>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</si>
  <si>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</si>
  <si>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</si>
  <si>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</si>
  <si>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</si>
  <si>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</si>
  <si>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</si>
  <si>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</si>
  <si>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</si>
  <si>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</si>
  <si>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</si>
  <si>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</si>
  <si>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</si>
  <si>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</si>
  <si>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</si>
  <si>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</si>
  <si>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</si>
  <si>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</si>
  <si>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</si>
  <si>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</si>
  <si>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</si>
  <si>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</si>
  <si>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</si>
  <si>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</si>
  <si>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</si>
  <si>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</si>
  <si>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</si>
  <si>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</si>
  <si>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</si>
  <si>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</si>
  <si>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</si>
  <si>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</si>
  <si>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</si>
  <si>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</si>
  <si>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</si>
  <si>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</si>
  <si>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</si>
  <si>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</si>
  <si>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</si>
  <si>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</si>
  <si>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</si>
  <si>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</si>
  <si>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</si>
  <si>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</si>
  <si>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</si>
  <si>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</si>
  <si>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</si>
  <si>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</si>
  <si>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</si>
  <si>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</si>
  <si>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</si>
  <si>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</si>
  <si>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</si>
  <si>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</si>
  <si>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</si>
  <si>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</si>
  <si>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</si>
  <si>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</si>
  <si>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</si>
  <si>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</si>
  <si>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</si>
  <si>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</si>
  <si>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</si>
  <si>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</si>
  <si>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</si>
  <si>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</si>
  <si>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</si>
  <si>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</si>
  <si>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</si>
  <si>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</si>
  <si>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</si>
  <si>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</si>
  <si>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</si>
  <si>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</si>
  <si>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</si>
  <si>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</si>
  <si>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</si>
  <si>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</si>
  <si>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</si>
  <si>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</si>
  <si>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</si>
  <si>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</si>
  <si>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</si>
  <si>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</si>
  <si>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</si>
  <si>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</si>
  <si>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</si>
  <si>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</si>
  <si>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</si>
  <si>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</si>
  <si>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</si>
  <si>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</si>
  <si>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</si>
  <si>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</si>
  <si>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</si>
  <si>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</si>
  <si>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</si>
  <si>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</si>
  <si>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</si>
  <si>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</si>
  <si>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</si>
  <si>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</si>
  <si>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</si>
  <si>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</si>
  <si>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</si>
  <si>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</si>
  <si>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</si>
  <si>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</si>
  <si>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</si>
  <si>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</si>
  <si>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</si>
  <si>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</si>
  <si>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</si>
  <si>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</si>
  <si>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</si>
  <si>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</si>
  <si>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</si>
  <si>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</si>
  <si>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</si>
  <si>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</si>
  <si>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</si>
  <si>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</si>
  <si>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</si>
  <si>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</si>
  <si>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</si>
  <si>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</si>
  <si>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</si>
  <si>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</si>
  <si>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</si>
  <si>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</si>
  <si>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</si>
  <si>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</si>
  <si>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</si>
  <si>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</si>
  <si>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</si>
  <si>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</si>
  <si>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</si>
  <si>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</si>
  <si>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</si>
  <si>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</si>
  <si>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</si>
  <si>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</si>
  <si>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</si>
  <si>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</si>
  <si>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</si>
  <si>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</si>
  <si>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</si>
  <si>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</si>
  <si>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</si>
  <si>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</si>
  <si>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</si>
  <si>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</si>
  <si>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</si>
  <si>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</si>
  <si>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</si>
  <si>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</si>
  <si>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</si>
  <si>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</si>
  <si>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</si>
  <si>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</si>
  <si>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</si>
  <si>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</si>
  <si>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</si>
  <si>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</si>
  <si>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</si>
  <si>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</si>
  <si>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</si>
  <si>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</si>
  <si>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</si>
  <si>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</si>
  <si>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</si>
  <si>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</si>
  <si>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</si>
  <si>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</si>
  <si>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</si>
  <si>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</si>
  <si>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</si>
  <si>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</si>
  <si>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</si>
  <si>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</si>
  <si>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</si>
  <si>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</si>
  <si>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</si>
  <si>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</si>
  <si>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</si>
  <si>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</si>
  <si>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</si>
  <si>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</si>
  <si>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</si>
  <si>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</si>
  <si>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</si>
  <si>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</si>
  <si>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</si>
  <si>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</si>
  <si>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</si>
  <si>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</si>
  <si>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</si>
  <si>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</si>
  <si>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</si>
  <si>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</si>
  <si>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</si>
  <si>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</si>
  <si>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</si>
  <si>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</si>
  <si>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</si>
  <si>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</si>
  <si>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</si>
  <si>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</si>
  <si>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</si>
  <si>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</si>
  <si>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</si>
  <si>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</si>
  <si>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</si>
  <si>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</si>
  <si>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</si>
  <si>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</si>
  <si>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</si>
  <si>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</si>
  <si>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</si>
  <si>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</si>
  <si>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</si>
  <si>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</si>
  <si>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</si>
  <si>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</si>
  <si>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</si>
  <si>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</si>
  <si>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</si>
  <si>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</si>
  <si>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</si>
  <si>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</si>
  <si>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</si>
  <si>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</si>
  <si>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</si>
  <si>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</si>
  <si>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</si>
  <si>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</si>
  <si>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</si>
  <si>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</si>
  <si>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</si>
  <si>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</si>
  <si>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</si>
  <si>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</si>
  <si>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</si>
  <si>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</si>
  <si>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</si>
  <si>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</si>
  <si>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</si>
  <si>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</si>
  <si>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</si>
  <si>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</si>
  <si>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</si>
  <si>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</si>
  <si>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</si>
  <si>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</si>
  <si>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</si>
  <si>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</si>
  <si>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</si>
  <si>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</si>
  <si>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</si>
  <si>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</si>
  <si>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</si>
  <si>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</si>
  <si>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</si>
  <si>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</si>
  <si>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</si>
  <si>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</si>
  <si>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</si>
  <si>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</si>
  <si>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</si>
  <si>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</si>
  <si>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</si>
  <si>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</si>
  <si>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</si>
  <si>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</si>
  <si>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</si>
  <si>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</si>
  <si>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</si>
  <si>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</si>
  <si>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</si>
  <si>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</si>
  <si>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</si>
  <si>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</si>
  <si>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</si>
  <si>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</si>
  <si>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</si>
  <si>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</si>
  <si>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</si>
  <si>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</si>
  <si>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</si>
  <si>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</si>
  <si>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</si>
  <si>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</si>
  <si>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</si>
  <si>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</si>
  <si>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</si>
  <si>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</si>
  <si>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</si>
  <si>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</si>
  <si>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</si>
  <si>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</si>
  <si>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</si>
  <si>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</si>
  <si>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</si>
  <si>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</si>
  <si>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</si>
  <si>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</si>
  <si>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</si>
  <si>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</si>
  <si>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</si>
  <si>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</si>
  <si>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</si>
  <si>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</si>
  <si>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</si>
  <si>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</si>
  <si>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</si>
  <si>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</si>
  <si>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</si>
  <si>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</si>
  <si>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</si>
  <si>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</si>
  <si>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</si>
  <si>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</si>
  <si>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</si>
  <si>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</si>
  <si>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</si>
  <si>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</si>
  <si>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</si>
  <si>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</si>
  <si>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</si>
  <si>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</si>
  <si>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</si>
  <si>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</si>
  <si>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</si>
  <si>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</si>
  <si>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</si>
  <si>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</si>
  <si>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</si>
  <si>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</si>
  <si>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</si>
  <si>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</si>
  <si>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</si>
  <si>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</si>
  <si>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</si>
  <si>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</si>
  <si>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Fund 21 FS Inventory in prior year corrected to audited balance, resulting in change in beginning equity</t>
  </si>
  <si>
    <t>Fund 10 AP in prior year corrected, resulting in change in beginning equity</t>
  </si>
  <si>
    <t>08/05</t>
  </si>
  <si>
    <t>10/19</t>
  </si>
  <si>
    <t>08/24</t>
  </si>
  <si>
    <t>10/23</t>
  </si>
  <si>
    <t>Correction to balances for py audit entries</t>
  </si>
  <si>
    <t>Correction to student activities balances for py audit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</si>
</sst>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H671" sqref="H671"/>
    </sheetView>
  </sheetViews>
  <sheetFormatPr defaultRowHeight="12.2" customHeight="1" x14ac:dyDescent="0.2"/>
  <cols>
    <col min="1" max="1" width="45.1640625" customWidth="1"/>
    <col min="2" max="2" width="5.16406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1033</v>
      </c>
      <c r="B2">
        <f>INDEX('School Tables'!$AH$3:$AH$208,MATCH('DOE25'!A2,'School Tables'!$AJ$3:$AJ$208,0))</f>
        <v>174</v>
      </c>
      <c r="C2">
        <f>INDEX('School Tables'!$AI$3:$AI$208,MATCH('DOE25'!A2,'School Tables'!$AJ$3:$AJ$208,0))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2650021.0099999998</v>
      </c>
      <c r="G9" s="18"/>
      <c r="H9" s="18">
        <v>151786</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v>106144</v>
      </c>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889847.34+26684</f>
        <v>916531.34</v>
      </c>
      <c r="G12" s="18">
        <v>21504.36</v>
      </c>
      <c r="H12" s="18">
        <v>3243.12</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165519.79-26684+2999.96</f>
        <v>141835.75</v>
      </c>
      <c r="G13" s="18">
        <v>229336.99</v>
      </c>
      <c r="H13" s="18">
        <v>1098525.95</v>
      </c>
      <c r="I13" s="18"/>
      <c r="J13" s="13">
        <f>SUM(I443)</f>
        <v>2656421.9500000002</v>
      </c>
      <c r="K13" s="23" t="s">
        <v>288</v>
      </c>
      <c r="L13" s="23" t="s">
        <v>288</v>
      </c>
      <c r="M13" s="8"/>
      <c r="N13" s="165"/>
    </row>
    <row r="14" spans="1:14" s="3" customFormat="1" ht="12.2" customHeight="1" x14ac:dyDescent="0.15">
      <c r="A14" s="1" t="s">
        <v>565</v>
      </c>
      <c r="B14" s="2" t="s">
        <v>289</v>
      </c>
      <c r="C14" s="6">
        <v>6</v>
      </c>
      <c r="D14" s="2" t="s">
        <v>428</v>
      </c>
      <c r="E14" s="6">
        <v>150</v>
      </c>
      <c r="F14" s="18">
        <v>9448.77</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29758.81</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208593.89</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3926430.76</v>
      </c>
      <c r="G19" s="38">
        <f>SUM(G9:G18)</f>
        <v>280600.15999999997</v>
      </c>
      <c r="H19" s="38">
        <f>SUM(H9:H18)</f>
        <v>1359699.0699999998</v>
      </c>
      <c r="I19" s="38">
        <f>SUM(I9:I18)</f>
        <v>0</v>
      </c>
      <c r="J19" s="38">
        <f>SUM(J9:J18)</f>
        <v>2656421.9500000002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914594.81</v>
      </c>
      <c r="I22" s="18"/>
      <c r="J22" s="13">
        <f>SUM(I449)</f>
        <v>26684</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637941.43+17480</f>
        <v>655421.43000000005</v>
      </c>
      <c r="G24" s="18">
        <v>85567.74</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1767134.04</v>
      </c>
      <c r="G28" s="18"/>
      <c r="H28" s="18">
        <v>68291.600000000006</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53158.81</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2422555.4700000002</v>
      </c>
      <c r="G32" s="38">
        <f>SUM(G22:G31)</f>
        <v>138726.54999999999</v>
      </c>
      <c r="H32" s="38">
        <f>SUM(H22:H31)</f>
        <v>982886.41</v>
      </c>
      <c r="I32" s="38">
        <f>SUM(I22:I31)</f>
        <v>0</v>
      </c>
      <c r="J32" s="38">
        <f>SUM(J22:J31)</f>
        <v>26684</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29758.81</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v>112114.8</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v>500000</v>
      </c>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f>115639.54+257930+3243.12</f>
        <v>376812.66</v>
      </c>
      <c r="I48" s="18"/>
      <c r="J48" s="13">
        <f>SUM(I460)</f>
        <v>2629737.9500000002</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f>1000875.33+2999.96</f>
        <v>1003875.2899999999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1503875.29</v>
      </c>
      <c r="G51" s="38">
        <f>SUM(G35:G50)</f>
        <v>141873.61000000002</v>
      </c>
      <c r="H51" s="38">
        <f>SUM(H35:H50)</f>
        <v>376812.66</v>
      </c>
      <c r="I51" s="38">
        <f>SUM(I35:I50)</f>
        <v>0</v>
      </c>
      <c r="J51" s="38">
        <f>SUM(J35:J50)</f>
        <v>2629737.9500000002</v>
      </c>
      <c r="K51" s="42" t="s">
        <v>288</v>
      </c>
      <c r="L51" s="42" t="s">
        <v>288</v>
      </c>
      <c r="N51" s="131"/>
    </row>
    <row r="52" spans="1:14" s="3" customFormat="1" ht="12.2" customHeight="1" thickTop="1" x14ac:dyDescent="0.15">
      <c r="A52" s="35" t="s">
        <v>455</v>
      </c>
      <c r="B52" s="36" t="s">
        <v>289</v>
      </c>
      <c r="C52" s="6">
        <v>37</v>
      </c>
      <c r="D52" s="36" t="s">
        <v>653</v>
      </c>
      <c r="E52" s="36"/>
      <c r="F52" s="38">
        <f>F51+F32</f>
        <v>3926430.7600000002</v>
      </c>
      <c r="G52" s="38">
        <f>G51+G32</f>
        <v>280600.16000000003</v>
      </c>
      <c r="H52" s="38">
        <f>H51+H32</f>
        <v>1359699.07</v>
      </c>
      <c r="I52" s="38">
        <f>I51+I32</f>
        <v>0</v>
      </c>
      <c r="J52" s="38">
        <f>J51+J32</f>
        <v>2656421.9500000002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17579622.04+2999.96+1</f>
        <v>17582623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17582623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729540.31-30694</f>
        <v>698846.31</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f>134001.19-110574.64</f>
        <v>23426.550000000003</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30694</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752966.8600000001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42479.61</v>
      </c>
      <c r="G96" s="18"/>
      <c r="H96" s="18"/>
      <c r="I96" s="18"/>
      <c r="J96" s="18">
        <v>-150774.04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31893.94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f>133946.05+282.44+0.2</f>
        <v>134228.69</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390903.13-1</f>
        <v>390902.13</v>
      </c>
      <c r="G110" s="18"/>
      <c r="H110" s="18">
        <v>171573.06</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433381.74</v>
      </c>
      <c r="G111" s="38">
        <f>SUM(G96:G110)</f>
        <v>31893.94</v>
      </c>
      <c r="H111" s="38">
        <f>SUM(H96:H110)</f>
        <v>305801.75</v>
      </c>
      <c r="I111" s="38">
        <f>SUM(I96:I110)</f>
        <v>0</v>
      </c>
      <c r="J111" s="38">
        <f>SUM(J96:J110)</f>
        <v>-150774.04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18768971.599999998</v>
      </c>
      <c r="G112" s="38">
        <f>G60+G111</f>
        <v>31893.94</v>
      </c>
      <c r="H112" s="38">
        <f>H60+H79+H94+H111</f>
        <v>305801.75</v>
      </c>
      <c r="I112" s="38">
        <f>I60+I111</f>
        <v>0</v>
      </c>
      <c r="J112" s="38">
        <f>J60+J111</f>
        <v>-150774.04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9151510.4199999999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1979284</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10673.97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11141468.390000001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57038.49</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151303.82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97506.64</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13068</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17909.89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318916.95</v>
      </c>
      <c r="G136" s="38">
        <f>SUM(G123:G135)</f>
        <v>17909.89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11460385.34</v>
      </c>
      <c r="G140" s="38">
        <f>G121+SUM(G136:G137)</f>
        <v>17909.89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458133.3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73410.36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51957.36</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1240444.34-7118.84</f>
        <v>1233325.5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442197.22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234381.55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266374</v>
      </c>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697851.24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234381.55</v>
      </c>
      <c r="G163" s="38">
        <f>SUM(G150:G162)</f>
        <v>1233325.5</v>
      </c>
      <c r="H163" s="38">
        <f>SUM(H150:H162)</f>
        <v>1989923.48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234381.55</v>
      </c>
      <c r="G170" s="38">
        <f>G147+G163+SUM(G164:G169)</f>
        <v>1233325.5</v>
      </c>
      <c r="H170" s="38">
        <f>H147+H163+SUM(H164:H169)</f>
        <v>1989923.48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118907.64</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118907.64</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118907.64</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30582646.129999999</v>
      </c>
      <c r="G194" s="38">
        <f>G112+G140+G170+G193</f>
        <v>1283129.33</v>
      </c>
      <c r="H194" s="38">
        <f>H112+H140+H170+H193</f>
        <v>2295725.23</v>
      </c>
      <c r="I194" s="38">
        <f>I112+I140+I170+I193</f>
        <v>0</v>
      </c>
      <c r="J194" s="38">
        <f>J112+J140+J193</f>
        <v>-150774.04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4940855.07</v>
      </c>
      <c r="G198" s="18">
        <v>2770655.79</v>
      </c>
      <c r="H198" s="18">
        <v>7325.3</v>
      </c>
      <c r="I198" s="18">
        <v>206636.01</v>
      </c>
      <c r="J198" s="18">
        <v>65250.25</v>
      </c>
      <c r="K198" s="18">
        <v>5609.35</v>
      </c>
      <c r="L198" s="13">
        <f>SUM(F198:K198)</f>
        <v>7996331.7699999996</v>
      </c>
      <c r="M198" s="8"/>
      <c r="N198" s="165"/>
    </row>
    <row r="199" spans="1:14" s="3" customFormat="1" ht="12.2" customHeight="1" x14ac:dyDescent="0.15">
      <c r="A199" s="1" t="s">
        <v>439</v>
      </c>
      <c r="B199" s="2" t="s">
        <v>341</v>
      </c>
      <c r="C199" s="2" t="s">
        <v>291</v>
      </c>
      <c r="D199" s="2" t="s">
        <v>431</v>
      </c>
      <c r="E199" s="6">
        <v>1200</v>
      </c>
      <c r="F199" s="18">
        <v>2661744.9500000002</v>
      </c>
      <c r="G199" s="18">
        <v>1060391.6599999999</v>
      </c>
      <c r="H199" s="18">
        <v>872861.49</v>
      </c>
      <c r="I199" s="18">
        <v>15726.6</v>
      </c>
      <c r="J199" s="18">
        <v>7730.68</v>
      </c>
      <c r="K199" s="18">
        <v>1233.4000000000001</v>
      </c>
      <c r="L199" s="13">
        <f>SUM(F199:K199)</f>
        <v>4619688.78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78350</v>
      </c>
      <c r="G201" s="18">
        <v>13829.47</v>
      </c>
      <c r="H201" s="18">
        <v>15483.49</v>
      </c>
      <c r="I201" s="18">
        <v>8939.3700000000008</v>
      </c>
      <c r="J201" s="18">
        <v>15605.05</v>
      </c>
      <c r="K201" s="18"/>
      <c r="L201" s="13">
        <f>SUM(F201:K201)</f>
        <v>132207.38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1119290.19</v>
      </c>
      <c r="G203" s="18">
        <v>534914.37</v>
      </c>
      <c r="H203" s="18">
        <v>6243.97</v>
      </c>
      <c r="I203" s="18">
        <v>21147.79</v>
      </c>
      <c r="J203" s="18">
        <v>18831.29</v>
      </c>
      <c r="K203" s="18"/>
      <c r="L203" s="13">
        <f t="shared" ref="L203:L209" si="0">SUM(F203:K203)</f>
        <v>1700427.61</v>
      </c>
      <c r="M203" s="8"/>
      <c r="N203" s="165"/>
    </row>
    <row r="204" spans="1:14" s="3" customFormat="1" ht="12.2" customHeight="1" x14ac:dyDescent="0.15">
      <c r="A204" s="1" t="s">
        <v>443</v>
      </c>
      <c r="B204" s="2" t="s">
        <v>341</v>
      </c>
      <c r="C204" s="2" t="s">
        <v>295</v>
      </c>
      <c r="D204" s="2" t="s">
        <v>431</v>
      </c>
      <c r="E204" s="6">
        <v>2200</v>
      </c>
      <c r="F204" s="18">
        <v>517326</v>
      </c>
      <c r="G204" s="18">
        <v>230295.56</v>
      </c>
      <c r="H204" s="18">
        <v>111676.23</v>
      </c>
      <c r="I204" s="18">
        <v>96872.99</v>
      </c>
      <c r="J204" s="18">
        <v>28952.51</v>
      </c>
      <c r="K204" s="18">
        <v>11360.71</v>
      </c>
      <c r="L204" s="13">
        <f t="shared" si="0"/>
        <v>996484</v>
      </c>
      <c r="M204" s="8"/>
      <c r="N204" s="165"/>
    </row>
    <row r="205" spans="1:14" s="3" customFormat="1" ht="12.2" customHeight="1" x14ac:dyDescent="0.15">
      <c r="A205" s="1" t="s">
        <v>444</v>
      </c>
      <c r="B205" s="2" t="s">
        <v>341</v>
      </c>
      <c r="C205" s="2" t="s">
        <v>296</v>
      </c>
      <c r="D205" s="2" t="s">
        <v>431</v>
      </c>
      <c r="E205" s="6">
        <v>2300</v>
      </c>
      <c r="F205" s="18">
        <v>211112.35</v>
      </c>
      <c r="G205" s="18">
        <v>80089.179999999993</v>
      </c>
      <c r="H205" s="18">
        <v>152274.93</v>
      </c>
      <c r="I205" s="18">
        <v>15758.77</v>
      </c>
      <c r="J205" s="18">
        <v>2672.35</v>
      </c>
      <c r="K205" s="18">
        <v>5363.37</v>
      </c>
      <c r="L205" s="13">
        <f t="shared" si="0"/>
        <v>467270.95</v>
      </c>
      <c r="M205" s="8"/>
      <c r="N205" s="165"/>
    </row>
    <row r="206" spans="1:14" s="3" customFormat="1" ht="12.2" customHeight="1" x14ac:dyDescent="0.15">
      <c r="A206" s="1" t="s">
        <v>445</v>
      </c>
      <c r="B206" s="2" t="s">
        <v>341</v>
      </c>
      <c r="C206" s="2" t="s">
        <v>297</v>
      </c>
      <c r="D206" s="2" t="s">
        <v>431</v>
      </c>
      <c r="E206" s="6">
        <v>2400</v>
      </c>
      <c r="F206" s="18">
        <v>796218.94</v>
      </c>
      <c r="G206" s="18">
        <v>322235</v>
      </c>
      <c r="H206" s="18">
        <v>32607.46</v>
      </c>
      <c r="I206" s="18">
        <v>13125.14</v>
      </c>
      <c r="J206" s="18">
        <v>1987.77</v>
      </c>
      <c r="K206" s="18">
        <v>1984</v>
      </c>
      <c r="L206" s="13">
        <f t="shared" si="0"/>
        <v>1168158.3099999998</v>
      </c>
      <c r="M206" s="8"/>
      <c r="N206" s="165"/>
    </row>
    <row r="207" spans="1:14" s="3" customFormat="1" ht="12.2" customHeight="1" x14ac:dyDescent="0.15">
      <c r="A207" s="1" t="s">
        <v>446</v>
      </c>
      <c r="B207" s="2" t="s">
        <v>341</v>
      </c>
      <c r="C207" s="2" t="s">
        <v>298</v>
      </c>
      <c r="D207" s="2" t="s">
        <v>431</v>
      </c>
      <c r="E207" s="6">
        <v>2500</v>
      </c>
      <c r="F207" s="18">
        <v>96091.7</v>
      </c>
      <c r="G207" s="18">
        <v>47987.65</v>
      </c>
      <c r="H207" s="18">
        <v>49456.7</v>
      </c>
      <c r="I207" s="18">
        <v>25562.11</v>
      </c>
      <c r="J207" s="18"/>
      <c r="K207" s="18">
        <v>23.33</v>
      </c>
      <c r="L207" s="13">
        <f t="shared" si="0"/>
        <v>219121.48999999996</v>
      </c>
      <c r="M207" s="8"/>
      <c r="N207" s="165"/>
    </row>
    <row r="208" spans="1:14" s="3" customFormat="1" ht="12.2" customHeight="1" x14ac:dyDescent="0.15">
      <c r="A208" s="1" t="s">
        <v>447</v>
      </c>
      <c r="B208" s="2" t="s">
        <v>341</v>
      </c>
      <c r="C208" s="2" t="s">
        <v>299</v>
      </c>
      <c r="D208" s="2" t="s">
        <v>431</v>
      </c>
      <c r="E208" s="6">
        <v>2600</v>
      </c>
      <c r="F208" s="18">
        <v>757549.03</v>
      </c>
      <c r="G208" s="18">
        <v>360068.28</v>
      </c>
      <c r="H208" s="18">
        <v>575770.46</v>
      </c>
      <c r="I208" s="18">
        <v>424019.55</v>
      </c>
      <c r="J208" s="18">
        <v>8534.5499999999993</v>
      </c>
      <c r="K208" s="18"/>
      <c r="L208" s="13">
        <f t="shared" si="0"/>
        <v>2125941.8699999996</v>
      </c>
      <c r="M208" s="8"/>
      <c r="N208" s="165"/>
    </row>
    <row r="209" spans="1:14" s="3" customFormat="1" ht="12.2" customHeight="1" x14ac:dyDescent="0.15">
      <c r="A209" s="1" t="s">
        <v>448</v>
      </c>
      <c r="B209" s="2" t="s">
        <v>341</v>
      </c>
      <c r="C209" s="2" t="s">
        <v>300</v>
      </c>
      <c r="D209" s="2" t="s">
        <v>431</v>
      </c>
      <c r="E209" s="6">
        <v>2700</v>
      </c>
      <c r="F209" s="18">
        <v>386196.35</v>
      </c>
      <c r="G209" s="18">
        <v>97181.39</v>
      </c>
      <c r="H209" s="18">
        <v>271652</v>
      </c>
      <c r="I209" s="18">
        <v>113888.5</v>
      </c>
      <c r="J209" s="18">
        <v>65881.570000000007</v>
      </c>
      <c r="K209" s="18"/>
      <c r="L209" s="13">
        <f t="shared" si="0"/>
        <v>934799.81</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11564734.579999998</v>
      </c>
      <c r="G212" s="38">
        <f t="shared" si="1"/>
        <v>5517648.3499999996</v>
      </c>
      <c r="H212" s="38">
        <f t="shared" si="1"/>
        <v>2095352.0299999998</v>
      </c>
      <c r="I212" s="38">
        <f t="shared" si="1"/>
        <v>941676.83000000007</v>
      </c>
      <c r="J212" s="38">
        <f t="shared" si="1"/>
        <v>215446.02</v>
      </c>
      <c r="K212" s="38">
        <f t="shared" si="1"/>
        <v>25574.16</v>
      </c>
      <c r="L212" s="38">
        <f t="shared" si="1"/>
        <v>20360431.969999999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1873884.79</v>
      </c>
      <c r="G234" s="18">
        <v>1031329.58</v>
      </c>
      <c r="H234" s="18">
        <v>10226.219999999999</v>
      </c>
      <c r="I234" s="18">
        <v>95608.37</v>
      </c>
      <c r="J234" s="18">
        <v>43785.58</v>
      </c>
      <c r="K234" s="18">
        <v>11745.5</v>
      </c>
      <c r="L234" s="13">
        <f>SUM(F234:K234)</f>
        <v>3066580.0400000005</v>
      </c>
      <c r="M234" s="8"/>
      <c r="N234" s="165"/>
    </row>
    <row r="235" spans="1:14" s="3" customFormat="1" ht="12.2" customHeight="1" x14ac:dyDescent="0.15">
      <c r="A235" s="1" t="s">
        <v>439</v>
      </c>
      <c r="B235" s="2" t="s">
        <v>350</v>
      </c>
      <c r="C235" s="2" t="s">
        <v>291</v>
      </c>
      <c r="D235" s="2" t="s">
        <v>431</v>
      </c>
      <c r="E235" s="6">
        <v>1200</v>
      </c>
      <c r="F235" s="18">
        <v>1180645.95</v>
      </c>
      <c r="G235" s="18">
        <v>542002.28</v>
      </c>
      <c r="H235" s="18">
        <v>436499.24</v>
      </c>
      <c r="I235" s="18">
        <v>16872.7</v>
      </c>
      <c r="J235" s="18">
        <v>2862.34</v>
      </c>
      <c r="K235" s="18">
        <v>616.61</v>
      </c>
      <c r="L235" s="13">
        <f>SUM(F235:K235)</f>
        <v>2179499.1199999996</v>
      </c>
      <c r="M235" s="8"/>
      <c r="N235" s="165"/>
    </row>
    <row r="236" spans="1:14" s="3" customFormat="1" ht="12.2" customHeight="1" x14ac:dyDescent="0.15">
      <c r="A236" s="1" t="s">
        <v>440</v>
      </c>
      <c r="B236" s="2" t="s">
        <v>350</v>
      </c>
      <c r="C236" s="2" t="s">
        <v>292</v>
      </c>
      <c r="D236" s="2" t="s">
        <v>431</v>
      </c>
      <c r="E236" s="6">
        <v>1300</v>
      </c>
      <c r="F236" s="18">
        <v>342538.32</v>
      </c>
      <c r="G236" s="18">
        <v>146069.94</v>
      </c>
      <c r="H236" s="18">
        <v>186660.12</v>
      </c>
      <c r="I236" s="18">
        <v>43262.09</v>
      </c>
      <c r="J236" s="18">
        <v>3662.9</v>
      </c>
      <c r="K236" s="18">
        <v>160</v>
      </c>
      <c r="L236" s="13">
        <f>SUM(F236:K236)</f>
        <v>722353.37</v>
      </c>
      <c r="M236" s="8"/>
      <c r="N236" s="165"/>
    </row>
    <row r="237" spans="1:14" s="3" customFormat="1" ht="12.2" customHeight="1" x14ac:dyDescent="0.15">
      <c r="A237" s="1" t="s">
        <v>441</v>
      </c>
      <c r="B237" s="2" t="s">
        <v>350</v>
      </c>
      <c r="C237" s="2" t="s">
        <v>293</v>
      </c>
      <c r="D237" s="2" t="s">
        <v>431</v>
      </c>
      <c r="E237" s="6">
        <v>1400</v>
      </c>
      <c r="F237" s="18">
        <v>182821.29</v>
      </c>
      <c r="G237" s="18">
        <v>53449.72</v>
      </c>
      <c r="H237" s="18">
        <v>57379.73</v>
      </c>
      <c r="I237" s="18">
        <v>10264.39</v>
      </c>
      <c r="J237" s="18">
        <v>22043.69</v>
      </c>
      <c r="K237" s="18">
        <v>5080</v>
      </c>
      <c r="L237" s="13">
        <f>SUM(F237:K237)</f>
        <v>331038.82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353929.41</v>
      </c>
      <c r="G239" s="18">
        <v>270117.17</v>
      </c>
      <c r="H239" s="18">
        <v>72905.289999999994</v>
      </c>
      <c r="I239" s="18">
        <v>5906.75</v>
      </c>
      <c r="J239" s="18">
        <v>6530</v>
      </c>
      <c r="K239" s="18">
        <v>537</v>
      </c>
      <c r="L239" s="13">
        <f t="shared" ref="L239:L245" si="4">SUM(F239:K239)</f>
        <v>709925.62</v>
      </c>
      <c r="M239" s="8"/>
      <c r="N239" s="165"/>
    </row>
    <row r="240" spans="1:14" s="3" customFormat="1" ht="12.2" customHeight="1" x14ac:dyDescent="0.15">
      <c r="A240" s="1" t="s">
        <v>443</v>
      </c>
      <c r="B240" s="2" t="s">
        <v>350</v>
      </c>
      <c r="C240" s="2" t="s">
        <v>295</v>
      </c>
      <c r="D240" s="2" t="s">
        <v>431</v>
      </c>
      <c r="E240" s="6">
        <v>2200</v>
      </c>
      <c r="F240" s="18">
        <v>301903.64</v>
      </c>
      <c r="G240" s="18">
        <v>134681.93</v>
      </c>
      <c r="H240" s="18">
        <v>59200.39</v>
      </c>
      <c r="I240" s="18">
        <v>52439.39</v>
      </c>
      <c r="J240" s="18">
        <v>16976.169999999998</v>
      </c>
      <c r="K240" s="18">
        <v>5799.79</v>
      </c>
      <c r="L240" s="13">
        <f t="shared" si="4"/>
        <v>571001.31000000006</v>
      </c>
      <c r="M240" s="8"/>
      <c r="N240" s="165"/>
    </row>
    <row r="241" spans="1:14" s="3" customFormat="1" ht="12.2" customHeight="1" x14ac:dyDescent="0.15">
      <c r="A241" s="1" t="s">
        <v>444</v>
      </c>
      <c r="B241" s="2" t="s">
        <v>350</v>
      </c>
      <c r="C241" s="2" t="s">
        <v>296</v>
      </c>
      <c r="D241" s="2" t="s">
        <v>431</v>
      </c>
      <c r="E241" s="6">
        <v>2300</v>
      </c>
      <c r="F241" s="18">
        <v>105540.34</v>
      </c>
      <c r="G241" s="18">
        <v>40038.58</v>
      </c>
      <c r="H241" s="18">
        <v>76126.05</v>
      </c>
      <c r="I241" s="18">
        <v>7878.21</v>
      </c>
      <c r="J241" s="18">
        <v>1335.97</v>
      </c>
      <c r="K241" s="18">
        <v>2681.29</v>
      </c>
      <c r="L241" s="13">
        <f t="shared" si="4"/>
        <v>233600.43999999997</v>
      </c>
      <c r="M241" s="8"/>
      <c r="N241" s="165"/>
    </row>
    <row r="242" spans="1:14" s="3" customFormat="1" ht="12.2" customHeight="1" x14ac:dyDescent="0.15">
      <c r="A242" s="1" t="s">
        <v>445</v>
      </c>
      <c r="B242" s="2" t="s">
        <v>350</v>
      </c>
      <c r="C242" s="2" t="s">
        <v>297</v>
      </c>
      <c r="D242" s="2" t="s">
        <v>431</v>
      </c>
      <c r="E242" s="6">
        <v>2400</v>
      </c>
      <c r="F242" s="18">
        <v>301969.46999999997</v>
      </c>
      <c r="G242" s="18">
        <v>162902.35</v>
      </c>
      <c r="H242" s="18">
        <v>10590.83</v>
      </c>
      <c r="I242" s="18">
        <v>4245.68</v>
      </c>
      <c r="J242" s="18">
        <v>2922.97</v>
      </c>
      <c r="K242" s="18">
        <v>810</v>
      </c>
      <c r="L242" s="13">
        <f t="shared" si="4"/>
        <v>483441.29999999993</v>
      </c>
      <c r="M242" s="8"/>
      <c r="N242" s="165"/>
    </row>
    <row r="243" spans="1:14" s="3" customFormat="1" ht="12.2" customHeight="1" x14ac:dyDescent="0.15">
      <c r="A243" s="1" t="s">
        <v>446</v>
      </c>
      <c r="B243" s="2" t="s">
        <v>350</v>
      </c>
      <c r="C243" s="2" t="s">
        <v>298</v>
      </c>
      <c r="D243" s="2" t="s">
        <v>431</v>
      </c>
      <c r="E243" s="6">
        <v>2500</v>
      </c>
      <c r="F243" s="18">
        <v>48038.64</v>
      </c>
      <c r="G243" s="18">
        <v>23990.23</v>
      </c>
      <c r="H243" s="18">
        <v>24724.639999999999</v>
      </c>
      <c r="I243" s="18">
        <v>12779.14</v>
      </c>
      <c r="J243" s="18"/>
      <c r="K243" s="18">
        <v>11.67</v>
      </c>
      <c r="L243" s="13">
        <f t="shared" si="4"/>
        <v>109544.31999999999</v>
      </c>
      <c r="M243" s="8"/>
      <c r="N243" s="165"/>
    </row>
    <row r="244" spans="1:14" s="3" customFormat="1" ht="12.2" customHeight="1" x14ac:dyDescent="0.15">
      <c r="A244" s="1" t="s">
        <v>447</v>
      </c>
      <c r="B244" s="2" t="s">
        <v>350</v>
      </c>
      <c r="C244" s="2" t="s">
        <v>299</v>
      </c>
      <c r="D244" s="2" t="s">
        <v>431</v>
      </c>
      <c r="E244" s="6">
        <v>2600</v>
      </c>
      <c r="F244" s="18">
        <v>399590.40000000002</v>
      </c>
      <c r="G244" s="18">
        <v>186508.74</v>
      </c>
      <c r="H244" s="18">
        <v>228530.76</v>
      </c>
      <c r="I244" s="18">
        <v>205426.81</v>
      </c>
      <c r="J244" s="18">
        <v>4365.88</v>
      </c>
      <c r="K244" s="18"/>
      <c r="L244" s="13">
        <f t="shared" si="4"/>
        <v>1024422.59</v>
      </c>
      <c r="M244" s="8"/>
      <c r="N244" s="165"/>
    </row>
    <row r="245" spans="1:14" s="3" customFormat="1" ht="12.2" customHeight="1" x14ac:dyDescent="0.15">
      <c r="A245" s="1" t="s">
        <v>448</v>
      </c>
      <c r="B245" s="2" t="s">
        <v>350</v>
      </c>
      <c r="C245" s="2" t="s">
        <v>300</v>
      </c>
      <c r="D245" s="2" t="s">
        <v>431</v>
      </c>
      <c r="E245" s="6">
        <v>2700</v>
      </c>
      <c r="F245" s="18">
        <v>270282.71999999997</v>
      </c>
      <c r="G245" s="18">
        <v>63856.3</v>
      </c>
      <c r="H245" s="18">
        <v>152237.07999999999</v>
      </c>
      <c r="I245" s="18">
        <v>65040.800000000003</v>
      </c>
      <c r="J245" s="18">
        <v>37624.43</v>
      </c>
      <c r="K245" s="18"/>
      <c r="L245" s="13">
        <f t="shared" si="4"/>
        <v>589041.33000000007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5361144.97</v>
      </c>
      <c r="G248" s="38">
        <f t="shared" si="5"/>
        <v>2654946.8199999994</v>
      </c>
      <c r="H248" s="38">
        <f t="shared" si="5"/>
        <v>1315080.3500000001</v>
      </c>
      <c r="I248" s="38">
        <f t="shared" si="5"/>
        <v>519724.32999999996</v>
      </c>
      <c r="J248" s="38">
        <f t="shared" si="5"/>
        <v>142109.93</v>
      </c>
      <c r="K248" s="38">
        <f t="shared" si="5"/>
        <v>27441.86</v>
      </c>
      <c r="L248" s="38">
        <f t="shared" si="5"/>
        <v>10020448.260000002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118907.64</v>
      </c>
      <c r="I256" s="18"/>
      <c r="J256" s="18"/>
      <c r="K256" s="18"/>
      <c r="L256" s="13">
        <f t="shared" si="6"/>
        <v>118907.64</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118907.64</v>
      </c>
      <c r="I257" s="38">
        <f t="shared" si="7"/>
        <v>0</v>
      </c>
      <c r="J257" s="38">
        <f t="shared" si="7"/>
        <v>0</v>
      </c>
      <c r="K257" s="38">
        <f t="shared" si="7"/>
        <v>0</v>
      </c>
      <c r="L257" s="38">
        <f>SUM(F257:K257)</f>
        <v>118907.64</v>
      </c>
      <c r="M257" s="8"/>
      <c r="N257" s="165"/>
    </row>
    <row r="258" spans="1:14" s="3" customFormat="1" ht="12.2" customHeight="1" thickTop="1" x14ac:dyDescent="0.15">
      <c r="A258" s="35" t="s">
        <v>462</v>
      </c>
      <c r="B258" s="37">
        <v>10</v>
      </c>
      <c r="C258" s="37">
        <v>8</v>
      </c>
      <c r="D258" s="36" t="s">
        <v>431</v>
      </c>
      <c r="E258" s="37"/>
      <c r="F258" s="38">
        <f t="shared" ref="F258:L258" si="8">F212+F230+F248+F257</f>
        <v>16925879.549999997</v>
      </c>
      <c r="G258" s="38">
        <f t="shared" si="8"/>
        <v>8172595.169999999</v>
      </c>
      <c r="H258" s="38">
        <f t="shared" si="8"/>
        <v>3529340.02</v>
      </c>
      <c r="I258" s="38">
        <f t="shared" si="8"/>
        <v>1461401.1600000001</v>
      </c>
      <c r="J258" s="38">
        <f t="shared" si="8"/>
        <v>357555.94999999995</v>
      </c>
      <c r="K258" s="38">
        <f t="shared" si="8"/>
        <v>53016.020000000004</v>
      </c>
      <c r="L258" s="38">
        <f t="shared" si="8"/>
        <v>30499787.870000001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100000</v>
      </c>
      <c r="L261" s="13">
        <f>SUM(F261:K261)</f>
        <v>100000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11175</v>
      </c>
      <c r="L262" s="13">
        <f>SUM(F262:K262)</f>
        <v>11175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111175</v>
      </c>
      <c r="L271" s="38">
        <f t="shared" si="9"/>
        <v>111175</v>
      </c>
      <c r="M271" s="8"/>
      <c r="N271" s="165"/>
    </row>
    <row r="272" spans="1:14" s="33" customFormat="1" ht="12.2" customHeight="1" thickTop="1" x14ac:dyDescent="0.2">
      <c r="A272" s="40" t="s">
        <v>464</v>
      </c>
      <c r="B272" s="37">
        <v>10</v>
      </c>
      <c r="C272" s="37">
        <v>18</v>
      </c>
      <c r="D272" s="36" t="s">
        <v>431</v>
      </c>
      <c r="E272" s="37"/>
      <c r="F272" s="39">
        <f t="shared" ref="F272:L272" si="11">F258+F271</f>
        <v>16925879.549999997</v>
      </c>
      <c r="G272" s="39">
        <f t="shared" si="11"/>
        <v>8172595.169999999</v>
      </c>
      <c r="H272" s="39">
        <f t="shared" si="11"/>
        <v>3529340.02</v>
      </c>
      <c r="I272" s="39">
        <f t="shared" si="11"/>
        <v>1461401.1600000001</v>
      </c>
      <c r="J272" s="39">
        <f t="shared" si="11"/>
        <v>357555.94999999995</v>
      </c>
      <c r="K272" s="39">
        <f t="shared" si="11"/>
        <v>164191.02000000002</v>
      </c>
      <c r="L272" s="39">
        <f t="shared" si="11"/>
        <v>30610962.870000001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376038.15</v>
      </c>
      <c r="G277" s="18">
        <v>193081.03</v>
      </c>
      <c r="H277" s="18">
        <v>54675.17</v>
      </c>
      <c r="I277" s="18">
        <f>10994.48+47676.23+425</f>
        <v>59095.710000000006</v>
      </c>
      <c r="J277" s="18">
        <v>201491.03</v>
      </c>
      <c r="K277" s="18"/>
      <c r="L277" s="13">
        <f>SUM(F277:K277)</f>
        <v>884381.09000000008</v>
      </c>
      <c r="M277" s="8"/>
      <c r="N277" s="165"/>
    </row>
    <row r="278" spans="1:14" s="3" customFormat="1" ht="12.2" customHeight="1" x14ac:dyDescent="0.15">
      <c r="A278" s="1" t="s">
        <v>439</v>
      </c>
      <c r="B278" s="2" t="s">
        <v>357</v>
      </c>
      <c r="C278" s="2" t="s">
        <v>291</v>
      </c>
      <c r="D278" s="2" t="s">
        <v>431</v>
      </c>
      <c r="E278" s="6">
        <v>1200</v>
      </c>
      <c r="F278" s="18"/>
      <c r="G278" s="18"/>
      <c r="H278" s="18">
        <v>74895.64</v>
      </c>
      <c r="I278" s="18">
        <v>21116.240000000002</v>
      </c>
      <c r="J278" s="18">
        <v>4394.13</v>
      </c>
      <c r="K278" s="18"/>
      <c r="L278" s="13">
        <f>SUM(F278:K278)</f>
        <v>100406.01000000001</v>
      </c>
      <c r="M278" s="8"/>
      <c r="N278" s="165"/>
    </row>
    <row r="279" spans="1:14" s="3" customFormat="1" ht="12.2" customHeight="1" x14ac:dyDescent="0.15">
      <c r="A279" s="1" t="s">
        <v>440</v>
      </c>
      <c r="B279" s="2" t="s">
        <v>357</v>
      </c>
      <c r="C279" s="2" t="s">
        <v>292</v>
      </c>
      <c r="D279" s="2" t="s">
        <v>431</v>
      </c>
      <c r="E279" s="6">
        <v>1300</v>
      </c>
      <c r="F279" s="18">
        <v>23967.87</v>
      </c>
      <c r="G279" s="18">
        <v>3225.81</v>
      </c>
      <c r="H279" s="18">
        <v>1666.75</v>
      </c>
      <c r="I279" s="18">
        <v>561.39</v>
      </c>
      <c r="J279" s="18">
        <v>1734.65</v>
      </c>
      <c r="K279" s="18">
        <v>3483.5</v>
      </c>
      <c r="L279" s="13">
        <f>SUM(F279:K279)</f>
        <v>34639.97</v>
      </c>
      <c r="M279" s="8"/>
      <c r="N279" s="165"/>
    </row>
    <row r="280" spans="1:14" s="3" customFormat="1" ht="12.2" customHeight="1" x14ac:dyDescent="0.15">
      <c r="A280" s="1" t="s">
        <v>441</v>
      </c>
      <c r="B280" s="2" t="s">
        <v>357</v>
      </c>
      <c r="C280" s="2" t="s">
        <v>293</v>
      </c>
      <c r="D280" s="2" t="s">
        <v>431</v>
      </c>
      <c r="E280" s="6">
        <v>1400</v>
      </c>
      <c r="F280" s="18">
        <v>38836.629999999997</v>
      </c>
      <c r="G280" s="18">
        <v>14380.02</v>
      </c>
      <c r="H280" s="18"/>
      <c r="I280" s="18">
        <v>434.08</v>
      </c>
      <c r="J280" s="18">
        <v>275.20999999999998</v>
      </c>
      <c r="K280" s="18"/>
      <c r="L280" s="13">
        <f>SUM(F280:K280)</f>
        <v>53925.939999999995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207751.43</v>
      </c>
      <c r="G282" s="18">
        <v>97195.45</v>
      </c>
      <c r="H282" s="18">
        <v>96722.65</v>
      </c>
      <c r="I282" s="18">
        <v>1702.69</v>
      </c>
      <c r="J282" s="18"/>
      <c r="K282" s="18"/>
      <c r="L282" s="13">
        <f t="shared" ref="L282:L288" si="12">SUM(F282:K282)</f>
        <v>403372.22000000003</v>
      </c>
      <c r="M282" s="8"/>
      <c r="N282" s="165"/>
    </row>
    <row r="283" spans="1:14" s="3" customFormat="1" ht="12.2" customHeight="1" x14ac:dyDescent="0.15">
      <c r="A283" s="1" t="s">
        <v>443</v>
      </c>
      <c r="B283" s="2" t="s">
        <v>357</v>
      </c>
      <c r="C283" s="2" t="s">
        <v>295</v>
      </c>
      <c r="D283" s="2" t="s">
        <v>431</v>
      </c>
      <c r="E283" s="6">
        <v>2200</v>
      </c>
      <c r="F283" s="18">
        <v>15207.36</v>
      </c>
      <c r="G283" s="18">
        <v>8386.86</v>
      </c>
      <c r="H283" s="18"/>
      <c r="I283" s="18"/>
      <c r="J283" s="18"/>
      <c r="K283" s="18"/>
      <c r="L283" s="13">
        <f t="shared" si="12"/>
        <v>23594.22</v>
      </c>
      <c r="M283" s="8"/>
      <c r="N283" s="165"/>
    </row>
    <row r="284" spans="1:14" s="3" customFormat="1" ht="12.2" customHeight="1" x14ac:dyDescent="0.15">
      <c r="A284" s="1" t="s">
        <v>444</v>
      </c>
      <c r="B284" s="2" t="s">
        <v>357</v>
      </c>
      <c r="C284" s="2" t="s">
        <v>296</v>
      </c>
      <c r="D284" s="2" t="s">
        <v>431</v>
      </c>
      <c r="E284" s="6">
        <v>2300</v>
      </c>
      <c r="F284" s="18">
        <v>3790.05</v>
      </c>
      <c r="G284" s="18">
        <v>2924.53</v>
      </c>
      <c r="H284" s="18"/>
      <c r="I284" s="18">
        <v>68.39</v>
      </c>
      <c r="J284" s="18"/>
      <c r="K284" s="18"/>
      <c r="L284" s="13">
        <f t="shared" si="12"/>
        <v>6782.97</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v>19372.52</v>
      </c>
      <c r="I288" s="18"/>
      <c r="J288" s="18">
        <v>64959.91</v>
      </c>
      <c r="K288" s="18"/>
      <c r="L288" s="13">
        <f t="shared" si="12"/>
        <v>84332.430000000008</v>
      </c>
      <c r="M288" s="8"/>
      <c r="N288" s="165"/>
    </row>
    <row r="289" spans="1:14" s="3" customFormat="1" ht="12.2" customHeight="1" x14ac:dyDescent="0.15">
      <c r="A289" s="1" t="s">
        <v>449</v>
      </c>
      <c r="B289" s="2" t="s">
        <v>357</v>
      </c>
      <c r="C289" s="2" t="s">
        <v>343</v>
      </c>
      <c r="D289" s="2" t="s">
        <v>431</v>
      </c>
      <c r="E289" s="6">
        <v>2800</v>
      </c>
      <c r="F289" s="18"/>
      <c r="G289" s="18"/>
      <c r="H289" s="18">
        <v>11.33</v>
      </c>
      <c r="I289" s="18"/>
      <c r="J289" s="18"/>
      <c r="K289" s="18">
        <v>17230.310000000001</v>
      </c>
      <c r="L289" s="13">
        <f>SUM(F289:K289)</f>
        <v>17241.640000000003</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665591.49000000011</v>
      </c>
      <c r="G291" s="39">
        <f t="shared" si="13"/>
        <v>319193.7</v>
      </c>
      <c r="H291" s="39">
        <f t="shared" si="13"/>
        <v>247344.05999999997</v>
      </c>
      <c r="I291" s="39">
        <f t="shared" si="13"/>
        <v>82978.500000000015</v>
      </c>
      <c r="J291" s="39">
        <f t="shared" si="13"/>
        <v>272854.93</v>
      </c>
      <c r="K291" s="39">
        <f t="shared" si="13"/>
        <v>20713.810000000001</v>
      </c>
      <c r="L291" s="38">
        <f t="shared" si="13"/>
        <v>1608676.4899999998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48339.62</v>
      </c>
      <c r="G315" s="18">
        <v>12380.14</v>
      </c>
      <c r="H315" s="18">
        <v>29733.48</v>
      </c>
      <c r="I315" s="18">
        <f>2018.93+91814.6</f>
        <v>93833.53</v>
      </c>
      <c r="J315" s="18">
        <v>100729.41</v>
      </c>
      <c r="K315" s="18"/>
      <c r="L315" s="13">
        <f>SUM(F315:K315)</f>
        <v>285016.18000000005</v>
      </c>
      <c r="M315" s="8"/>
      <c r="N315" s="165"/>
    </row>
    <row r="316" spans="1:14" s="3" customFormat="1" ht="12.2" customHeight="1" x14ac:dyDescent="0.15">
      <c r="A316" s="1" t="s">
        <v>439</v>
      </c>
      <c r="B316" s="2" t="s">
        <v>359</v>
      </c>
      <c r="C316" s="2" t="s">
        <v>291</v>
      </c>
      <c r="D316" s="2" t="s">
        <v>431</v>
      </c>
      <c r="E316" s="6">
        <v>1200</v>
      </c>
      <c r="F316" s="18"/>
      <c r="G316" s="18"/>
      <c r="H316" s="18">
        <v>37442.199999999997</v>
      </c>
      <c r="I316" s="18">
        <v>5634.83</v>
      </c>
      <c r="J316" s="18">
        <v>2196.7399999999998</v>
      </c>
      <c r="K316" s="18"/>
      <c r="L316" s="13">
        <f>SUM(F316:K316)</f>
        <v>45273.77</v>
      </c>
      <c r="M316" s="8"/>
      <c r="N316" s="165"/>
    </row>
    <row r="317" spans="1:14" s="3" customFormat="1" ht="12.2" customHeight="1" x14ac:dyDescent="0.15">
      <c r="A317" s="1" t="s">
        <v>440</v>
      </c>
      <c r="B317" s="2" t="s">
        <v>359</v>
      </c>
      <c r="C317" s="2" t="s">
        <v>292</v>
      </c>
      <c r="D317" s="2" t="s">
        <v>431</v>
      </c>
      <c r="E317" s="6">
        <v>1300</v>
      </c>
      <c r="F317" s="18">
        <v>11982.14</v>
      </c>
      <c r="G317" s="18">
        <v>1612.67</v>
      </c>
      <c r="H317" s="18">
        <v>833.25</v>
      </c>
      <c r="I317" s="18">
        <v>280.64999999999998</v>
      </c>
      <c r="J317" s="18">
        <v>867.2</v>
      </c>
      <c r="K317" s="18">
        <v>1741.49</v>
      </c>
      <c r="L317" s="13">
        <f>SUM(F317:K317)</f>
        <v>17317.400000000001</v>
      </c>
      <c r="M317" s="8"/>
      <c r="N317" s="165"/>
    </row>
    <row r="318" spans="1:14" s="3" customFormat="1" ht="12.2" customHeight="1" x14ac:dyDescent="0.15">
      <c r="A318" s="1" t="s">
        <v>441</v>
      </c>
      <c r="B318" s="2" t="s">
        <v>359</v>
      </c>
      <c r="C318" s="2" t="s">
        <v>293</v>
      </c>
      <c r="D318" s="2" t="s">
        <v>431</v>
      </c>
      <c r="E318" s="6">
        <v>1400</v>
      </c>
      <c r="F318" s="18">
        <v>37034.370000000003</v>
      </c>
      <c r="G318" s="18">
        <v>4897.0200000000004</v>
      </c>
      <c r="H318" s="18"/>
      <c r="I318" s="18">
        <v>113.72</v>
      </c>
      <c r="J318" s="18">
        <v>137.58000000000001</v>
      </c>
      <c r="K318" s="18"/>
      <c r="L318" s="13">
        <f>SUM(F318:K318)</f>
        <v>42182.69</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31417.57</v>
      </c>
      <c r="G320" s="18">
        <v>5689.96</v>
      </c>
      <c r="H320" s="18">
        <v>48354.07</v>
      </c>
      <c r="I320" s="18">
        <v>851.21</v>
      </c>
      <c r="J320" s="18"/>
      <c r="K320" s="18"/>
      <c r="L320" s="13">
        <f t="shared" ref="L320:L326" si="16">SUM(F320:K320)</f>
        <v>86312.810000000012</v>
      </c>
      <c r="M320" s="8"/>
      <c r="N320" s="165"/>
    </row>
    <row r="321" spans="1:14" s="3" customFormat="1" ht="12.2" customHeight="1" x14ac:dyDescent="0.15">
      <c r="A321" s="1" t="s">
        <v>443</v>
      </c>
      <c r="B321" s="2" t="s">
        <v>359</v>
      </c>
      <c r="C321" s="2" t="s">
        <v>295</v>
      </c>
      <c r="D321" s="2" t="s">
        <v>431</v>
      </c>
      <c r="E321" s="6">
        <v>2200</v>
      </c>
      <c r="F321" s="18">
        <v>30419.27</v>
      </c>
      <c r="G321" s="18">
        <v>4192.8</v>
      </c>
      <c r="H321" s="18"/>
      <c r="I321" s="18"/>
      <c r="J321" s="18"/>
      <c r="K321" s="18"/>
      <c r="L321" s="13">
        <f t="shared" si="16"/>
        <v>34612.07</v>
      </c>
      <c r="M321" s="8"/>
      <c r="N321" s="165"/>
    </row>
    <row r="322" spans="1:14" s="3" customFormat="1" ht="12.2" customHeight="1" x14ac:dyDescent="0.15">
      <c r="A322" s="1" t="s">
        <v>444</v>
      </c>
      <c r="B322" s="2" t="s">
        <v>359</v>
      </c>
      <c r="C322" s="2" t="s">
        <v>296</v>
      </c>
      <c r="D322" s="2" t="s">
        <v>431</v>
      </c>
      <c r="E322" s="6">
        <v>2300</v>
      </c>
      <c r="F322" s="18">
        <v>7581.23</v>
      </c>
      <c r="G322" s="18">
        <v>1462.05</v>
      </c>
      <c r="H322" s="18"/>
      <c r="I322" s="18">
        <v>34.19</v>
      </c>
      <c r="J322" s="18"/>
      <c r="K322" s="18"/>
      <c r="L322" s="13">
        <f t="shared" si="16"/>
        <v>9077.4699999999993</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v>6960.3</v>
      </c>
      <c r="I326" s="18"/>
      <c r="J326" s="18">
        <v>32475.09</v>
      </c>
      <c r="K326" s="18"/>
      <c r="L326" s="13">
        <f t="shared" si="16"/>
        <v>39435.39</v>
      </c>
      <c r="M326" s="8"/>
      <c r="N326" s="165"/>
    </row>
    <row r="327" spans="1:14" s="3" customFormat="1" ht="12.2" customHeight="1" x14ac:dyDescent="0.15">
      <c r="A327" s="1" t="s">
        <v>449</v>
      </c>
      <c r="B327" s="2" t="s">
        <v>359</v>
      </c>
      <c r="C327" s="2" t="s">
        <v>343</v>
      </c>
      <c r="D327" s="2" t="s">
        <v>431</v>
      </c>
      <c r="E327" s="6">
        <v>2800</v>
      </c>
      <c r="F327" s="18"/>
      <c r="G327" s="18"/>
      <c r="H327" s="18">
        <v>5.66</v>
      </c>
      <c r="I327" s="18"/>
      <c r="J327" s="18"/>
      <c r="K327" s="18">
        <v>8613.8700000000008</v>
      </c>
      <c r="L327" s="13">
        <f>SUM(F327:K327)</f>
        <v>8619.5300000000007</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166774.20000000001</v>
      </c>
      <c r="G329" s="39">
        <f t="shared" si="17"/>
        <v>30234.639999999999</v>
      </c>
      <c r="H329" s="39">
        <f t="shared" si="17"/>
        <v>123328.96000000001</v>
      </c>
      <c r="I329" s="39">
        <f t="shared" si="17"/>
        <v>100748.13</v>
      </c>
      <c r="J329" s="39">
        <f t="shared" si="17"/>
        <v>136406.02000000002</v>
      </c>
      <c r="K329" s="39">
        <f t="shared" si="17"/>
        <v>10355.36</v>
      </c>
      <c r="L329" s="38">
        <f t="shared" si="17"/>
        <v>567847.31000000006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v>116653</v>
      </c>
      <c r="K337" s="18"/>
      <c r="L337" s="13">
        <f t="shared" si="18"/>
        <v>116653</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116653</v>
      </c>
      <c r="K338" s="38">
        <f t="shared" si="19"/>
        <v>0</v>
      </c>
      <c r="L338" s="38">
        <f t="shared" si="18"/>
        <v>116653</v>
      </c>
      <c r="M338" s="8"/>
      <c r="N338" s="165"/>
    </row>
    <row r="339" spans="1:43" s="3" customFormat="1" ht="12.2" customHeight="1" thickTop="1" x14ac:dyDescent="0.15">
      <c r="A339" s="35" t="s">
        <v>468</v>
      </c>
      <c r="B339" s="37">
        <v>14</v>
      </c>
      <c r="C339" s="37">
        <v>7</v>
      </c>
      <c r="D339" s="36" t="s">
        <v>431</v>
      </c>
      <c r="E339" s="37"/>
      <c r="F339" s="38">
        <f t="shared" ref="F339:L339" si="20">F291+F310+F329+F338</f>
        <v>832365.69000000018</v>
      </c>
      <c r="G339" s="38">
        <f t="shared" si="20"/>
        <v>349428.34</v>
      </c>
      <c r="H339" s="38">
        <f t="shared" si="20"/>
        <v>370673.01999999996</v>
      </c>
      <c r="I339" s="38">
        <f t="shared" si="20"/>
        <v>183726.63</v>
      </c>
      <c r="J339" s="38">
        <f t="shared" si="20"/>
        <v>525913.94999999995</v>
      </c>
      <c r="K339" s="38">
        <f t="shared" si="20"/>
        <v>31069.170000000002</v>
      </c>
      <c r="L339" s="38">
        <f t="shared" si="20"/>
        <v>2293176.7999999998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832365.69000000018</v>
      </c>
      <c r="G353" s="38">
        <f>G339</f>
        <v>349428.34</v>
      </c>
      <c r="H353" s="38">
        <f>H339</f>
        <v>370673.01999999996</v>
      </c>
      <c r="I353" s="38">
        <f>I339</f>
        <v>183726.63</v>
      </c>
      <c r="J353" s="38">
        <f>J339</f>
        <v>525913.94999999995</v>
      </c>
      <c r="K353" s="38">
        <f>K339+K352</f>
        <v>31069.170000000002</v>
      </c>
      <c r="L353" s="38">
        <f>L339+L352</f>
        <v>2293176.7999999998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437001.26</v>
      </c>
      <c r="I359" s="18">
        <v>415262.65</v>
      </c>
      <c r="J359" s="18">
        <v>71586.649999999994</v>
      </c>
      <c r="K359" s="18"/>
      <c r="L359" s="13">
        <f>SUM(F359:K359)</f>
        <v>923850.56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v>96288.27</v>
      </c>
      <c r="I361" s="18">
        <v>132039.24</v>
      </c>
      <c r="J361" s="18">
        <v>26600.639999999999</v>
      </c>
      <c r="K361" s="18"/>
      <c r="L361" s="13">
        <f>SUM(F361:K361)</f>
        <v>254928.15000000002</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533289.53</v>
      </c>
      <c r="I363" s="38">
        <f t="shared" si="22"/>
        <v>547301.89</v>
      </c>
      <c r="J363" s="38">
        <f t="shared" si="22"/>
        <v>98187.29</v>
      </c>
      <c r="K363" s="38">
        <f t="shared" si="22"/>
        <v>0</v>
      </c>
      <c r="L363" s="38">
        <f t="shared" si="22"/>
        <v>1178778.71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367341.07</v>
      </c>
      <c r="G368" s="18"/>
      <c r="H368" s="18">
        <v>123984.03</v>
      </c>
      <c r="I368" s="13">
        <f>SUM(F368:H368)</f>
        <v>491325.1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47921.58</v>
      </c>
      <c r="G369" s="53"/>
      <c r="H369" s="53">
        <v>8055.21</v>
      </c>
      <c r="I369" s="13">
        <f>SUM(F369:H369)</f>
        <v>55976.79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415262.65</v>
      </c>
      <c r="G370" s="38">
        <f>SUM(G368:G369)</f>
        <v>0</v>
      </c>
      <c r="H370" s="38">
        <f>SUM(H368:H369)</f>
        <v>132039.24</v>
      </c>
      <c r="I370" s="38">
        <f>SUM(I368:I369)</f>
        <v>547301.89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f>-37752.66-14325.5-1883.26-6529.55+3016.17+0.01-3129.84</f>
        <v>-60604.630000000005</v>
      </c>
      <c r="I390" s="18"/>
      <c r="J390" s="23" t="s">
        <v>288</v>
      </c>
      <c r="K390" s="23" t="s">
        <v>288</v>
      </c>
      <c r="L390" s="13">
        <f t="shared" si="25"/>
        <v>-60604.630000000005</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-60604.630000000005</v>
      </c>
      <c r="I394" s="54">
        <f>SUM(I388:I393)</f>
        <v>0</v>
      </c>
      <c r="J394" s="42" t="s">
        <v>288</v>
      </c>
      <c r="K394" s="42" t="s">
        <v>288</v>
      </c>
      <c r="L394" s="38">
        <f>SUM(L388:L393)</f>
        <v>-60604.630000000005</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v>-45494.22</v>
      </c>
      <c r="I396" s="18"/>
      <c r="J396" s="23" t="s">
        <v>288</v>
      </c>
      <c r="K396" s="23" t="s">
        <v>288</v>
      </c>
      <c r="L396" s="13">
        <f t="shared" ref="L396:L401" si="26">SUM(F396:K396)</f>
        <v>-45494.22</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-25842.94</v>
      </c>
      <c r="I398" s="18"/>
      <c r="J398" s="23" t="s">
        <v>288</v>
      </c>
      <c r="K398" s="23" t="s">
        <v>288</v>
      </c>
      <c r="L398" s="13">
        <f t="shared" si="26"/>
        <v>-25842.94</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-18832.25</v>
      </c>
      <c r="I401" s="18"/>
      <c r="J401" s="23" t="s">
        <v>288</v>
      </c>
      <c r="K401" s="23" t="s">
        <v>288</v>
      </c>
      <c r="L401" s="13">
        <f t="shared" si="26"/>
        <v>-18832.25</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-90169.41</v>
      </c>
      <c r="I402" s="38">
        <f>SUM(I396:I401)</f>
        <v>0</v>
      </c>
      <c r="J402" s="42" t="s">
        <v>288</v>
      </c>
      <c r="K402" s="42" t="s">
        <v>288</v>
      </c>
      <c r="L402" s="38">
        <f>SUM(L396:L401)</f>
        <v>-90169.41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-150774.04</v>
      </c>
      <c r="I409" s="38">
        <f>I394+I402+I408</f>
        <v>0</v>
      </c>
      <c r="J409" s="23" t="s">
        <v>288</v>
      </c>
      <c r="K409" s="23" t="s">
        <v>288</v>
      </c>
      <c r="L409" s="38">
        <f>L394+L402+L408</f>
        <v>-150774.04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v>118907.64</v>
      </c>
      <c r="I416" s="18"/>
      <c r="J416" s="18"/>
      <c r="K416" s="18"/>
      <c r="L416" s="13">
        <f t="shared" si="27"/>
        <v>118907.64</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118907.64</v>
      </c>
      <c r="I420" s="97">
        <f t="shared" si="28"/>
        <v>0</v>
      </c>
      <c r="J420" s="97">
        <f t="shared" si="28"/>
        <v>0</v>
      </c>
      <c r="K420" s="97">
        <f t="shared" si="28"/>
        <v>0</v>
      </c>
      <c r="L420" s="38">
        <f t="shared" si="28"/>
        <v>118907.64</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118907.64</v>
      </c>
      <c r="I435" s="38">
        <f t="shared" si="32"/>
        <v>0</v>
      </c>
      <c r="J435" s="38">
        <f t="shared" si="32"/>
        <v>0</v>
      </c>
      <c r="K435" s="38">
        <f t="shared" si="32"/>
        <v>0</v>
      </c>
      <c r="L435" s="38">
        <f t="shared" si="32"/>
        <v>118907.64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f>380526.07+98593.06+26208.07+191979.54+602762.81</f>
        <v>1300069.55</v>
      </c>
      <c r="G443" s="18">
        <v>1356352.4</v>
      </c>
      <c r="H443" s="18"/>
      <c r="I443" s="13">
        <f t="shared" si="33"/>
        <v>2656421.9500000002</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1300069.55</v>
      </c>
      <c r="G447" s="13">
        <f>SUM(G440:G446)</f>
        <v>1356352.4</v>
      </c>
      <c r="H447" s="13">
        <f>SUM(H440:H446)</f>
        <v>0</v>
      </c>
      <c r="I447" s="13">
        <f>SUM(I440:I446)</f>
        <v>2656421.9500000002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26684</v>
      </c>
      <c r="H449" s="18"/>
      <c r="I449" s="13">
        <f>SUM(F449:H449)</f>
        <v>26684</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26684</v>
      </c>
      <c r="H453" s="57">
        <f>SUM(H449:H452)</f>
        <v>0</v>
      </c>
      <c r="I453" s="57">
        <f>SUM(I449:I452)</f>
        <v>26684</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1300069.55</v>
      </c>
      <c r="G460" s="18">
        <f>1356352.4-26684</f>
        <v>1329668.3999999999</v>
      </c>
      <c r="H460" s="18"/>
      <c r="I460" s="13">
        <f t="shared" si="34"/>
        <v>2629737.9500000002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1300069.55</v>
      </c>
      <c r="G461" s="65">
        <f>SUM(G455:G460)</f>
        <v>1329668.3999999999</v>
      </c>
      <c r="H461" s="65">
        <f>SUM(H455:H460)</f>
        <v>0</v>
      </c>
      <c r="I461" s="65">
        <f>SUM(I455:I460)</f>
        <v>2629737.9500000002</v>
      </c>
      <c r="J461" s="23" t="s">
        <v>288</v>
      </c>
      <c r="K461" s="23" t="s">
        <v>288</v>
      </c>
      <c r="L461" s="23" t="s">
        <v>288</v>
      </c>
      <c r="N461" s="131"/>
    </row>
    <row r="462" spans="1:86" ht="12.2" customHeight="1" thickTop="1" x14ac:dyDescent="0.2">
      <c r="A462" s="40" t="s">
        <v>424</v>
      </c>
      <c r="B462" s="41">
        <v>18</v>
      </c>
      <c r="C462" s="64">
        <v>21</v>
      </c>
      <c r="D462" s="114" t="s">
        <v>432</v>
      </c>
      <c r="E462" s="64"/>
      <c r="F462" s="39">
        <f>F453+F461</f>
        <v>1300069.55</v>
      </c>
      <c r="G462" s="39">
        <f>G453+G461</f>
        <v>1356352.4</v>
      </c>
      <c r="H462" s="39">
        <f>H453+H461</f>
        <v>0</v>
      </c>
      <c r="I462" s="39">
        <f>I453+I461</f>
        <v>2656421.9500000002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1537193.43</v>
      </c>
      <c r="G466" s="18">
        <v>38551.54</v>
      </c>
      <c r="H466" s="18">
        <f>309698.52</f>
        <v>309698.52</v>
      </c>
      <c r="I466" s="18"/>
      <c r="J466" s="18">
        <v>2899419.63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30579646.17+2999.96</f>
        <v>30582646.130000003</v>
      </c>
      <c r="G469" s="18">
        <v>1283129.33</v>
      </c>
      <c r="H469" s="18">
        <v>2295725.23</v>
      </c>
      <c r="I469" s="18"/>
      <c r="J469" s="18">
        <v>-150774.04</v>
      </c>
      <c r="K469" s="23" t="s">
        <v>288</v>
      </c>
      <c r="L469" s="23" t="s">
        <v>288</v>
      </c>
      <c r="N469" s="131"/>
    </row>
    <row r="470" spans="1:14" ht="12.2" customHeight="1" x14ac:dyDescent="0.2">
      <c r="A470" s="71" t="s">
        <v>611</v>
      </c>
      <c r="B470" s="22">
        <v>19</v>
      </c>
      <c r="C470" s="31">
        <v>3</v>
      </c>
      <c r="D470" s="2" t="s">
        <v>432</v>
      </c>
      <c r="E470" s="31"/>
      <c r="F470" s="18"/>
      <c r="G470" s="18"/>
      <c r="H470" s="18">
        <f>60897.59+3668.12</f>
        <v>64565.71</v>
      </c>
      <c r="I470" s="18"/>
      <c r="J470" s="18"/>
      <c r="K470" s="23" t="s">
        <v>288</v>
      </c>
      <c r="L470" s="23" t="s">
        <v>288</v>
      </c>
      <c r="N470" s="131"/>
    </row>
    <row r="471" spans="1:14" ht="12.2" customHeight="1" x14ac:dyDescent="0.2">
      <c r="A471" s="32" t="s">
        <v>425</v>
      </c>
      <c r="B471" s="22">
        <v>19</v>
      </c>
      <c r="C471" s="31">
        <v>4</v>
      </c>
      <c r="D471" s="2" t="s">
        <v>432</v>
      </c>
      <c r="E471" s="31"/>
      <c r="F471" s="19">
        <f>SUM(F469:F470)</f>
        <v>30582646.130000003</v>
      </c>
      <c r="G471" s="19">
        <f>SUM(G469:G470)</f>
        <v>1283129.33</v>
      </c>
      <c r="H471" s="19">
        <f>SUM(H469:H470)</f>
        <v>2360290.94</v>
      </c>
      <c r="I471" s="19">
        <f>SUM(I469:I470)</f>
        <v>0</v>
      </c>
      <c r="J471" s="19">
        <f>SUM(J469:J470)</f>
        <v>-150774.04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30610962.870000001</v>
      </c>
      <c r="G473" s="18">
        <v>1178778.71</v>
      </c>
      <c r="H473" s="18">
        <f>2292751.8+425</f>
        <v>2293176.7999999998</v>
      </c>
      <c r="I473" s="18"/>
      <c r="J473" s="18">
        <v>118907.64</v>
      </c>
      <c r="K473" s="23" t="s">
        <v>288</v>
      </c>
      <c r="L473" s="23" t="s">
        <v>288</v>
      </c>
      <c r="N473" s="131"/>
    </row>
    <row r="474" spans="1:14" ht="12.2" customHeight="1" x14ac:dyDescent="0.2">
      <c r="A474" s="71" t="s">
        <v>613</v>
      </c>
      <c r="B474" s="22">
        <v>19</v>
      </c>
      <c r="C474" s="31">
        <v>6</v>
      </c>
      <c r="D474" s="2" t="s">
        <v>432</v>
      </c>
      <c r="E474" s="31"/>
      <c r="F474" s="18">
        <v>5001.3999999999996</v>
      </c>
      <c r="G474" s="18">
        <v>1028.55</v>
      </c>
      <c r="H474" s="18"/>
      <c r="I474" s="18"/>
      <c r="J474" s="18"/>
      <c r="K474" s="23" t="s">
        <v>288</v>
      </c>
      <c r="L474" s="23" t="s">
        <v>288</v>
      </c>
      <c r="N474" s="131"/>
    </row>
    <row r="475" spans="1:14" ht="12.2" customHeight="1" x14ac:dyDescent="0.2">
      <c r="A475" s="32" t="s">
        <v>426</v>
      </c>
      <c r="B475" s="22">
        <v>19</v>
      </c>
      <c r="C475" s="31">
        <v>7</v>
      </c>
      <c r="D475" s="2" t="s">
        <v>432</v>
      </c>
      <c r="E475" s="31"/>
      <c r="F475" s="19">
        <f>SUM(F473:F474)</f>
        <v>30615964.27</v>
      </c>
      <c r="G475" s="19">
        <f>SUM(G473:G474)</f>
        <v>1179807.26</v>
      </c>
      <c r="H475" s="19">
        <f>SUM(H473:H474)</f>
        <v>2293176.7999999998</v>
      </c>
      <c r="I475" s="19">
        <f>SUM(I473:I474)</f>
        <v>0</v>
      </c>
      <c r="J475" s="19">
        <f>SUM(J473:J474)</f>
        <v>118907.64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1503875.2900000028</v>
      </c>
      <c r="G477" s="19">
        <f>(G466+G471)- G475</f>
        <v>141873.6100000001</v>
      </c>
      <c r="H477" s="19">
        <f>(H466+H471)- H475</f>
        <v>376812.66000000015</v>
      </c>
      <c r="I477" s="19">
        <f>(I466+I471)- I475</f>
        <v>0</v>
      </c>
      <c r="J477" s="19">
        <f>(J466+J471)- J475</f>
        <v>2629737.9499999997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1809</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1808</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5</v>
      </c>
      <c r="H491" s="111"/>
      <c r="I491" s="111"/>
      <c r="J491" s="111"/>
      <c r="K491" s="23" t="s">
        <v>288</v>
      </c>
      <c r="L491" s="23" t="s">
        <v>288</v>
      </c>
      <c r="N491" s="131"/>
    </row>
    <row r="492" spans="1:14" ht="12.2" customHeight="1" x14ac:dyDescent="0.2">
      <c r="A492" s="21" t="s">
        <v>615</v>
      </c>
      <c r="B492" s="22">
        <v>20</v>
      </c>
      <c r="C492" s="22">
        <v>2</v>
      </c>
      <c r="D492" s="2" t="s">
        <v>432</v>
      </c>
      <c r="E492" s="22"/>
      <c r="F492" s="112" t="s">
        <v>1804</v>
      </c>
      <c r="G492" s="112" t="s">
        <v>1805</v>
      </c>
      <c r="H492" s="111"/>
      <c r="I492" s="111"/>
      <c r="J492" s="111"/>
      <c r="K492" s="23" t="s">
        <v>288</v>
      </c>
      <c r="L492" s="23" t="s">
        <v>288</v>
      </c>
      <c r="N492" s="131"/>
    </row>
    <row r="493" spans="1:14" ht="12.2" customHeight="1" x14ac:dyDescent="0.2">
      <c r="A493" s="21" t="s">
        <v>616</v>
      </c>
      <c r="B493" s="22">
        <v>20</v>
      </c>
      <c r="C493" s="22">
        <v>3</v>
      </c>
      <c r="D493" s="2" t="s">
        <v>432</v>
      </c>
      <c r="E493" s="22"/>
      <c r="F493" s="112" t="s">
        <v>1806</v>
      </c>
      <c r="G493" s="112" t="s">
        <v>1807</v>
      </c>
      <c r="H493" s="111"/>
      <c r="I493" s="111"/>
      <c r="J493" s="111"/>
      <c r="K493" s="23" t="s">
        <v>288</v>
      </c>
      <c r="L493" s="23" t="s">
        <v>288</v>
      </c>
      <c r="N493" s="131"/>
    </row>
    <row r="494" spans="1:14" ht="12.2" customHeight="1" x14ac:dyDescent="0.2">
      <c r="A494" s="21" t="s">
        <v>617</v>
      </c>
      <c r="B494" s="22">
        <v>20</v>
      </c>
      <c r="C494" s="22">
        <v>4</v>
      </c>
      <c r="D494" s="2" t="s">
        <v>432</v>
      </c>
      <c r="E494" s="22"/>
      <c r="F494" s="18">
        <v>2000000</v>
      </c>
      <c r="G494" s="18">
        <v>44686</v>
      </c>
      <c r="H494" s="18"/>
      <c r="I494" s="18"/>
      <c r="J494" s="18"/>
      <c r="K494" s="23" t="s">
        <v>288</v>
      </c>
      <c r="L494" s="23" t="s">
        <v>288</v>
      </c>
      <c r="N494" s="131"/>
    </row>
    <row r="495" spans="1:14" ht="12.2" customHeight="1" x14ac:dyDescent="0.2">
      <c r="A495" s="21" t="s">
        <v>618</v>
      </c>
      <c r="B495" s="22">
        <v>20</v>
      </c>
      <c r="C495" s="22">
        <v>5</v>
      </c>
      <c r="D495" s="2" t="s">
        <v>432</v>
      </c>
      <c r="E495" s="22"/>
      <c r="F495" s="18">
        <v>3.99</v>
      </c>
      <c r="G495" s="18">
        <v>5.25</v>
      </c>
      <c r="H495" s="18"/>
      <c r="I495" s="18"/>
      <c r="J495" s="18"/>
      <c r="K495" s="23" t="s">
        <v>288</v>
      </c>
      <c r="L495" s="23" t="s">
        <v>288</v>
      </c>
      <c r="N495" s="131"/>
    </row>
    <row r="496" spans="1:14" ht="12.2" customHeight="1" x14ac:dyDescent="0.2">
      <c r="A496" s="21" t="s">
        <v>619</v>
      </c>
      <c r="B496" s="22">
        <v>20</v>
      </c>
      <c r="C496" s="22">
        <v>6</v>
      </c>
      <c r="D496" s="2" t="s">
        <v>432</v>
      </c>
      <c r="E496" s="22"/>
      <c r="F496" s="18">
        <v>400000</v>
      </c>
      <c r="G496" s="18">
        <v>27485</v>
      </c>
      <c r="H496" s="18"/>
      <c r="I496" s="18"/>
      <c r="J496" s="18"/>
      <c r="K496" s="19">
        <f>SUM(F496:J496)</f>
        <v>427485</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100000</v>
      </c>
      <c r="G498" s="18">
        <v>8697</v>
      </c>
      <c r="H498" s="18"/>
      <c r="I498" s="18"/>
      <c r="J498" s="18"/>
      <c r="K498" s="19">
        <f t="shared" si="35"/>
        <v>108697</v>
      </c>
      <c r="L498" s="23" t="s">
        <v>288</v>
      </c>
      <c r="N498" s="131"/>
    </row>
    <row r="499" spans="1:14" ht="12.2" customHeight="1" x14ac:dyDescent="0.2">
      <c r="A499" s="144" t="s">
        <v>622</v>
      </c>
      <c r="B499" s="145">
        <v>20</v>
      </c>
      <c r="C499" s="145">
        <v>9</v>
      </c>
      <c r="D499" s="146" t="s">
        <v>432</v>
      </c>
      <c r="E499" s="145"/>
      <c r="F499" s="147">
        <v>300000</v>
      </c>
      <c r="G499" s="147">
        <f>G496-G498</f>
        <v>18788</v>
      </c>
      <c r="H499" s="147"/>
      <c r="I499" s="147"/>
      <c r="J499" s="147"/>
      <c r="K499" s="148">
        <f t="shared" si="35"/>
        <v>318788</v>
      </c>
      <c r="L499" s="149" t="s">
        <v>288</v>
      </c>
      <c r="N499" s="131"/>
    </row>
    <row r="500" spans="1:14" ht="12.2" customHeight="1" thickBot="1" x14ac:dyDescent="0.25">
      <c r="A500" s="21" t="s">
        <v>623</v>
      </c>
      <c r="B500" s="22">
        <v>20</v>
      </c>
      <c r="C500" s="22">
        <v>10</v>
      </c>
      <c r="D500" s="2" t="s">
        <v>432</v>
      </c>
      <c r="E500" s="22"/>
      <c r="F500" s="18">
        <f>34825-15175</f>
        <v>19650</v>
      </c>
      <c r="G500" s="18">
        <f>2935-1443</f>
        <v>1492</v>
      </c>
      <c r="H500" s="18"/>
      <c r="I500" s="18"/>
      <c r="J500" s="18"/>
      <c r="K500" s="19">
        <f t="shared" si="35"/>
        <v>21142</v>
      </c>
      <c r="L500" s="23" t="s">
        <v>288</v>
      </c>
      <c r="N500" s="131"/>
    </row>
    <row r="501" spans="1:14" ht="12.2" customHeight="1" thickTop="1" x14ac:dyDescent="0.2">
      <c r="A501" s="97" t="s">
        <v>624</v>
      </c>
      <c r="B501" s="41">
        <v>20</v>
      </c>
      <c r="C501" s="41">
        <v>11</v>
      </c>
      <c r="D501" s="36" t="s">
        <v>432</v>
      </c>
      <c r="E501" s="41"/>
      <c r="F501" s="39">
        <f>SUM(F499:F500)</f>
        <v>319650</v>
      </c>
      <c r="G501" s="39">
        <f>SUM(G499:G500)</f>
        <v>20280</v>
      </c>
      <c r="H501" s="39">
        <f>SUM(H499:H500)</f>
        <v>0</v>
      </c>
      <c r="I501" s="39">
        <f>SUM(I499:I500)</f>
        <v>0</v>
      </c>
      <c r="J501" s="39">
        <f>SUM(J499:J500)</f>
        <v>0</v>
      </c>
      <c r="K501" s="39">
        <f t="shared" si="35"/>
        <v>339930</v>
      </c>
      <c r="L501" s="42" t="s">
        <v>288</v>
      </c>
      <c r="N501" s="131"/>
    </row>
    <row r="502" spans="1:14" ht="12.2" customHeight="1" x14ac:dyDescent="0.2">
      <c r="A502" s="144" t="s">
        <v>651</v>
      </c>
      <c r="B502" s="145">
        <v>20</v>
      </c>
      <c r="C502" s="145">
        <v>12</v>
      </c>
      <c r="D502" s="146" t="s">
        <v>432</v>
      </c>
      <c r="E502" s="145"/>
      <c r="F502" s="147">
        <v>100000</v>
      </c>
      <c r="G502" s="147">
        <v>9154</v>
      </c>
      <c r="H502" s="147"/>
      <c r="I502" s="147"/>
      <c r="J502" s="147"/>
      <c r="K502" s="148">
        <f t="shared" si="35"/>
        <v>109154</v>
      </c>
      <c r="L502" s="149" t="s">
        <v>288</v>
      </c>
      <c r="N502" s="131"/>
    </row>
    <row r="503" spans="1:14" ht="12.2" customHeight="1" thickBot="1" x14ac:dyDescent="0.25">
      <c r="A503" s="21" t="s">
        <v>625</v>
      </c>
      <c r="B503" s="22">
        <v>20</v>
      </c>
      <c r="C503" s="22">
        <v>13</v>
      </c>
      <c r="D503" s="2" t="s">
        <v>432</v>
      </c>
      <c r="E503" s="22"/>
      <c r="F503" s="18">
        <v>10900</v>
      </c>
      <c r="G503" s="18">
        <v>986</v>
      </c>
      <c r="H503" s="18"/>
      <c r="I503" s="18"/>
      <c r="J503" s="18"/>
      <c r="K503" s="19">
        <f t="shared" si="35"/>
        <v>11886</v>
      </c>
      <c r="L503" s="23" t="s">
        <v>288</v>
      </c>
      <c r="N503" s="131"/>
    </row>
    <row r="504" spans="1:14" ht="12.2" customHeight="1" thickTop="1" x14ac:dyDescent="0.2">
      <c r="A504" s="97" t="s">
        <v>626</v>
      </c>
      <c r="B504" s="41">
        <v>20</v>
      </c>
      <c r="C504" s="41">
        <v>14</v>
      </c>
      <c r="D504" s="36" t="s">
        <v>432</v>
      </c>
      <c r="E504" s="41"/>
      <c r="F504" s="39">
        <f>SUM(F502:F503)</f>
        <v>110900</v>
      </c>
      <c r="G504" s="39">
        <f>SUM(G502:G503)</f>
        <v>10140</v>
      </c>
      <c r="H504" s="39">
        <f>SUM(H502:H503)</f>
        <v>0</v>
      </c>
      <c r="I504" s="39">
        <f>SUM(I502:I503)</f>
        <v>0</v>
      </c>
      <c r="J504" s="39">
        <f>SUM(J502:J503)</f>
        <v>0</v>
      </c>
      <c r="K504" s="39">
        <f t="shared" si="35"/>
        <v>121040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1891987.13</v>
      </c>
      <c r="G522" s="18">
        <v>751161.09</v>
      </c>
      <c r="H522" s="18">
        <v>872861.49</v>
      </c>
      <c r="I522" s="18">
        <v>10460.84</v>
      </c>
      <c r="J522" s="18">
        <v>7198.73</v>
      </c>
      <c r="K522" s="18">
        <v>1850</v>
      </c>
      <c r="L522" s="69">
        <f>SUM(F522:K522)</f>
        <v>3535519.28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860428.74</v>
      </c>
      <c r="G524" s="18">
        <v>398470.2</v>
      </c>
      <c r="H524" s="18">
        <v>436499.24</v>
      </c>
      <c r="I524" s="18">
        <v>14240.21</v>
      </c>
      <c r="J524" s="18">
        <v>2596.41</v>
      </c>
      <c r="K524" s="18"/>
      <c r="L524" s="69">
        <f>SUM(F524:K524)</f>
        <v>1712234.7999999998</v>
      </c>
      <c r="N524" s="131"/>
    </row>
    <row r="525" spans="1:14" ht="12.2" customHeight="1" thickTop="1" x14ac:dyDescent="0.2">
      <c r="A525" s="97" t="s">
        <v>63</v>
      </c>
      <c r="B525" s="41">
        <v>21</v>
      </c>
      <c r="C525" s="41">
        <v>4</v>
      </c>
      <c r="D525" s="115" t="s">
        <v>432</v>
      </c>
      <c r="E525" s="41"/>
      <c r="F525" s="81">
        <f>SUM(F522:F524)</f>
        <v>2752415.87</v>
      </c>
      <c r="G525" s="81">
        <f t="shared" ref="G525:L525" si="36">SUM(G522:G524)</f>
        <v>1149631.29</v>
      </c>
      <c r="H525" s="81">
        <f t="shared" si="36"/>
        <v>1309360.73</v>
      </c>
      <c r="I525" s="81">
        <f t="shared" si="36"/>
        <v>24701.05</v>
      </c>
      <c r="J525" s="81">
        <f t="shared" si="36"/>
        <v>9795.14</v>
      </c>
      <c r="K525" s="81">
        <f t="shared" si="36"/>
        <v>1850</v>
      </c>
      <c r="L525" s="70">
        <f t="shared" si="36"/>
        <v>5247754.08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656812.67000000004</v>
      </c>
      <c r="G527" s="18">
        <v>320009.26</v>
      </c>
      <c r="H527" s="18"/>
      <c r="I527" s="18">
        <v>2830.27</v>
      </c>
      <c r="J527" s="18">
        <v>531.95000000000005</v>
      </c>
      <c r="K527" s="18"/>
      <c r="L527" s="69">
        <f>SUM(F527:K527)</f>
        <v>980184.15</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269395.90000000002</v>
      </c>
      <c r="G529" s="18">
        <v>130923.31</v>
      </c>
      <c r="H529" s="18"/>
      <c r="I529" s="18">
        <v>1414.93</v>
      </c>
      <c r="J529" s="18">
        <v>265.93</v>
      </c>
      <c r="K529" s="18"/>
      <c r="L529" s="69">
        <f>SUM(F529:K529)</f>
        <v>402000.07</v>
      </c>
      <c r="M529" s="8"/>
      <c r="N529" s="165"/>
    </row>
    <row r="530" spans="1:14" s="3" customFormat="1" ht="12.2" customHeight="1" thickTop="1" x14ac:dyDescent="0.15">
      <c r="A530" s="97" t="s">
        <v>65</v>
      </c>
      <c r="B530" s="41">
        <v>21</v>
      </c>
      <c r="C530" s="41">
        <v>8</v>
      </c>
      <c r="D530" s="115" t="s">
        <v>432</v>
      </c>
      <c r="E530" s="41"/>
      <c r="F530" s="70">
        <f>SUM(F527:F529)</f>
        <v>926208.57000000007</v>
      </c>
      <c r="G530" s="70">
        <f t="shared" ref="G530:L530" si="37">SUM(G527:G529)</f>
        <v>450932.57</v>
      </c>
      <c r="H530" s="70">
        <f t="shared" si="37"/>
        <v>0</v>
      </c>
      <c r="I530" s="70">
        <f t="shared" si="37"/>
        <v>4245.2</v>
      </c>
      <c r="J530" s="70">
        <f t="shared" si="37"/>
        <v>797.88000000000011</v>
      </c>
      <c r="K530" s="70">
        <f t="shared" si="37"/>
        <v>0</v>
      </c>
      <c r="L530" s="70">
        <f t="shared" si="37"/>
        <v>1382184.22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107105.15</v>
      </c>
      <c r="G532" s="18">
        <v>25221.31</v>
      </c>
      <c r="H532" s="18">
        <v>760.58</v>
      </c>
      <c r="I532" s="18"/>
      <c r="J532" s="18"/>
      <c r="K532" s="18"/>
      <c r="L532" s="69">
        <f>SUM(F532:K532)</f>
        <v>133087.03999999998</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56661.31</v>
      </c>
      <c r="G534" s="18">
        <v>12608.77</v>
      </c>
      <c r="H534" s="18">
        <v>380.23</v>
      </c>
      <c r="I534" s="18"/>
      <c r="J534" s="18"/>
      <c r="K534" s="18"/>
      <c r="L534" s="69">
        <f>SUM(F534:K534)</f>
        <v>69650.31</v>
      </c>
      <c r="M534" s="8"/>
      <c r="N534" s="165"/>
    </row>
    <row r="535" spans="1:14" s="3" customFormat="1" ht="12.2" customHeight="1" thickTop="1" x14ac:dyDescent="0.15">
      <c r="A535" s="97" t="s">
        <v>67</v>
      </c>
      <c r="B535" s="41">
        <v>21</v>
      </c>
      <c r="C535" s="41">
        <v>12</v>
      </c>
      <c r="D535" s="115" t="s">
        <v>432</v>
      </c>
      <c r="E535" s="41"/>
      <c r="F535" s="70">
        <f>SUM(F532:F534)</f>
        <v>163766.46</v>
      </c>
      <c r="G535" s="70">
        <f t="shared" ref="G535:L535" si="38">SUM(G532:G534)</f>
        <v>37830.080000000002</v>
      </c>
      <c r="H535" s="70">
        <f t="shared" si="38"/>
        <v>1140.81</v>
      </c>
      <c r="I535" s="70">
        <f t="shared" si="38"/>
        <v>0</v>
      </c>
      <c r="J535" s="70">
        <f t="shared" si="38"/>
        <v>0</v>
      </c>
      <c r="K535" s="70">
        <f t="shared" si="38"/>
        <v>0</v>
      </c>
      <c r="L535" s="70">
        <f t="shared" si="38"/>
        <v>202737.34999999998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1773.59</v>
      </c>
      <c r="I537" s="18"/>
      <c r="J537" s="18"/>
      <c r="K537" s="18"/>
      <c r="L537" s="69">
        <f>SUM(F537:K537)</f>
        <v>1773.59</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886.66</v>
      </c>
      <c r="I539" s="18"/>
      <c r="J539" s="18"/>
      <c r="K539" s="18"/>
      <c r="L539" s="69">
        <f>SUM(F539:K539)</f>
        <v>886.66</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2660.25</v>
      </c>
      <c r="I540" s="70">
        <f t="shared" si="39"/>
        <v>0</v>
      </c>
      <c r="J540" s="70">
        <f t="shared" si="39"/>
        <v>0</v>
      </c>
      <c r="K540" s="70">
        <f t="shared" si="39"/>
        <v>0</v>
      </c>
      <c r="L540" s="70">
        <f t="shared" si="39"/>
        <v>2660.25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54590</v>
      </c>
      <c r="G542" s="18">
        <v>9111.94</v>
      </c>
      <c r="H542" s="18">
        <v>40765.78</v>
      </c>
      <c r="I542" s="18"/>
      <c r="J542" s="18"/>
      <c r="K542" s="18"/>
      <c r="L542" s="69">
        <f>SUM(F542:K542)</f>
        <v>104467.72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v>27398.09</v>
      </c>
      <c r="G544" s="18">
        <v>4579.97</v>
      </c>
      <c r="H544" s="18">
        <v>20379.830000000002</v>
      </c>
      <c r="I544" s="18"/>
      <c r="J544" s="18"/>
      <c r="K544" s="18"/>
      <c r="L544" s="69">
        <f>SUM(F544:K544)</f>
        <v>52357.89</v>
      </c>
      <c r="M544" s="8"/>
      <c r="N544" s="165"/>
    </row>
    <row r="545" spans="1:14" s="3" customFormat="1" ht="12.2" customHeight="1" thickTop="1" thickBot="1" x14ac:dyDescent="0.2">
      <c r="A545" s="93" t="s">
        <v>71</v>
      </c>
      <c r="B545" s="63">
        <v>21</v>
      </c>
      <c r="C545" s="63">
        <v>20</v>
      </c>
      <c r="D545" s="140" t="s">
        <v>432</v>
      </c>
      <c r="E545" s="63"/>
      <c r="F545" s="141">
        <f>SUM(F542:F544)</f>
        <v>81988.09</v>
      </c>
      <c r="G545" s="141">
        <f t="shared" ref="G545:L545" si="40">SUM(G542:G544)</f>
        <v>13691.91</v>
      </c>
      <c r="H545" s="141">
        <f t="shared" si="40"/>
        <v>61145.61</v>
      </c>
      <c r="I545" s="141">
        <f t="shared" si="40"/>
        <v>0</v>
      </c>
      <c r="J545" s="141">
        <f t="shared" si="40"/>
        <v>0</v>
      </c>
      <c r="K545" s="141">
        <f t="shared" si="40"/>
        <v>0</v>
      </c>
      <c r="L545" s="141">
        <f t="shared" si="40"/>
        <v>156825.60999999999</v>
      </c>
      <c r="M545" s="8"/>
      <c r="N545" s="165"/>
    </row>
    <row r="546" spans="1:14" s="3" customFormat="1" ht="12.2" customHeight="1" thickTop="1" x14ac:dyDescent="0.15">
      <c r="A546" s="75" t="s">
        <v>72</v>
      </c>
      <c r="B546" s="41">
        <v>21</v>
      </c>
      <c r="C546" s="41">
        <v>21</v>
      </c>
      <c r="D546" s="115" t="s">
        <v>432</v>
      </c>
      <c r="E546" s="41"/>
      <c r="F546" s="70">
        <f>F525+F530+F535+F540+F545</f>
        <v>3924378.99</v>
      </c>
      <c r="G546" s="70">
        <f t="shared" ref="G546:L546" si="41">G525+G530+G535+G540+G545</f>
        <v>1652085.85</v>
      </c>
      <c r="H546" s="70">
        <f t="shared" si="41"/>
        <v>1374307.4000000001</v>
      </c>
      <c r="I546" s="70">
        <f t="shared" si="41"/>
        <v>28946.25</v>
      </c>
      <c r="J546" s="70">
        <f t="shared" si="41"/>
        <v>10593.02</v>
      </c>
      <c r="K546" s="70">
        <f t="shared" si="41"/>
        <v>1850</v>
      </c>
      <c r="L546" s="70">
        <f t="shared" si="41"/>
        <v>6992161.5099999998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3535519.28</v>
      </c>
      <c r="G550" s="69">
        <f>L527</f>
        <v>980184.15</v>
      </c>
      <c r="H550" s="69">
        <f>L532</f>
        <v>133087.03999999998</v>
      </c>
      <c r="I550" s="69">
        <f>L537</f>
        <v>1773.59</v>
      </c>
      <c r="J550" s="69">
        <f>L542</f>
        <v>104467.72</v>
      </c>
      <c r="K550" s="69">
        <f>SUM(F550:J550)</f>
        <v>4755031.7799999993</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1712234.7999999998</v>
      </c>
      <c r="G552" s="69">
        <f>L529</f>
        <v>402000.07</v>
      </c>
      <c r="H552" s="69">
        <f>L534</f>
        <v>69650.31</v>
      </c>
      <c r="I552" s="69">
        <f>L539</f>
        <v>886.66</v>
      </c>
      <c r="J552" s="69">
        <f>L544</f>
        <v>52357.89</v>
      </c>
      <c r="K552" s="69">
        <f>SUM(F552:J552)</f>
        <v>2237129.73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5247754.08</v>
      </c>
      <c r="G553" s="70">
        <f t="shared" si="42"/>
        <v>1382184.22</v>
      </c>
      <c r="H553" s="70">
        <f t="shared" si="42"/>
        <v>202737.34999999998</v>
      </c>
      <c r="I553" s="70">
        <f t="shared" si="42"/>
        <v>2660.25</v>
      </c>
      <c r="J553" s="70">
        <f t="shared" si="42"/>
        <v>156825.60999999999</v>
      </c>
      <c r="K553" s="70">
        <f t="shared" si="42"/>
        <v>6992161.5099999998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15835.46</v>
      </c>
      <c r="G580" s="18"/>
      <c r="H580" s="18"/>
      <c r="I580" s="69">
        <f t="shared" si="47"/>
        <v>15835.46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559325.42000000004</v>
      </c>
      <c r="G583" s="18"/>
      <c r="H583" s="18">
        <v>279620.76</v>
      </c>
      <c r="I583" s="69">
        <f t="shared" si="47"/>
        <v>838946.18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207726.92</v>
      </c>
      <c r="G584" s="18"/>
      <c r="H584" s="18">
        <v>103847.88</v>
      </c>
      <c r="I584" s="69">
        <f t="shared" si="47"/>
        <v>311574.80000000005</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32000</v>
      </c>
      <c r="I585" s="69">
        <f t="shared" si="47"/>
        <v>32000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140516.75</v>
      </c>
      <c r="I586" s="69">
        <f t="shared" si="47"/>
        <v>140516.75</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645312.01-1614.01</f>
        <v>643698</v>
      </c>
      <c r="I592" s="18"/>
      <c r="J592" s="18">
        <f>368532.47+1614.01</f>
        <v>370146.48</v>
      </c>
      <c r="K592" s="80">
        <f t="shared" ref="K592:K598" si="48">SUM(H592:J592)</f>
        <v>1013844.48</v>
      </c>
      <c r="L592" s="23" t="s">
        <v>288</v>
      </c>
      <c r="M592" s="8"/>
      <c r="N592" s="165"/>
    </row>
    <row r="593" spans="1:14" s="3" customFormat="1" ht="12.2" customHeight="1" x14ac:dyDescent="0.15">
      <c r="A593" s="3" t="s">
        <v>638</v>
      </c>
      <c r="B593" s="22">
        <v>23</v>
      </c>
      <c r="C593" s="22">
        <v>2</v>
      </c>
      <c r="D593" s="2" t="s">
        <v>432</v>
      </c>
      <c r="E593" s="22"/>
      <c r="F593" s="78">
        <v>2722</v>
      </c>
      <c r="G593" s="79" t="s">
        <v>97</v>
      </c>
      <c r="H593" s="18">
        <v>104467.71</v>
      </c>
      <c r="I593" s="18"/>
      <c r="J593" s="18">
        <v>52357.9</v>
      </c>
      <c r="K593" s="80">
        <f t="shared" si="48"/>
        <v>156825.61000000002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43148.08</v>
      </c>
      <c r="K594" s="80">
        <f t="shared" si="48"/>
        <v>43148.08</v>
      </c>
      <c r="L594" s="23" t="s">
        <v>288</v>
      </c>
      <c r="M594" s="8"/>
      <c r="N594" s="165"/>
    </row>
    <row r="595" spans="1:14" s="3" customFormat="1" ht="12.2" customHeight="1" x14ac:dyDescent="0.15">
      <c r="A595" s="21" t="s">
        <v>640</v>
      </c>
      <c r="B595" s="22">
        <v>23</v>
      </c>
      <c r="C595" s="22">
        <v>4</v>
      </c>
      <c r="D595" s="2" t="s">
        <v>432</v>
      </c>
      <c r="E595" s="22"/>
      <c r="F595" s="78">
        <v>2724</v>
      </c>
      <c r="G595" s="79" t="s">
        <v>97</v>
      </c>
      <c r="H595" s="18">
        <v>12265.15</v>
      </c>
      <c r="I595" s="18"/>
      <c r="J595" s="18">
        <v>20951.919999999998</v>
      </c>
      <c r="K595" s="80">
        <f t="shared" si="48"/>
        <v>33217.07</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4029.37</v>
      </c>
      <c r="I596" s="18"/>
      <c r="J596" s="18">
        <v>5157.3900000000003</v>
      </c>
      <c r="K596" s="80">
        <f t="shared" si="48"/>
        <v>9186.76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170339.58</v>
      </c>
      <c r="I598" s="18"/>
      <c r="J598" s="18">
        <v>97279.56</v>
      </c>
      <c r="K598" s="80">
        <f t="shared" si="48"/>
        <v>267619.14</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934799.80999999994</v>
      </c>
      <c r="I599" s="81">
        <f>SUM(I592:I598)</f>
        <v>0</v>
      </c>
      <c r="J599" s="81">
        <f>SUM(J592:J598)</f>
        <v>589041.33000000007</v>
      </c>
      <c r="K599" s="81">
        <f>SUM(K592:K598)</f>
        <v>1523841.1400000001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215919.62+272854.94</f>
        <v>488774.56</v>
      </c>
      <c r="I605" s="18"/>
      <c r="J605" s="18">
        <f>141636.33+136406.01</f>
        <v>278042.33999999997</v>
      </c>
      <c r="K605" s="80">
        <f>SUM(H605:J605)</f>
        <v>766816.89999999991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488774.56</v>
      </c>
      <c r="I606" s="81">
        <f>SUM(I603:I605)</f>
        <v>0</v>
      </c>
      <c r="J606" s="81">
        <f>SUM(J603:J605)</f>
        <v>278042.33999999997</v>
      </c>
      <c r="K606" s="81">
        <f>SUM(K603:K605)</f>
        <v>766816.89999999991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1748</v>
      </c>
      <c r="G612" s="18">
        <v>512.76</v>
      </c>
      <c r="H612" s="18"/>
      <c r="I612" s="18"/>
      <c r="J612" s="18"/>
      <c r="K612" s="18"/>
      <c r="L612" s="69">
        <f>SUM(F612:K612)</f>
        <v>2260.7600000000002</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1748</v>
      </c>
      <c r="G615" s="81">
        <f t="shared" si="49"/>
        <v>512.76</v>
      </c>
      <c r="H615" s="81">
        <f t="shared" si="49"/>
        <v>0</v>
      </c>
      <c r="I615" s="81">
        <f t="shared" si="49"/>
        <v>0</v>
      </c>
      <c r="J615" s="81">
        <f t="shared" si="49"/>
        <v>0</v>
      </c>
      <c r="K615" s="81">
        <f t="shared" si="49"/>
        <v>0</v>
      </c>
      <c r="L615" s="70">
        <f t="shared" si="49"/>
        <v>2260.7600000000002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3926430.76</v>
      </c>
      <c r="H618" s="80">
        <f>SUM(F52)</f>
        <v>3926430.7600000002</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280600.15999999997</v>
      </c>
      <c r="H619" s="80">
        <f>SUM(G52)</f>
        <v>280600.16000000003</v>
      </c>
      <c r="I619" s="87" t="s">
        <v>876</v>
      </c>
      <c r="J619" s="80">
        <f>G619-H619</f>
        <v>0</v>
      </c>
      <c r="K619" s="80"/>
      <c r="L619" s="80"/>
      <c r="M619" s="8"/>
    </row>
    <row r="620" spans="1:14" s="3" customFormat="1" ht="12.2" customHeight="1" x14ac:dyDescent="0.15">
      <c r="A620" s="74"/>
      <c r="B620" s="22"/>
      <c r="C620" s="22"/>
      <c r="D620" s="22"/>
      <c r="E620" s="22"/>
      <c r="F620" s="87" t="s">
        <v>685</v>
      </c>
      <c r="G620" s="80">
        <f>SUM(H19)</f>
        <v>1359699.0699999998</v>
      </c>
      <c r="H620" s="80">
        <f>SUM(H52)</f>
        <v>1359699.07</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2656421.9500000002</v>
      </c>
      <c r="H622" s="80">
        <f>SUM(J52)</f>
        <v>2656421.9500000002</v>
      </c>
      <c r="I622" s="87" t="s">
        <v>879</v>
      </c>
      <c r="J622" s="80">
        <f>G622-H622</f>
        <v>0</v>
      </c>
      <c r="K622" s="80"/>
      <c r="L622" s="80"/>
      <c r="M622" s="8"/>
    </row>
    <row r="623" spans="1:14" s="3" customFormat="1" ht="12.2" customHeight="1" x14ac:dyDescent="0.15">
      <c r="A623" s="74"/>
      <c r="B623" s="22"/>
      <c r="C623" s="22"/>
      <c r="D623" s="22"/>
      <c r="E623" s="22"/>
      <c r="F623" s="87" t="s">
        <v>865</v>
      </c>
      <c r="G623" s="80">
        <f>F51</f>
        <v>1503875.29</v>
      </c>
      <c r="H623" s="80">
        <f>F477</f>
        <v>1503875.2900000028</v>
      </c>
      <c r="I623" s="87" t="s">
        <v>101</v>
      </c>
      <c r="J623" s="80">
        <f t="shared" ref="J623:J656" si="50">G623-H623</f>
        <v>-2.7939677238464355E-9</v>
      </c>
      <c r="K623" s="80"/>
      <c r="L623" s="80"/>
      <c r="M623" s="8"/>
    </row>
    <row r="624" spans="1:14" s="3" customFormat="1" ht="12.2" customHeight="1" x14ac:dyDescent="0.15">
      <c r="A624" s="74"/>
      <c r="B624" s="22"/>
      <c r="C624" s="85"/>
      <c r="D624" s="85"/>
      <c r="E624" s="85"/>
      <c r="F624" s="85" t="s">
        <v>866</v>
      </c>
      <c r="G624" s="80">
        <f>G51</f>
        <v>141873.61000000002</v>
      </c>
      <c r="H624" s="80">
        <f>G477</f>
        <v>141873.6100000001</v>
      </c>
      <c r="I624" s="87" t="s">
        <v>102</v>
      </c>
      <c r="J624" s="80">
        <f t="shared" si="50"/>
        <v>0</v>
      </c>
      <c r="K624" s="80"/>
      <c r="L624" s="80"/>
      <c r="M624" s="8"/>
    </row>
    <row r="625" spans="1:13" s="3" customFormat="1" ht="12.2" customHeight="1" x14ac:dyDescent="0.15">
      <c r="A625" s="74"/>
      <c r="B625" s="22"/>
      <c r="C625" s="22"/>
      <c r="D625" s="22"/>
      <c r="E625" s="22"/>
      <c r="F625" s="86" t="s">
        <v>867</v>
      </c>
      <c r="G625" s="80">
        <f>H51</f>
        <v>376812.66</v>
      </c>
      <c r="H625" s="80">
        <f>H477</f>
        <v>376812.66000000015</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2629737.9500000002</v>
      </c>
      <c r="H627" s="80">
        <f>J477</f>
        <v>2629737.9499999997</v>
      </c>
      <c r="I627" s="87" t="s">
        <v>105</v>
      </c>
      <c r="J627" s="80">
        <f t="shared" si="50"/>
        <v>0</v>
      </c>
      <c r="K627" s="67"/>
      <c r="L627" s="69"/>
      <c r="M627" s="8"/>
    </row>
    <row r="628" spans="1:13" s="3" customFormat="1" ht="12.2" customHeight="1" x14ac:dyDescent="0.15">
      <c r="A628" s="21"/>
      <c r="B628" s="22"/>
      <c r="C628" s="22"/>
      <c r="D628" s="22"/>
      <c r="E628" s="22"/>
      <c r="F628" s="86" t="s">
        <v>658</v>
      </c>
      <c r="G628" s="80">
        <f>F194</f>
        <v>30582646.129999999</v>
      </c>
      <c r="H628" s="80">
        <f>SUM(F469)</f>
        <v>30582646.130000003</v>
      </c>
      <c r="I628" s="87" t="s">
        <v>106</v>
      </c>
      <c r="J628" s="80">
        <f>G628-H628</f>
        <v>0</v>
      </c>
      <c r="K628" s="67"/>
      <c r="L628" s="69"/>
      <c r="M628" s="8"/>
    </row>
    <row r="629" spans="1:13" s="3" customFormat="1" ht="12.2" customHeight="1" x14ac:dyDescent="0.15">
      <c r="A629" s="21"/>
      <c r="B629" s="22"/>
      <c r="C629" s="22"/>
      <c r="D629" s="22"/>
      <c r="E629" s="22"/>
      <c r="F629" s="86" t="s">
        <v>659</v>
      </c>
      <c r="G629" s="80">
        <f>G194</f>
        <v>1283129.33</v>
      </c>
      <c r="H629" s="80">
        <f>SUM(G469)</f>
        <v>1283129.33</v>
      </c>
      <c r="I629" s="87" t="s">
        <v>107</v>
      </c>
      <c r="J629" s="80">
        <f>G629-H629</f>
        <v>0</v>
      </c>
      <c r="K629" s="67"/>
      <c r="L629" s="69"/>
      <c r="M629" s="8"/>
    </row>
    <row r="630" spans="1:13" s="3" customFormat="1" ht="12.2" customHeight="1" x14ac:dyDescent="0.15">
      <c r="A630" s="21"/>
      <c r="B630" s="22"/>
      <c r="C630" s="22"/>
      <c r="D630" s="22"/>
      <c r="E630" s="22"/>
      <c r="F630" s="86" t="s">
        <v>660</v>
      </c>
      <c r="G630" s="80">
        <f>H194</f>
        <v>2295725.23</v>
      </c>
      <c r="H630" s="80">
        <f>SUM(H469)</f>
        <v>2295725.23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-150774.04</v>
      </c>
      <c r="H632" s="80">
        <f>SUM(J469)</f>
        <v>-150774.04</v>
      </c>
      <c r="I632" s="87" t="s">
        <v>110</v>
      </c>
      <c r="J632" s="80">
        <f>G632-H632</f>
        <v>0</v>
      </c>
      <c r="K632" s="67"/>
      <c r="L632" s="69"/>
      <c r="M632" s="8"/>
    </row>
    <row r="633" spans="1:13" s="3" customFormat="1" ht="12.2" customHeight="1" x14ac:dyDescent="0.15">
      <c r="A633" s="21"/>
      <c r="B633" s="22"/>
      <c r="C633" s="22"/>
      <c r="D633" s="22"/>
      <c r="E633" s="22"/>
      <c r="F633" s="86" t="s">
        <v>394</v>
      </c>
      <c r="G633" s="80">
        <f>SUM(L272)</f>
        <v>30610962.870000001</v>
      </c>
      <c r="H633" s="80">
        <f>SUM(F473)</f>
        <v>30610962.870000001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2293176.7999999998</v>
      </c>
      <c r="H634" s="80">
        <f>SUM(H473)</f>
        <v>2293176.7999999998</v>
      </c>
      <c r="I634" s="87" t="s">
        <v>112</v>
      </c>
      <c r="J634" s="80">
        <f>G634-H634</f>
        <v>0</v>
      </c>
      <c r="K634" s="67"/>
      <c r="L634" s="69"/>
      <c r="M634" s="8"/>
    </row>
    <row r="635" spans="1:13" s="124" customFormat="1" ht="12.2" customHeight="1" x14ac:dyDescent="0.15">
      <c r="A635" s="21"/>
      <c r="B635" s="22"/>
      <c r="C635" s="22"/>
      <c r="D635" s="22"/>
      <c r="E635" s="22"/>
      <c r="F635" s="99" t="s">
        <v>247</v>
      </c>
      <c r="G635" s="80">
        <f>I363</f>
        <v>547301.89</v>
      </c>
      <c r="H635" s="80">
        <f>I370</f>
        <v>547301.89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1178778.71</v>
      </c>
      <c r="H636" s="80">
        <f>SUM(G473)</f>
        <v>1178778.71</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-150774.04</v>
      </c>
      <c r="H638" s="108">
        <f>SUM(J469)</f>
        <v>-150774.04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118907.64</v>
      </c>
      <c r="H639" s="108">
        <f>SUM(J473)</f>
        <v>118907.64</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1300069.55</v>
      </c>
      <c r="H640" s="80">
        <f>SUM(F462)</f>
        <v>1300069.55</v>
      </c>
      <c r="I640" s="87" t="s">
        <v>841</v>
      </c>
      <c r="J640" s="80">
        <f t="shared" si="50"/>
        <v>0</v>
      </c>
      <c r="K640" s="67"/>
      <c r="L640" s="69"/>
      <c r="M640" s="8"/>
    </row>
    <row r="641" spans="1:13" s="3" customFormat="1" ht="12.2" customHeight="1" x14ac:dyDescent="0.15">
      <c r="A641" s="21"/>
      <c r="B641" s="22"/>
      <c r="C641" s="22"/>
      <c r="D641" s="22"/>
      <c r="E641" s="22"/>
      <c r="F641" s="86" t="s">
        <v>119</v>
      </c>
      <c r="G641" s="80">
        <f>SUM(G447)</f>
        <v>1356352.4</v>
      </c>
      <c r="H641" s="80">
        <f>SUM(G462)</f>
        <v>1356352.4</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2656421.9500000002</v>
      </c>
      <c r="H643" s="80">
        <f>SUM(I462)</f>
        <v>2656421.9500000002</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-150774.04</v>
      </c>
      <c r="H645" s="80">
        <f>H409</f>
        <v>-150774.04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-150774.04</v>
      </c>
      <c r="H647" s="80">
        <f>L409</f>
        <v>-150774.04</v>
      </c>
      <c r="I647" s="87" t="s">
        <v>477</v>
      </c>
      <c r="J647" s="80">
        <f t="shared" si="50"/>
        <v>0</v>
      </c>
      <c r="K647" s="67"/>
      <c r="L647" s="69"/>
      <c r="M647" s="8"/>
    </row>
    <row r="648" spans="1:13" s="3" customFormat="1" ht="12.2" customHeight="1" x14ac:dyDescent="0.15">
      <c r="A648" s="21"/>
      <c r="B648" s="22"/>
      <c r="C648" s="22"/>
      <c r="D648" s="22"/>
      <c r="E648" s="22"/>
      <c r="F648" s="86" t="s">
        <v>51</v>
      </c>
      <c r="G648" s="80">
        <f>K599</f>
        <v>1523841.1400000001</v>
      </c>
      <c r="H648" s="80">
        <f>L209+L227+L245</f>
        <v>1523841.1400000001</v>
      </c>
      <c r="I648" s="87" t="s">
        <v>396</v>
      </c>
      <c r="J648" s="80">
        <f t="shared" si="50"/>
        <v>0</v>
      </c>
      <c r="K648" s="67"/>
      <c r="L648" s="69"/>
      <c r="M648" s="8"/>
    </row>
    <row r="649" spans="1:13" s="3" customFormat="1" ht="12.2" customHeight="1" x14ac:dyDescent="0.15">
      <c r="A649" s="21"/>
      <c r="B649" s="22"/>
      <c r="C649" s="22"/>
      <c r="D649" s="22"/>
      <c r="E649" s="22"/>
      <c r="F649" s="86" t="s">
        <v>52</v>
      </c>
      <c r="G649" s="80">
        <f>K606</f>
        <v>766816.89999999991</v>
      </c>
      <c r="H649" s="80">
        <f>(J258+J339)-(J256+J337)</f>
        <v>766816.89999999991</v>
      </c>
      <c r="I649" s="87" t="s">
        <v>699</v>
      </c>
      <c r="J649" s="80">
        <f t="shared" si="50"/>
        <v>0</v>
      </c>
      <c r="K649" s="67"/>
      <c r="L649" s="69"/>
      <c r="M649" s="8"/>
    </row>
    <row r="650" spans="1:13" s="3" customFormat="1" ht="12.2" customHeight="1" x14ac:dyDescent="0.15">
      <c r="A650" s="21"/>
      <c r="B650" s="22"/>
      <c r="C650" s="22"/>
      <c r="D650" s="22"/>
      <c r="E650" s="22"/>
      <c r="F650" s="86" t="s">
        <v>387</v>
      </c>
      <c r="G650" s="80">
        <f>L209</f>
        <v>934799.81</v>
      </c>
      <c r="H650" s="80">
        <f>H599</f>
        <v>934799.80999999994</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589041.33000000007</v>
      </c>
      <c r="H652" s="80">
        <f>J599</f>
        <v>589041.33000000007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22892959.019999996</v>
      </c>
      <c r="G661" s="13">
        <f>(L230+L310+L360)</f>
        <v>0</v>
      </c>
      <c r="H661" s="13">
        <f>(L248+L329+L361)</f>
        <v>10843223.720000003</v>
      </c>
      <c r="I661" s="13">
        <f>SUM(F661:H661)</f>
        <v>33736182.739999995</v>
      </c>
      <c r="J661" s="13"/>
      <c r="K661" s="13"/>
      <c r="L661" s="13"/>
      <c r="M661" s="9"/>
    </row>
    <row r="662" spans="1:13" s="3" customFormat="1" ht="12.2" customHeight="1" x14ac:dyDescent="0.2">
      <c r="A662" s="1" t="s">
        <v>127</v>
      </c>
      <c r="F662" s="13">
        <f>(L359/IF(SUM(L359:L361)=0,1,SUM(L359:L361))*(SUM(G97:G110)))</f>
        <v>24996.408638569999</v>
      </c>
      <c r="G662" s="13">
        <f>(L360/IF(SUM(L359:L361)=0,1,SUM(L359:L361))*(SUM(G97:G110)))</f>
        <v>0</v>
      </c>
      <c r="H662" s="13">
        <f>(L361/IF(SUM(L359:L361)=0,1,SUM(L359:L361))*(SUM(G97:G110)))</f>
        <v>6897.5313614300012</v>
      </c>
      <c r="I662" s="13">
        <f>SUM(F662:H662)</f>
        <v>31893.940000000002</v>
      </c>
      <c r="J662"/>
      <c r="K662" s="13"/>
      <c r="L662" s="13"/>
      <c r="M662" s="8"/>
    </row>
    <row r="663" spans="1:13" s="3" customFormat="1" ht="12.2" customHeight="1" x14ac:dyDescent="0.2">
      <c r="A663" s="1" t="s">
        <v>128</v>
      </c>
      <c r="F663" s="13">
        <f>(L209+L288)-(J209+J288)</f>
        <v>888290.76000000013</v>
      </c>
      <c r="G663" s="13">
        <f>(L227+L307)-(J227+J307)</f>
        <v>0</v>
      </c>
      <c r="H663" s="13">
        <f>(L245+L326)-(J245+J326)</f>
        <v>558377.20000000007</v>
      </c>
      <c r="I663" s="13">
        <f>SUM(F663:H663)</f>
        <v>1446667.9600000002</v>
      </c>
      <c r="J663"/>
      <c r="K663" s="13"/>
      <c r="L663" s="13"/>
      <c r="M663" s="9"/>
    </row>
    <row r="664" spans="1:13" s="3" customFormat="1" ht="12.2" customHeight="1" x14ac:dyDescent="0.15">
      <c r="A664" s="142" t="s">
        <v>129</v>
      </c>
      <c r="B664" s="124"/>
      <c r="C664" s="124"/>
      <c r="D664" s="124"/>
      <c r="E664" s="124"/>
      <c r="F664" s="143">
        <f>SUM(F576:F588)+SUM(H603:H605)+SUM(L612)</f>
        <v>1273923.1200000001</v>
      </c>
      <c r="G664" s="143">
        <f>SUM(G576:G588)+SUM(I603:I605)+L613</f>
        <v>0</v>
      </c>
      <c r="H664" s="143">
        <f>SUM(H576:H588)+SUM(J603:J605)+L614</f>
        <v>834027.73</v>
      </c>
      <c r="I664" s="13">
        <f>SUM(F664:H664)</f>
        <v>2107950.85</v>
      </c>
      <c r="J664" s="13"/>
      <c r="K664" s="13"/>
      <c r="L664" s="13"/>
      <c r="M664" s="9"/>
    </row>
    <row r="665" spans="1:13" s="3" customFormat="1" ht="12.2" customHeight="1" x14ac:dyDescent="0.15">
      <c r="A665" s="1" t="s">
        <v>130</v>
      </c>
      <c r="F665" s="13">
        <f>F661-SUM(F662:F664)</f>
        <v>20705748.731361426</v>
      </c>
      <c r="G665" s="13">
        <f>G661-SUM(G662:G664)</f>
        <v>0</v>
      </c>
      <c r="H665" s="13">
        <f>H661-SUM(H662:H664)</f>
        <v>9443921.2586385719</v>
      </c>
      <c r="I665" s="13">
        <f>I661-SUM(I662:I664)</f>
        <v>30149669.989999995</v>
      </c>
      <c r="J665" s="13"/>
      <c r="K665" s="13"/>
      <c r="L665" s="13"/>
      <c r="M665" s="8"/>
    </row>
    <row r="666" spans="1:13" s="3" customFormat="1" ht="12.2" customHeight="1" x14ac:dyDescent="0.2">
      <c r="A666" s="1" t="s">
        <v>131</v>
      </c>
      <c r="F666" s="183">
        <v>908.07</v>
      </c>
      <c r="G666" s="184"/>
      <c r="H666" s="184">
        <v>482.76</v>
      </c>
      <c r="I666" s="13">
        <f>SUM(F666:H666)</f>
        <v>1390.83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22801.93</v>
      </c>
      <c r="G668" s="13" t="e">
        <f>ROUND(G665/G666,2)</f>
        <v>#DIV/0!</v>
      </c>
      <c r="H668" s="13">
        <f>ROUND(H665/H666,2)</f>
        <v>19562.349999999999</v>
      </c>
      <c r="I668" s="13">
        <f>ROUND(I665/I666,2)</f>
        <v>21677.47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-10.34</v>
      </c>
      <c r="I671" s="13">
        <f>SUM(F671:H671)</f>
        <v>-10.34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22801.93</v>
      </c>
      <c r="G673" s="13" t="e">
        <f>ROUND((G665+G670)/(G666+G671),2)</f>
        <v>#DIV/0!</v>
      </c>
      <c r="H673" s="13">
        <f>ROUND((H665+H670)/(H666+H671),2)</f>
        <v>19990.52</v>
      </c>
      <c r="I673" s="13">
        <f>ROUND((I665+I670)/(I666+I671),2)</f>
        <v>21839.83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D26" sqref="D26"/>
    </sheetView>
  </sheetViews>
  <sheetFormatPr defaultColWidth="9.1640625" defaultRowHeight="15" x14ac:dyDescent="0.25"/>
  <cols>
    <col min="1" max="2" width="9.1640625" style="262"/>
    <col min="3" max="3" width="154.33203125" style="262" customWidth="1"/>
    <col min="4" max="4" width="9.1640625" style="262"/>
    <col min="5" max="5" width="14.1640625" style="262" customWidth="1"/>
    <col min="6" max="6" width="13.1640625" style="262" customWidth="1"/>
    <col min="7" max="7" width="9.1640625" style="262"/>
    <col min="8" max="8" width="23.1640625" style="262" customWidth="1"/>
    <col min="9" max="9" width="14.1640625" style="262" customWidth="1"/>
    <col min="10" max="16384" width="9.16406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73410.36</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71191.02</v>
      </c>
      <c r="F9" s="276" t="s">
        <v>1644</v>
      </c>
    </row>
    <row r="10" spans="2:8" x14ac:dyDescent="0.25">
      <c r="B10" s="275"/>
      <c r="C10" s="275"/>
      <c r="D10" s="275"/>
      <c r="E10" s="275"/>
      <c r="F10" s="275"/>
    </row>
    <row r="11" spans="2:8" x14ac:dyDescent="0.25">
      <c r="B11" s="275"/>
      <c r="C11" s="279" t="s">
        <v>1648</v>
      </c>
      <c r="D11" s="276" t="s">
        <v>1651</v>
      </c>
      <c r="E11" s="263"/>
      <c r="F11" s="276" t="s">
        <v>1645</v>
      </c>
    </row>
    <row r="12" spans="2:8" x14ac:dyDescent="0.25">
      <c r="B12" s="275"/>
      <c r="C12" s="275"/>
      <c r="D12" s="276"/>
      <c r="E12" s="275"/>
      <c r="F12" s="275"/>
    </row>
    <row r="13" spans="2:8" x14ac:dyDescent="0.25">
      <c r="B13" s="275"/>
      <c r="C13" s="276" t="s">
        <v>1638</v>
      </c>
      <c r="D13" s="276" t="s">
        <v>1652</v>
      </c>
      <c r="E13" s="263"/>
      <c r="F13" s="276" t="s">
        <v>1646</v>
      </c>
    </row>
    <row r="14" spans="2:8" x14ac:dyDescent="0.25">
      <c r="B14" s="275"/>
      <c r="C14" s="275"/>
      <c r="D14" s="276"/>
      <c r="E14" s="275"/>
      <c r="F14" s="275"/>
    </row>
    <row r="15" spans="2:8" x14ac:dyDescent="0.25">
      <c r="B15" s="275"/>
      <c r="C15" s="276" t="s">
        <v>1640</v>
      </c>
      <c r="D15" s="276" t="s">
        <v>1653</v>
      </c>
      <c r="E15" s="263">
        <v>1873.03</v>
      </c>
      <c r="F15" s="276" t="s">
        <v>1647</v>
      </c>
    </row>
    <row r="16" spans="2:8" x14ac:dyDescent="0.25">
      <c r="B16" s="275"/>
      <c r="C16" s="275"/>
      <c r="D16" s="275"/>
      <c r="E16" s="275"/>
      <c r="F16" s="275"/>
    </row>
    <row r="17" spans="2:8" x14ac:dyDescent="0.25">
      <c r="B17" s="275"/>
      <c r="C17" s="276" t="s">
        <v>1639</v>
      </c>
      <c r="D17" s="276" t="s">
        <v>1654</v>
      </c>
      <c r="E17" s="263">
        <v>346.31</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Fall Mountain Regional</v>
      </c>
      <c r="C5" s="302"/>
      <c r="D5" s="302"/>
      <c r="E5" s="302"/>
      <c r="F5" s="302"/>
    </row>
    <row r="8" spans="1:9" ht="18" x14ac:dyDescent="0.25">
      <c r="A8" s="240" t="s">
        <v>1568</v>
      </c>
      <c r="F8" s="247" t="s">
        <v>1586</v>
      </c>
    </row>
    <row r="9" spans="1:9" ht="15" x14ac:dyDescent="0.2">
      <c r="A9" s="238" t="s">
        <v>1569</v>
      </c>
      <c r="B9" s="241">
        <f>'DOE25'!G97</f>
        <v>31893.94</v>
      </c>
      <c r="F9" s="238" t="s">
        <v>1582</v>
      </c>
    </row>
    <row r="10" spans="1:9" ht="15" x14ac:dyDescent="0.2">
      <c r="A10" s="238" t="s">
        <v>1570</v>
      </c>
      <c r="B10" s="241">
        <f>'DOE25'!G112-'DOE25'!G97</f>
        <v>0</v>
      </c>
      <c r="F10" s="238" t="s">
        <v>1583</v>
      </c>
    </row>
    <row r="11" spans="1:9" ht="15" x14ac:dyDescent="0.2">
      <c r="A11" s="238" t="s">
        <v>1571</v>
      </c>
      <c r="B11" s="241">
        <f>'DOE25'!G140</f>
        <v>17909.89</v>
      </c>
      <c r="F11" s="238" t="s">
        <v>1584</v>
      </c>
    </row>
    <row r="12" spans="1:9" ht="15" x14ac:dyDescent="0.2">
      <c r="A12" s="238" t="s">
        <v>1572</v>
      </c>
      <c r="B12" s="241">
        <f>'DOE25'!G170</f>
        <v>1233325.5</v>
      </c>
      <c r="F12" s="238" t="s">
        <v>1585</v>
      </c>
    </row>
    <row r="13" spans="1:9" ht="15" x14ac:dyDescent="0.2">
      <c r="A13" s="238" t="s">
        <v>1573</v>
      </c>
      <c r="B13" s="241">
        <f>'DOE25'!G193-'DOE25'!G180</f>
        <v>0</v>
      </c>
      <c r="F13" s="238" t="s">
        <v>1595</v>
      </c>
    </row>
    <row r="14" spans="1:9" ht="18" x14ac:dyDescent="0.25">
      <c r="A14" s="240" t="s">
        <v>732</v>
      </c>
      <c r="B14" s="242">
        <f>SUM(B9:B13)</f>
        <v>1283129.33</v>
      </c>
    </row>
    <row r="16" spans="1:9" ht="18" x14ac:dyDescent="0.25">
      <c r="A16" s="240" t="s">
        <v>786</v>
      </c>
      <c r="F16" s="247" t="s">
        <v>1587</v>
      </c>
    </row>
    <row r="17" spans="1:6" ht="15" x14ac:dyDescent="0.2">
      <c r="A17" s="238" t="s">
        <v>1574</v>
      </c>
      <c r="B17" s="241">
        <f>'DOE25'!L363-'DOE25'!L362</f>
        <v>1178778.71</v>
      </c>
      <c r="F17" s="238" t="s">
        <v>1588</v>
      </c>
    </row>
    <row r="18" spans="1:6" ht="15" x14ac:dyDescent="0.2">
      <c r="A18" s="238" t="s">
        <v>1575</v>
      </c>
      <c r="B18" s="251"/>
      <c r="F18" s="247" t="s">
        <v>1612</v>
      </c>
    </row>
    <row r="19" spans="1:6" ht="18" x14ac:dyDescent="0.25">
      <c r="A19" s="240" t="s">
        <v>725</v>
      </c>
      <c r="B19" s="242">
        <f>SUM(B17:B18)</f>
        <v>1178778.71</v>
      </c>
    </row>
    <row r="21" spans="1:6" ht="18.75" thickBot="1" x14ac:dyDescent="0.3">
      <c r="A21" s="240" t="s">
        <v>1576</v>
      </c>
    </row>
    <row r="22" spans="1:6" ht="18.75" thickTop="1" x14ac:dyDescent="0.25">
      <c r="A22" s="240" t="s">
        <v>1577</v>
      </c>
      <c r="B22" s="246">
        <f>B14-B19</f>
        <v>104350.62000000011</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38551.54</v>
      </c>
      <c r="F31" s="238" t="s">
        <v>1592</v>
      </c>
    </row>
    <row r="33" spans="1:6" ht="15" x14ac:dyDescent="0.2">
      <c r="A33" s="238" t="s">
        <v>1635</v>
      </c>
      <c r="B33" s="241">
        <f>'DOE25'!G477</f>
        <v>141873.6100000001</v>
      </c>
      <c r="F33" s="238" t="s">
        <v>1593</v>
      </c>
    </row>
    <row r="36" spans="1:6" ht="15" x14ac:dyDescent="0.2">
      <c r="A36" s="238" t="s">
        <v>1579</v>
      </c>
      <c r="B36" s="252">
        <v>44170.07</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I18" sqref="I18"/>
    </sheetView>
  </sheetViews>
  <sheetFormatPr defaultRowHeight="11.25" x14ac:dyDescent="0.2"/>
  <cols>
    <col min="1" max="1" width="26.6640625" customWidth="1"/>
    <col min="2" max="2" width="33.83203125" customWidth="1"/>
    <col min="3" max="3" width="29.33203125" customWidth="1"/>
  </cols>
  <sheetData>
    <row r="1" spans="1:3" x14ac:dyDescent="0.2">
      <c r="A1" s="171" t="s">
        <v>781</v>
      </c>
      <c r="B1" s="170" t="str">
        <f>'DOE25'!A2</f>
        <v>Fall Mountain Regional</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7239117.6300000008</v>
      </c>
      <c r="C9" s="167">
        <f>'DOE25'!G198+'DOE25'!G216+'DOE25'!G234+'DOE25'!G277+'DOE25'!G296+'DOE25'!G315</f>
        <v>4007446.54</v>
      </c>
    </row>
    <row r="10" spans="1:3" x14ac:dyDescent="0.2">
      <c r="A10" t="s">
        <v>775</v>
      </c>
      <c r="B10" s="177">
        <f>6629257.77+376038.15+48339.62</f>
        <v>7053635.54</v>
      </c>
      <c r="C10" s="177">
        <f>3698503.77+193081.03+12380.14</f>
        <v>3903964.94</v>
      </c>
    </row>
    <row r="11" spans="1:3" x14ac:dyDescent="0.2">
      <c r="A11" t="s">
        <v>776</v>
      </c>
      <c r="B11" s="177">
        <v>185482.09</v>
      </c>
      <c r="C11" s="177">
        <v>103481.60000000001</v>
      </c>
    </row>
    <row r="12" spans="1:3" x14ac:dyDescent="0.2">
      <c r="A12" t="s">
        <v>777</v>
      </c>
      <c r="B12" s="177"/>
      <c r="C12" s="177"/>
    </row>
    <row r="13" spans="1:3" x14ac:dyDescent="0.2">
      <c r="A13" t="str">
        <f>IF(B9=B13,IF(C9=C13,"Check Total OK","Check Total Error"),"Check Total Error")</f>
        <v>Check Total OK</v>
      </c>
      <c r="B13" s="169">
        <f>SUM(B10:B12)</f>
        <v>7239117.6299999999</v>
      </c>
      <c r="C13" s="169">
        <f>SUM(C10:C12)</f>
        <v>4007446.54</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3842390.9000000004</v>
      </c>
      <c r="C18" s="167">
        <f>'DOE25'!G199+'DOE25'!G217+'DOE25'!G235+'DOE25'!G278+'DOE25'!G297+'DOE25'!G316</f>
        <v>1602393.94</v>
      </c>
    </row>
    <row r="19" spans="1:3" x14ac:dyDescent="0.2">
      <c r="A19" t="s">
        <v>775</v>
      </c>
      <c r="B19" s="177">
        <v>1451681.56</v>
      </c>
      <c r="C19" s="177">
        <v>605395.39</v>
      </c>
    </row>
    <row r="20" spans="1:3" x14ac:dyDescent="0.2">
      <c r="A20" t="s">
        <v>776</v>
      </c>
      <c r="B20" s="177">
        <v>1678126.66</v>
      </c>
      <c r="C20" s="177">
        <v>699829.89</v>
      </c>
    </row>
    <row r="21" spans="1:3" x14ac:dyDescent="0.2">
      <c r="A21" t="s">
        <v>777</v>
      </c>
      <c r="B21" s="177">
        <v>712582.68</v>
      </c>
      <c r="C21" s="177">
        <v>297168.65999999997</v>
      </c>
    </row>
    <row r="22" spans="1:3" x14ac:dyDescent="0.2">
      <c r="A22" t="str">
        <f>IF(B18=B22,IF(C18=C22,"Check Total OK","Check Total Error"),"Check Total Error")</f>
        <v>Check Total OK</v>
      </c>
      <c r="B22" s="169">
        <f>SUM(B19:B21)</f>
        <v>3842390.9</v>
      </c>
      <c r="C22" s="169">
        <f>SUM(C19:C21)</f>
        <v>1602393.94</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378488.33</v>
      </c>
      <c r="C27" s="172">
        <f>'DOE25'!G200+'DOE25'!G218+'DOE25'!G236+'DOE25'!G279+'DOE25'!G298+'DOE25'!G317</f>
        <v>150908.42000000001</v>
      </c>
    </row>
    <row r="28" spans="1:3" x14ac:dyDescent="0.2">
      <c r="A28" t="s">
        <v>775</v>
      </c>
      <c r="B28" s="177">
        <v>341060.82</v>
      </c>
      <c r="C28" s="177">
        <f>146069.94-630.06</f>
        <v>145439.88</v>
      </c>
    </row>
    <row r="29" spans="1:3" x14ac:dyDescent="0.2">
      <c r="A29" t="s">
        <v>776</v>
      </c>
      <c r="B29" s="177">
        <v>1477.5</v>
      </c>
      <c r="C29" s="177">
        <v>630.05999999999995</v>
      </c>
    </row>
    <row r="30" spans="1:3" x14ac:dyDescent="0.2">
      <c r="A30" t="s">
        <v>777</v>
      </c>
      <c r="B30" s="177">
        <v>35950.01</v>
      </c>
      <c r="C30" s="177">
        <f>3225.81+1612.67</f>
        <v>4838.4799999999996</v>
      </c>
    </row>
    <row r="31" spans="1:3" x14ac:dyDescent="0.2">
      <c r="A31" t="str">
        <f>IF(B27=B31,IF(C27=C31,"Check Total OK","Check Total Error"),"Check Total Error")</f>
        <v>Check Total OK</v>
      </c>
      <c r="B31" s="169">
        <f>SUM(B28:B30)</f>
        <v>378488.33</v>
      </c>
      <c r="C31" s="169">
        <f>SUM(C28:C30)</f>
        <v>150908.42000000001</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337042.29</v>
      </c>
      <c r="C36" s="173">
        <f>'DOE25'!G201+'DOE25'!G219+'DOE25'!G237+'DOE25'!G280+'DOE25'!G299+'DOE25'!G318</f>
        <v>86556.23000000001</v>
      </c>
    </row>
    <row r="37" spans="1:3" x14ac:dyDescent="0.2">
      <c r="A37" t="s">
        <v>775</v>
      </c>
      <c r="B37" s="177"/>
      <c r="C37" s="177"/>
    </row>
    <row r="38" spans="1:3" x14ac:dyDescent="0.2">
      <c r="A38" t="s">
        <v>776</v>
      </c>
      <c r="B38" s="177"/>
      <c r="C38" s="177"/>
    </row>
    <row r="39" spans="1:3" x14ac:dyDescent="0.2">
      <c r="A39" t="s">
        <v>777</v>
      </c>
      <c r="B39" s="177">
        <f>261171.29+38836.63+37034.37</f>
        <v>337042.29</v>
      </c>
      <c r="C39" s="177">
        <f>67279.19+14380.02+4897.02</f>
        <v>86556.23000000001</v>
      </c>
    </row>
    <row r="40" spans="1:3" x14ac:dyDescent="0.2">
      <c r="A40" t="str">
        <f>IF(B36=B40,IF(C36=C40,"Check Total OK","Check Total Error"),"Check Total Error")</f>
        <v>Check Total OK</v>
      </c>
      <c r="B40" s="169">
        <f>SUM(B37:B39)</f>
        <v>337042.29</v>
      </c>
      <c r="C40" s="169">
        <f>SUM(C37:C39)</f>
        <v>86556.23000000001</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M28" sqref="M28"/>
    </sheetView>
  </sheetViews>
  <sheetFormatPr defaultRowHeight="11.25" x14ac:dyDescent="0.2"/>
  <cols>
    <col min="1" max="1" width="10.83203125" customWidth="1"/>
    <col min="2" max="2" width="41.1640625" customWidth="1"/>
    <col min="3" max="3" width="22.6640625" customWidth="1"/>
    <col min="4" max="4" width="20.3320312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Fall Mountain Regional</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19047699.280000001</v>
      </c>
      <c r="D5" s="19">
        <f>SUM('DOE25'!L198:L201)+SUM('DOE25'!L216:L219)+SUM('DOE25'!L234:L237)-F5-G5-H5</f>
        <v>18848593.930000003</v>
      </c>
      <c r="E5" s="180"/>
      <c r="F5" s="181">
        <v>13720</v>
      </c>
      <c r="G5" s="19">
        <f>SUM('DOE25'!J198:J201)+SUM('DOE25'!J216:J219)+SUM('DOE25'!J234:J237)</f>
        <v>160940.49</v>
      </c>
      <c r="H5" s="19">
        <f>SUM('DOE25'!K198:K201)+SUM('DOE25'!K216:K219)+SUM('DOE25'!K234:K237)</f>
        <v>24444.86</v>
      </c>
      <c r="I5" s="192"/>
    </row>
    <row r="6" spans="1:9" x14ac:dyDescent="0.2">
      <c r="A6" s="31">
        <v>2100</v>
      </c>
      <c r="B6" t="s">
        <v>796</v>
      </c>
      <c r="C6" s="206">
        <f t="shared" si="0"/>
        <v>2410353.23</v>
      </c>
      <c r="D6" s="19">
        <f>'DOE25'!L203+'DOE25'!L221+'DOE25'!L239-F6-G6-H6</f>
        <v>2384454.94</v>
      </c>
      <c r="E6" s="180"/>
      <c r="F6" s="181"/>
      <c r="G6" s="19">
        <f>'DOE25'!J203+'DOE25'!J221+'DOE25'!J239</f>
        <v>25361.29</v>
      </c>
      <c r="H6" s="19">
        <f>'DOE25'!K203+'DOE25'!K221+'DOE25'!K239</f>
        <v>537</v>
      </c>
      <c r="I6" s="192"/>
    </row>
    <row r="7" spans="1:9" x14ac:dyDescent="0.2">
      <c r="A7" s="31">
        <v>2200</v>
      </c>
      <c r="B7" t="s">
        <v>821</v>
      </c>
      <c r="C7" s="206">
        <f t="shared" si="0"/>
        <v>1567485.31</v>
      </c>
      <c r="D7" s="19">
        <f>'DOE25'!L204+'DOE25'!L222+'DOE25'!L240-F7-G7-H7</f>
        <v>1504396.1300000001</v>
      </c>
      <c r="E7" s="180"/>
      <c r="F7" s="181"/>
      <c r="G7" s="19">
        <f>'DOE25'!J204+'DOE25'!J222+'DOE25'!J240</f>
        <v>45928.679999999993</v>
      </c>
      <c r="H7" s="19">
        <f>'DOE25'!K204+'DOE25'!K222+'DOE25'!K240</f>
        <v>17160.5</v>
      </c>
      <c r="I7" s="192"/>
    </row>
    <row r="8" spans="1:9" x14ac:dyDescent="0.2">
      <c r="A8" s="31">
        <v>2300</v>
      </c>
      <c r="B8" t="s">
        <v>797</v>
      </c>
      <c r="C8" s="206">
        <f t="shared" si="0"/>
        <v>194399.01000000004</v>
      </c>
      <c r="D8" s="180"/>
      <c r="E8" s="19">
        <f>'DOE25'!L205+'DOE25'!L223+'DOE25'!L241-F8-G8-H8-D9-D11</f>
        <v>182346.03000000003</v>
      </c>
      <c r="F8" s="181"/>
      <c r="G8" s="19">
        <f>'DOE25'!J205+'DOE25'!J223+'DOE25'!J241</f>
        <v>4008.3199999999997</v>
      </c>
      <c r="H8" s="19">
        <f>'DOE25'!K205+'DOE25'!K223+'DOE25'!K241</f>
        <v>8044.66</v>
      </c>
      <c r="I8" s="192"/>
    </row>
    <row r="9" spans="1:9" ht="14.25" x14ac:dyDescent="0.2">
      <c r="A9" s="31">
        <v>2310</v>
      </c>
      <c r="B9" s="71" t="s">
        <v>888</v>
      </c>
      <c r="C9" s="206">
        <f t="shared" si="0"/>
        <v>94888.02</v>
      </c>
      <c r="D9" s="181">
        <v>94888.02</v>
      </c>
      <c r="E9" s="180"/>
      <c r="F9" s="180"/>
      <c r="G9" s="180"/>
      <c r="H9" s="180"/>
      <c r="I9" s="192"/>
    </row>
    <row r="10" spans="1:9" ht="14.25" x14ac:dyDescent="0.2">
      <c r="A10" s="31">
        <v>2317</v>
      </c>
      <c r="B10" s="71" t="s">
        <v>889</v>
      </c>
      <c r="C10" s="206">
        <f t="shared" si="0"/>
        <v>29650</v>
      </c>
      <c r="D10" s="180"/>
      <c r="E10" s="181">
        <v>29650</v>
      </c>
      <c r="F10" s="180"/>
      <c r="G10" s="180"/>
      <c r="H10" s="180"/>
      <c r="I10" s="192"/>
    </row>
    <row r="11" spans="1:9" ht="14.25" x14ac:dyDescent="0.2">
      <c r="A11" s="31">
        <v>2321</v>
      </c>
      <c r="B11" s="71" t="s">
        <v>890</v>
      </c>
      <c r="C11" s="206">
        <f t="shared" si="0"/>
        <v>411584.36</v>
      </c>
      <c r="D11" s="181">
        <v>411584.36</v>
      </c>
      <c r="E11" s="180"/>
      <c r="F11" s="180"/>
      <c r="G11" s="180"/>
      <c r="H11" s="180"/>
      <c r="I11" s="192"/>
    </row>
    <row r="12" spans="1:9" x14ac:dyDescent="0.2">
      <c r="A12" s="31">
        <v>2400</v>
      </c>
      <c r="B12" t="s">
        <v>711</v>
      </c>
      <c r="C12" s="206">
        <f t="shared" si="0"/>
        <v>1651599.6099999999</v>
      </c>
      <c r="D12" s="19">
        <f>'DOE25'!L206+'DOE25'!L224+'DOE25'!L242-F12-G12-H12</f>
        <v>1643894.8699999999</v>
      </c>
      <c r="E12" s="180"/>
      <c r="F12" s="181"/>
      <c r="G12" s="19">
        <f>'DOE25'!J206+'DOE25'!J224+'DOE25'!J242</f>
        <v>4910.74</v>
      </c>
      <c r="H12" s="19">
        <f>'DOE25'!K206+'DOE25'!K224+'DOE25'!K242</f>
        <v>2794</v>
      </c>
      <c r="I12" s="192"/>
    </row>
    <row r="13" spans="1:9" x14ac:dyDescent="0.2">
      <c r="A13" s="31">
        <v>2500</v>
      </c>
      <c r="B13" t="s">
        <v>798</v>
      </c>
      <c r="C13" s="206">
        <f t="shared" si="0"/>
        <v>328665.80999999994</v>
      </c>
      <c r="D13" s="180"/>
      <c r="E13" s="19">
        <f>'DOE25'!L207+'DOE25'!L225+'DOE25'!L243-F13-G13-H13</f>
        <v>320796.91999999993</v>
      </c>
      <c r="F13" s="181">
        <v>7833.89</v>
      </c>
      <c r="G13" s="19">
        <f>'DOE25'!J207+'DOE25'!J225+'DOE25'!J243</f>
        <v>0</v>
      </c>
      <c r="H13" s="19">
        <f>'DOE25'!K207+'DOE25'!K225+'DOE25'!K243</f>
        <v>35</v>
      </c>
      <c r="I13" s="192"/>
    </row>
    <row r="14" spans="1:9" x14ac:dyDescent="0.2">
      <c r="A14" s="31">
        <v>2600</v>
      </c>
      <c r="B14" t="s">
        <v>819</v>
      </c>
      <c r="C14" s="206">
        <f t="shared" si="0"/>
        <v>3150364.4599999995</v>
      </c>
      <c r="D14" s="19">
        <f>'DOE25'!L208+'DOE25'!L226+'DOE25'!L244-F14-G14-H14</f>
        <v>3011854.7999999993</v>
      </c>
      <c r="E14" s="180"/>
      <c r="F14" s="181">
        <f>1973.5+13200.75+29875+26112.88+7101.85+38000+9345.25</f>
        <v>125609.23000000001</v>
      </c>
      <c r="G14" s="19">
        <f>'DOE25'!J208+'DOE25'!J226+'DOE25'!J244</f>
        <v>12900.43</v>
      </c>
      <c r="H14" s="19">
        <f>'DOE25'!K208+'DOE25'!K226+'DOE25'!K244</f>
        <v>0</v>
      </c>
      <c r="I14" s="192"/>
    </row>
    <row r="15" spans="1:9" x14ac:dyDescent="0.2">
      <c r="A15" s="31">
        <v>2700</v>
      </c>
      <c r="B15" t="s">
        <v>799</v>
      </c>
      <c r="C15" s="206">
        <f t="shared" si="0"/>
        <v>1523841.1400000001</v>
      </c>
      <c r="D15" s="19">
        <f>'DOE25'!L209+'DOE25'!L227+'DOE25'!L245-F15-G15-H15</f>
        <v>1401335.1800000002</v>
      </c>
      <c r="E15" s="180"/>
      <c r="F15" s="181">
        <v>18999.96</v>
      </c>
      <c r="G15" s="19">
        <f>'DOE25'!J209+'DOE25'!J227+'DOE25'!J245</f>
        <v>103506</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235560.64</v>
      </c>
      <c r="D22" s="180"/>
      <c r="E22" s="180"/>
      <c r="F22" s="180"/>
      <c r="G22" s="19">
        <f>'DOE25'!L256+'DOE25'!L337</f>
        <v>235560.64</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111175</v>
      </c>
      <c r="D25" s="180"/>
      <c r="E25" s="180"/>
      <c r="F25" s="191"/>
      <c r="G25" s="180"/>
      <c r="H25" s="180"/>
      <c r="I25" s="190">
        <f>'DOE25'!L261+'DOE25'!L262+'DOE25'!L342+'DOE25'!L343</f>
        <v>111175</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687453.61</v>
      </c>
      <c r="D29" s="212">
        <f>'DOE25'!L359+'DOE25'!L360+'DOE25'!L361-'DOE25'!I368-F29-G29-H29</f>
        <v>80976.759999999995</v>
      </c>
      <c r="E29" s="180"/>
      <c r="F29" s="181">
        <v>508289.56</v>
      </c>
      <c r="G29" s="19">
        <f>'DOE25'!J359+'DOE25'!J360+'DOE25'!J361</f>
        <v>98187.29</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2176523.7999999998</v>
      </c>
      <c r="D31" s="19">
        <f>'DOE25'!L291+'DOE25'!L310+'DOE25'!L329+'DOE25'!L334+'DOE25'!L335+'DOE25'!L336-F31-G31-H31</f>
        <v>1671707.43</v>
      </c>
      <c r="E31" s="180"/>
      <c r="F31" s="181">
        <f>32312.5+32173.75</f>
        <v>64486.25</v>
      </c>
      <c r="G31" s="19">
        <f>'DOE25'!J291+'DOE25'!J310+'DOE25'!J329+'DOE25'!J334+'DOE25'!J335+'DOE25'!J336</f>
        <v>409260.95</v>
      </c>
      <c r="H31" s="19">
        <f>'DOE25'!K291+'DOE25'!K310+'DOE25'!K329+'DOE25'!K334+'DOE25'!K335+'DOE25'!K336</f>
        <v>31069.170000000002</v>
      </c>
      <c r="I31" s="192"/>
    </row>
    <row r="32" spans="1:9" ht="12" thickBot="1" x14ac:dyDescent="0.25">
      <c r="C32" s="207"/>
      <c r="G32" s="188"/>
      <c r="H32" s="188"/>
      <c r="I32" s="194"/>
    </row>
    <row r="33" spans="1:9" ht="12" thickTop="1" x14ac:dyDescent="0.2">
      <c r="B33" t="s">
        <v>809</v>
      </c>
      <c r="D33" s="182">
        <f t="shared" ref="D33:I33" si="1">SUM(D5:D31)</f>
        <v>31053686.420000006</v>
      </c>
      <c r="E33" s="182">
        <f t="shared" si="1"/>
        <v>532792.94999999995</v>
      </c>
      <c r="F33" s="182">
        <f t="shared" si="1"/>
        <v>738938.89</v>
      </c>
      <c r="G33" s="182">
        <f t="shared" si="1"/>
        <v>1100564.83</v>
      </c>
      <c r="H33" s="182">
        <f t="shared" si="1"/>
        <v>84085.19</v>
      </c>
      <c r="I33" s="182">
        <f t="shared" si="1"/>
        <v>111175</v>
      </c>
    </row>
    <row r="35" spans="1:9" ht="12" thickBot="1" x14ac:dyDescent="0.25">
      <c r="B35" s="188" t="s">
        <v>831</v>
      </c>
      <c r="D35" s="189">
        <f>E33</f>
        <v>532792.94999999995</v>
      </c>
      <c r="E35" s="185"/>
      <c r="F35" s="255" t="s">
        <v>1617</v>
      </c>
      <c r="G35" s="256"/>
      <c r="H35" s="256"/>
      <c r="I35" s="256"/>
    </row>
    <row r="36" spans="1:9" ht="12" thickTop="1" x14ac:dyDescent="0.2">
      <c r="B36" t="s">
        <v>810</v>
      </c>
      <c r="D36" s="19">
        <f>D33</f>
        <v>31053686.420000006</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3" zoomScaleNormal="100" workbookViewId="0">
      <selection activeCell="I19" sqref="I19"/>
    </sheetView>
  </sheetViews>
  <sheetFormatPr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83203125" customWidth="1"/>
    <col min="8" max="8" width="19.1640625" customWidth="1"/>
    <col min="9" max="9" width="42.1640625" customWidth="1"/>
    <col min="13" max="13" width="11.83203125" customWidth="1"/>
    <col min="14" max="14" width="19.33203125" style="31" customWidth="1"/>
    <col min="15" max="15" width="19.3320312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Fall Mountain Regional</v>
      </c>
      <c r="B2">
        <f>'DOE25'!B2</f>
        <v>174</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21969108.460000001</v>
      </c>
      <c r="G4" s="229">
        <f>'DOE25'!L212+'DOE25'!L291</f>
        <v>21969108.459999997</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1"/>
      <c r="N5"/>
    </row>
    <row r="6" spans="1:18" x14ac:dyDescent="0.2">
      <c r="A6" t="str" cm="1">
        <f t="array" ref="A6">IFERROR(INDEX('School Tables'!$A$4:$G$325,'School Tables'!$J4,3),"")</f>
        <v>Acworth Elementary School</v>
      </c>
      <c r="B6" s="230">
        <f>IFERROR(VLOOKUP(A6,'School Tables'!$C$3:$D$365,2,FALSE),"")</f>
        <v>22960</v>
      </c>
      <c r="C6" s="223" t="str">
        <f>IFERROR(INDEX('School Tables'!$B$3:$B$365,MATCH('School Level Expenditures'!B6,'School Tables'!$D$3:$D$365,0)),"")</f>
        <v>Fall Mountain Regional</v>
      </c>
      <c r="D6" s="220">
        <v>842735.67</v>
      </c>
      <c r="E6" s="220">
        <v>107053.73</v>
      </c>
      <c r="F6" s="232">
        <f t="shared" ref="F6:F20" si="0">D6+E6</f>
        <v>949789.4</v>
      </c>
      <c r="G6" s="223"/>
      <c r="H6" s="223"/>
      <c r="I6" s="311"/>
      <c r="N6"/>
    </row>
    <row r="7" spans="1:18" x14ac:dyDescent="0.2">
      <c r="A7" t="str" cm="1">
        <f t="array" ref="A7">IFERROR(INDEX('School Tables'!$A$4:$G$325,'School Tables'!$J5,3),"")</f>
        <v>Alstead Primary School</v>
      </c>
      <c r="B7" s="230">
        <f>IFERROR(VLOOKUP(A7,'School Tables'!$C$3:$D$365,2,FALSE),"")</f>
        <v>22965</v>
      </c>
      <c r="C7" s="223" t="str">
        <f>IFERROR(INDEX('School Tables'!$B$3:$B$365,MATCH('School Level Expenditures'!B7,'School Tables'!$D$3:$D$365,0)),"")</f>
        <v>Fall Mountain Regional</v>
      </c>
      <c r="D7" s="220">
        <f>1675102.4+4409.75</f>
        <v>1679512.15</v>
      </c>
      <c r="E7" s="220">
        <v>101189.98</v>
      </c>
      <c r="F7" s="232">
        <f t="shared" si="0"/>
        <v>1780702.13</v>
      </c>
      <c r="G7" s="223"/>
      <c r="H7" s="223"/>
      <c r="I7" s="268"/>
      <c r="N7"/>
    </row>
    <row r="8" spans="1:18" x14ac:dyDescent="0.2">
      <c r="A8" t="str" cm="1">
        <f t="array" ref="A8">IFERROR(INDEX('School Tables'!$A$4:$G$325,'School Tables'!$J6,3),"")</f>
        <v>Charlestown Middle School</v>
      </c>
      <c r="B8" s="230">
        <f>IFERROR(VLOOKUP(A8,'School Tables'!$C$3:$D$365,2,FALSE),"")</f>
        <v>22975</v>
      </c>
      <c r="C8" s="223" t="str">
        <f>IFERROR(INDEX('School Tables'!$B$3:$B$365,MATCH('School Level Expenditures'!B8,'School Tables'!$D$3:$D$365,0)),"")</f>
        <v>Fall Mountain Regional</v>
      </c>
      <c r="D8" s="220">
        <f>3154165.17+12889.57</f>
        <v>3167054.7399999998</v>
      </c>
      <c r="E8" s="220">
        <v>243002.5</v>
      </c>
      <c r="F8" s="232">
        <f t="shared" si="0"/>
        <v>3410057.2399999998</v>
      </c>
      <c r="G8" s="223"/>
      <c r="H8" s="223"/>
      <c r="I8" s="268"/>
      <c r="N8"/>
    </row>
    <row r="9" spans="1:18" x14ac:dyDescent="0.2">
      <c r="A9" t="str" cm="1">
        <f t="array" ref="A9">IFERROR(INDEX('School Tables'!$A$4:$G$325,'School Tables'!$J7,3),"")</f>
        <v>Charlestown Primary School</v>
      </c>
      <c r="B9" s="230">
        <f>IFERROR(VLOOKUP(A9,'School Tables'!$C$3:$D$365,2,FALSE),"")</f>
        <v>22985</v>
      </c>
      <c r="C9" s="223" t="str">
        <f>IFERROR(INDEX('School Tables'!$B$3:$B$365,MATCH('School Level Expenditures'!B9,'School Tables'!$D$3:$D$365,0)),"")</f>
        <v>Fall Mountain Regional</v>
      </c>
      <c r="D9" s="220">
        <f>4244777.51+8819.75+425</f>
        <v>4254022.26</v>
      </c>
      <c r="E9" s="220">
        <v>361174.96</v>
      </c>
      <c r="F9" s="232">
        <f t="shared" si="0"/>
        <v>4615197.22</v>
      </c>
      <c r="G9" s="223"/>
      <c r="H9" s="223"/>
      <c r="I9" s="268"/>
      <c r="N9"/>
    </row>
    <row r="10" spans="1:18" x14ac:dyDescent="0.2">
      <c r="A10" t="str" cm="1">
        <f t="array" ref="A10">IFERROR(INDEX('School Tables'!$A$4:$G$325,'School Tables'!$J8,3),"")</f>
        <v>Fall Mountain Regional -Pre School Program</v>
      </c>
      <c r="B10" s="230">
        <f>IFERROR(VLOOKUP(A10,'School Tables'!$C$3:$D$365,2,FALSE),"")</f>
        <v>27395</v>
      </c>
      <c r="C10" s="223" t="str">
        <f>IFERROR(INDEX('School Tables'!$B$3:$B$365,MATCH('School Level Expenditures'!B10,'School Tables'!$D$3:$D$365,0)),"")</f>
        <v>Fall Mountain Regional</v>
      </c>
      <c r="D10" s="220"/>
      <c r="E10" s="220"/>
      <c r="F10" s="232">
        <f t="shared" si="0"/>
        <v>0</v>
      </c>
      <c r="G10" s="223"/>
      <c r="H10" s="223"/>
      <c r="N10"/>
    </row>
    <row r="11" spans="1:18" x14ac:dyDescent="0.2">
      <c r="A11" t="str" cm="1">
        <f t="array" ref="A11">IFERROR(INDEX('School Tables'!$A$4:$G$325,'School Tables'!$J9,3),"")</f>
        <v>N. Charlestown Community School</v>
      </c>
      <c r="B11" s="230">
        <f>IFERROR(VLOOKUP(A11,'School Tables'!$C$3:$D$365,2,FALSE),"")</f>
        <v>22980</v>
      </c>
      <c r="C11" s="223" t="str">
        <f>IFERROR(INDEX('School Tables'!$B$3:$B$365,MATCH('School Level Expenditures'!B11,'School Tables'!$D$3:$D$365,0)),"")</f>
        <v>Fall Mountain Regional</v>
      </c>
      <c r="D11" s="220">
        <f>1361243.65+7798.83</f>
        <v>1369042.48</v>
      </c>
      <c r="E11" s="220">
        <v>108186.05</v>
      </c>
      <c r="F11" s="232">
        <f t="shared" si="0"/>
        <v>1477228.53</v>
      </c>
      <c r="G11" s="223"/>
      <c r="H11" s="223"/>
      <c r="N11"/>
    </row>
    <row r="12" spans="1:18" x14ac:dyDescent="0.2">
      <c r="A12" t="str" cm="1">
        <f t="array" ref="A12">IFERROR(INDEX('School Tables'!$A$4:$G$325,'School Tables'!$J10,3),"")</f>
        <v>North Walpole School</v>
      </c>
      <c r="B12" s="230">
        <f>IFERROR(VLOOKUP(A12,'School Tables'!$C$3:$D$365,2,FALSE),"")</f>
        <v>23005</v>
      </c>
      <c r="C12" s="223" t="str">
        <f>IFERROR(INDEX('School Tables'!$B$3:$B$365,MATCH('School Level Expenditures'!B12,'School Tables'!$D$3:$D$365,0)),"")</f>
        <v>Fall Mountain Regional</v>
      </c>
      <c r="D12" s="220">
        <f>1576645.29+654.81</f>
        <v>1577300.1</v>
      </c>
      <c r="E12" s="220">
        <v>162506.28</v>
      </c>
      <c r="F12" s="232">
        <f t="shared" si="0"/>
        <v>1739806.3800000001</v>
      </c>
      <c r="G12" s="223"/>
      <c r="H12" s="223"/>
      <c r="N12"/>
    </row>
    <row r="13" spans="1:18" x14ac:dyDescent="0.2">
      <c r="A13" t="str" cm="1">
        <f t="array" ref="A13">IFERROR(INDEX('School Tables'!$A$4:$G$325,'School Tables'!$J11,3),"")</f>
        <v>Sarah Porter School</v>
      </c>
      <c r="B13" s="230">
        <f>IFERROR(VLOOKUP(A13,'School Tables'!$C$3:$D$365,2,FALSE),"")</f>
        <v>22995</v>
      </c>
      <c r="C13" s="223" t="str">
        <f>IFERROR(INDEX('School Tables'!$B$3:$B$365,MATCH('School Level Expenditures'!B13,'School Tables'!$D$3:$D$365,0)),"")</f>
        <v>Fall Mountain Regional</v>
      </c>
      <c r="D13" s="220">
        <v>651552.47</v>
      </c>
      <c r="E13" s="220">
        <v>66119.58</v>
      </c>
      <c r="F13" s="232">
        <f t="shared" si="0"/>
        <v>717672.04999999993</v>
      </c>
      <c r="G13" s="223"/>
      <c r="H13" s="223"/>
      <c r="N13"/>
    </row>
    <row r="14" spans="1:18" x14ac:dyDescent="0.2">
      <c r="A14" t="str" cm="1">
        <f t="array" ref="A14">IFERROR(INDEX('School Tables'!$A$4:$G$325,'School Tables'!$J12,3),"")</f>
        <v>Vilas Elementary School</v>
      </c>
      <c r="B14" s="230">
        <f>IFERROR(VLOOKUP(A14,'School Tables'!$C$3:$D$365,2,FALSE),"")</f>
        <v>22970</v>
      </c>
      <c r="C14" s="223" t="str">
        <f>IFERROR(INDEX('School Tables'!$B$3:$B$365,MATCH('School Level Expenditures'!B14,'School Tables'!$D$3:$D$365,0)),"")</f>
        <v>Fall Mountain Regional</v>
      </c>
      <c r="D14" s="220">
        <v>2436049.6800000002</v>
      </c>
      <c r="E14" s="220">
        <v>108417.84</v>
      </c>
      <c r="F14" s="232">
        <f t="shared" si="0"/>
        <v>2544467.52</v>
      </c>
      <c r="G14" s="223"/>
      <c r="H14" s="223"/>
      <c r="N14"/>
    </row>
    <row r="15" spans="1:18" x14ac:dyDescent="0.2">
      <c r="A15" t="str" cm="1">
        <f t="array" ref="A15">IFERROR(INDEX('School Tables'!$A$4:$G$325,'School Tables'!$J13,3),"")</f>
        <v>Walpole Elementary School</v>
      </c>
      <c r="B15" s="230">
        <f>IFERROR(VLOOKUP(A15,'School Tables'!$C$3:$D$365,2,FALSE),"")</f>
        <v>23015</v>
      </c>
      <c r="C15" s="223" t="str">
        <f>IFERROR(INDEX('School Tables'!$B$3:$B$365,MATCH('School Level Expenditures'!B15,'School Tables'!$D$3:$D$365,0)),"")</f>
        <v>Fall Mountain Regional</v>
      </c>
      <c r="D15" s="220">
        <f>3066307.3+13103.54</f>
        <v>3079410.84</v>
      </c>
      <c r="E15" s="220">
        <v>179861.32</v>
      </c>
      <c r="F15" s="232">
        <f t="shared" si="0"/>
        <v>3259272.1599999997</v>
      </c>
      <c r="G15" s="223"/>
      <c r="H15" s="223"/>
      <c r="N15"/>
    </row>
    <row r="16" spans="1:18" x14ac:dyDescent="0.2">
      <c r="A16" t="str" cm="1">
        <f t="array" ref="A16">IFERROR(INDEX('School Tables'!$A$4:$G$325,'School Tables'!$J14,3),"")</f>
        <v>Walpole Primary School</v>
      </c>
      <c r="B16" s="230">
        <f>IFERROR(VLOOKUP(A16,'School Tables'!$C$3:$D$365,2,FALSE),"")</f>
        <v>23010</v>
      </c>
      <c r="C16" s="223" t="str">
        <f>IFERROR(INDEX('School Tables'!$B$3:$B$365,MATCH('School Level Expenditures'!B16,'School Tables'!$D$3:$D$365,0)),"")</f>
        <v>Fall Mountain Regional</v>
      </c>
      <c r="D16" s="220">
        <v>1351852.82</v>
      </c>
      <c r="E16" s="220">
        <v>123063.01</v>
      </c>
      <c r="F16" s="232">
        <f t="shared" si="0"/>
        <v>1474915.83</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20408533.210000001</v>
      </c>
      <c r="E21" s="265">
        <f>SUM(E5:E20)</f>
        <v>1560575.2500000002</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10588295.57</v>
      </c>
      <c r="G36" s="229">
        <f>'DOE25'!L248+'DOE25'!L329</f>
        <v>10588295.570000002</v>
      </c>
      <c r="H36" s="267">
        <f>F36-G36</f>
        <v>0</v>
      </c>
      <c r="I36" s="310" t="str">
        <f>IF(H36=0,"","ISSUES!! Please review page 9 and 13 totals in comparison with total on this page")</f>
        <v/>
      </c>
      <c r="N36"/>
    </row>
    <row r="37" spans="1:14" x14ac:dyDescent="0.2">
      <c r="A37" t="s">
        <v>1548</v>
      </c>
      <c r="B37" s="230">
        <v>99999</v>
      </c>
      <c r="C37" s="223" t="s">
        <v>1548</v>
      </c>
      <c r="D37" s="220"/>
      <c r="E37" s="220"/>
      <c r="F37" s="232">
        <f t="shared" ref="F37:F42" si="2">D37+E37</f>
        <v>0</v>
      </c>
      <c r="G37" s="223"/>
      <c r="H37" s="223"/>
      <c r="I37" s="311"/>
      <c r="N37"/>
    </row>
    <row r="38" spans="1:14" x14ac:dyDescent="0.2">
      <c r="A38" t="str" cm="1">
        <f t="array" ref="A38">IFERROR(INDEX('School Tables'!$W$4:$AC$100,'School Tables'!$AF4,3),"")</f>
        <v>Fall Mountain Regional High School</v>
      </c>
      <c r="B38" s="230">
        <f>IFERROR(VLOOKUP(A38,'School Tables'!$Y$4:$Z$100,2,FALSE),"")</f>
        <v>22990</v>
      </c>
      <c r="C38" s="223" t="str">
        <f>IFERROR(INDEX('School Tables'!$X$4:$X$100,MATCH('School Level Expenditures'!A38,'School Tables'!$Y$4:$Y$100,0)),"")</f>
        <v>Fall Mountain Regional</v>
      </c>
      <c r="D38" s="220">
        <f>10020448.26+91814.6</f>
        <v>10112262.859999999</v>
      </c>
      <c r="E38" s="220">
        <v>476032.71</v>
      </c>
      <c r="F38" s="232">
        <f t="shared" si="2"/>
        <v>10588295.57</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10112262.859999999</v>
      </c>
      <c r="E43" s="266">
        <f>SUM(E37:E42)</f>
        <v>476032.71</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180" sqref="G180"/>
    </sheetView>
  </sheetViews>
  <sheetFormatPr defaultRowHeight="11.25" x14ac:dyDescent="0.2"/>
  <cols>
    <col min="1" max="1" width="52.83203125" customWidth="1"/>
    <col min="2" max="2" width="16.6640625" customWidth="1"/>
    <col min="3" max="3" width="19" customWidth="1"/>
    <col min="4" max="4" width="19.3320312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Fall Mountain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2650021.0099999998</v>
      </c>
      <c r="D8" s="73">
        <f>'DOE25'!G9</f>
        <v>0</v>
      </c>
      <c r="E8" s="73">
        <f>'DOE25'!H9</f>
        <v>151786</v>
      </c>
      <c r="F8" s="73">
        <f>'DOE25'!I9</f>
        <v>0</v>
      </c>
      <c r="G8" s="73">
        <f>'DOE25'!J9</f>
        <v>0</v>
      </c>
      <c r="H8" s="90">
        <f>SUM(C8:G8)</f>
        <v>2801807.01</v>
      </c>
      <c r="I8" s="90"/>
    </row>
    <row r="9" spans="1:9" x14ac:dyDescent="0.2">
      <c r="A9" s="1" t="s">
        <v>140</v>
      </c>
      <c r="B9" s="6">
        <v>110</v>
      </c>
      <c r="C9" s="73">
        <f>'DOE25'!F10</f>
        <v>0</v>
      </c>
      <c r="D9" s="73">
        <f>'DOE25'!G10</f>
        <v>0</v>
      </c>
      <c r="E9" s="73">
        <f>'DOE25'!H10</f>
        <v>106144</v>
      </c>
      <c r="F9" s="73">
        <f>'DOE25'!I10</f>
        <v>0</v>
      </c>
      <c r="G9" s="73">
        <f>'DOE25'!J10</f>
        <v>0</v>
      </c>
      <c r="H9" s="90">
        <f t="shared" ref="H9:H18" si="0">SUM(C9:G9)</f>
        <v>106144</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916531.34</v>
      </c>
      <c r="D11" s="73">
        <f>'DOE25'!G12</f>
        <v>21504.36</v>
      </c>
      <c r="E11" s="73">
        <f>'DOE25'!H12</f>
        <v>3243.12</v>
      </c>
      <c r="F11" s="73">
        <f>'DOE25'!I12</f>
        <v>0</v>
      </c>
      <c r="G11" s="73">
        <f>'DOE25'!J12</f>
        <v>0</v>
      </c>
      <c r="H11" s="90">
        <f t="shared" si="0"/>
        <v>941278.82</v>
      </c>
      <c r="I11" s="90"/>
    </row>
    <row r="12" spans="1:9" x14ac:dyDescent="0.2">
      <c r="A12" s="1" t="s">
        <v>143</v>
      </c>
      <c r="B12" s="6">
        <v>140</v>
      </c>
      <c r="C12" s="73">
        <f>'DOE25'!F13</f>
        <v>141835.75</v>
      </c>
      <c r="D12" s="73">
        <f>'DOE25'!G13</f>
        <v>229336.99</v>
      </c>
      <c r="E12" s="73">
        <f>'DOE25'!H13</f>
        <v>1098525.95</v>
      </c>
      <c r="F12" s="73">
        <f>'DOE25'!I13</f>
        <v>0</v>
      </c>
      <c r="G12" s="73">
        <f>'DOE25'!J13</f>
        <v>2656421.9500000002</v>
      </c>
      <c r="H12" s="90">
        <f t="shared" si="0"/>
        <v>4126120.64</v>
      </c>
      <c r="I12" s="90"/>
    </row>
    <row r="13" spans="1:9" x14ac:dyDescent="0.2">
      <c r="A13" s="1" t="s">
        <v>144</v>
      </c>
      <c r="B13" s="6">
        <v>150</v>
      </c>
      <c r="C13" s="73">
        <f>'DOE25'!F14</f>
        <v>9448.77</v>
      </c>
      <c r="D13" s="73">
        <f>'DOE25'!G14</f>
        <v>0</v>
      </c>
      <c r="E13" s="73">
        <f>'DOE25'!H14</f>
        <v>0</v>
      </c>
      <c r="F13" s="73">
        <f>'DOE25'!I14</f>
        <v>0</v>
      </c>
      <c r="G13" s="73">
        <f>'DOE25'!J14</f>
        <v>0</v>
      </c>
      <c r="H13" s="90">
        <f t="shared" si="0"/>
        <v>9448.77</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29758.81</v>
      </c>
      <c r="E15" s="73">
        <f>'DOE25'!H16</f>
        <v>0</v>
      </c>
      <c r="F15" s="73">
        <f>'DOE25'!I16</f>
        <v>0</v>
      </c>
      <c r="G15" s="23" t="s">
        <v>288</v>
      </c>
      <c r="H15" s="90">
        <f t="shared" si="0"/>
        <v>29758.81</v>
      </c>
      <c r="I15" s="90"/>
    </row>
    <row r="16" spans="1:9" x14ac:dyDescent="0.2">
      <c r="A16" s="1" t="s">
        <v>147</v>
      </c>
      <c r="B16" s="6">
        <v>180</v>
      </c>
      <c r="C16" s="73">
        <f>'DOE25'!F17</f>
        <v>208593.89</v>
      </c>
      <c r="D16" s="73">
        <f>'DOE25'!G17</f>
        <v>0</v>
      </c>
      <c r="E16" s="73">
        <f>'DOE25'!H17</f>
        <v>0</v>
      </c>
      <c r="F16" s="73">
        <f>'DOE25'!I17</f>
        <v>0</v>
      </c>
      <c r="G16" s="73">
        <f>'DOE25'!J17</f>
        <v>0</v>
      </c>
      <c r="H16" s="90">
        <f t="shared" si="0"/>
        <v>208593.89</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3926430.76</v>
      </c>
      <c r="D18" s="38">
        <f>SUM(D8:D17)</f>
        <v>280600.15999999997</v>
      </c>
      <c r="E18" s="38">
        <f>SUM(E8:E17)</f>
        <v>1359699.0699999998</v>
      </c>
      <c r="F18" s="38">
        <f>SUM(F8:F17)</f>
        <v>0</v>
      </c>
      <c r="G18" s="38">
        <f>SUM(G8:G17)</f>
        <v>2656421.9500000002</v>
      </c>
      <c r="H18" s="38">
        <f t="shared" si="0"/>
        <v>8223151.9400000004</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914594.81</v>
      </c>
      <c r="F21" s="73">
        <f>'DOE25'!I22</f>
        <v>0</v>
      </c>
      <c r="G21" s="73">
        <f>'DOE25'!J22</f>
        <v>26684</v>
      </c>
      <c r="H21" s="90">
        <f t="shared" ref="H21:H31" si="1">SUM(C21:G21)</f>
        <v>941278.81</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655421.43000000005</v>
      </c>
      <c r="D23" s="73">
        <f>'DOE25'!G24</f>
        <v>85567.74</v>
      </c>
      <c r="E23" s="73">
        <f>'DOE25'!H24</f>
        <v>0</v>
      </c>
      <c r="F23" s="73">
        <f>'DOE25'!I24</f>
        <v>0</v>
      </c>
      <c r="G23" s="73">
        <f>'DOE25'!J24</f>
        <v>0</v>
      </c>
      <c r="H23" s="90">
        <f t="shared" si="1"/>
        <v>740989.17</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1767134.04</v>
      </c>
      <c r="D27" s="73">
        <f>'DOE25'!G28</f>
        <v>0</v>
      </c>
      <c r="E27" s="73">
        <f>'DOE25'!H28</f>
        <v>68291.600000000006</v>
      </c>
      <c r="F27" s="73">
        <f>'DOE25'!I28</f>
        <v>0</v>
      </c>
      <c r="G27" s="23" t="s">
        <v>288</v>
      </c>
      <c r="H27" s="90">
        <f t="shared" si="1"/>
        <v>1835425.6400000001</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53158.81</v>
      </c>
      <c r="E29" s="73">
        <f>'DOE25'!H30</f>
        <v>0</v>
      </c>
      <c r="F29" s="73">
        <f>'DOE25'!I30</f>
        <v>0</v>
      </c>
      <c r="G29" s="23" t="s">
        <v>288</v>
      </c>
      <c r="H29" s="90">
        <f t="shared" si="1"/>
        <v>53158.81</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2422555.4700000002</v>
      </c>
      <c r="D31" s="38">
        <f>SUM(D21:D30)</f>
        <v>138726.54999999999</v>
      </c>
      <c r="E31" s="38">
        <f>SUM(E21:E30)</f>
        <v>982886.41</v>
      </c>
      <c r="F31" s="38">
        <f>SUM(F21:F30)</f>
        <v>0</v>
      </c>
      <c r="G31" s="38">
        <f>SUM(G21:G30)</f>
        <v>26684</v>
      </c>
      <c r="H31" s="38">
        <f t="shared" si="1"/>
        <v>3570852.43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29758.81</v>
      </c>
      <c r="E34" s="73">
        <f>'DOE25'!H35</f>
        <v>0</v>
      </c>
      <c r="F34" s="73">
        <f>'DOE25'!I35</f>
        <v>0</v>
      </c>
      <c r="G34" s="23" t="s">
        <v>288</v>
      </c>
      <c r="H34" s="90">
        <f t="shared" ref="H34:H51" si="2">SUM(C34:G34)</f>
        <v>29758.81</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112114.8</v>
      </c>
      <c r="E39" s="23" t="s">
        <v>288</v>
      </c>
      <c r="F39" s="23" t="s">
        <v>288</v>
      </c>
      <c r="G39" s="23" t="s">
        <v>288</v>
      </c>
      <c r="H39" s="90">
        <f t="shared" si="2"/>
        <v>112114.8</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500000</v>
      </c>
      <c r="D43" s="73">
        <f>'DOE25'!G44</f>
        <v>0</v>
      </c>
      <c r="E43" s="73">
        <f>'DOE25'!H44</f>
        <v>0</v>
      </c>
      <c r="F43" s="73">
        <f>'DOE25'!I44</f>
        <v>0</v>
      </c>
      <c r="G43" s="23" t="s">
        <v>288</v>
      </c>
      <c r="H43" s="90">
        <f t="shared" si="2"/>
        <v>500000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376812.66</v>
      </c>
      <c r="F47" s="73">
        <f>'DOE25'!I48</f>
        <v>0</v>
      </c>
      <c r="G47" s="73">
        <f>'DOE25'!J48</f>
        <v>2629737.9500000002</v>
      </c>
      <c r="H47" s="90">
        <f t="shared" si="2"/>
        <v>3006550.6100000003</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1003875.2899999999</v>
      </c>
      <c r="D49" s="23" t="s">
        <v>288</v>
      </c>
      <c r="E49" s="23" t="s">
        <v>288</v>
      </c>
      <c r="F49" s="23" t="s">
        <v>288</v>
      </c>
      <c r="G49" s="23" t="s">
        <v>288</v>
      </c>
      <c r="H49" s="90">
        <f t="shared" si="2"/>
        <v>1003875.2899999999</v>
      </c>
      <c r="I49" s="90"/>
    </row>
    <row r="50" spans="1:9" ht="12.75" thickTop="1" thickBot="1" x14ac:dyDescent="0.25">
      <c r="A50" s="35" t="s">
        <v>884</v>
      </c>
      <c r="B50" s="44"/>
      <c r="C50" s="38">
        <f>SUM(C34:C49)</f>
        <v>1503875.29</v>
      </c>
      <c r="D50" s="38">
        <f>SUM(D34:D49)</f>
        <v>141873.61000000002</v>
      </c>
      <c r="E50" s="38">
        <f>SUM(E34:E49)</f>
        <v>376812.66</v>
      </c>
      <c r="F50" s="38">
        <f>SUM(F34:F49)</f>
        <v>0</v>
      </c>
      <c r="G50" s="38">
        <f>SUM(G34:G49)</f>
        <v>2629737.9500000002</v>
      </c>
      <c r="H50" s="38">
        <f t="shared" si="2"/>
        <v>4652299.51</v>
      </c>
      <c r="I50" s="90"/>
    </row>
    <row r="51" spans="1:9" ht="12" thickTop="1" x14ac:dyDescent="0.2">
      <c r="A51" s="35" t="s">
        <v>885</v>
      </c>
      <c r="B51" s="2"/>
      <c r="C51" s="38">
        <f>C50+C31</f>
        <v>3926430.7600000002</v>
      </c>
      <c r="D51" s="38">
        <f>D50+D31</f>
        <v>280600.16000000003</v>
      </c>
      <c r="E51" s="38">
        <f>E50+E31</f>
        <v>1359699.07</v>
      </c>
      <c r="F51" s="38">
        <f>F50+F31</f>
        <v>0</v>
      </c>
      <c r="G51" s="38">
        <f>G50+G31</f>
        <v>2656421.9500000002</v>
      </c>
      <c r="H51" s="38">
        <f t="shared" si="2"/>
        <v>8223151.9400000004</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17582623</v>
      </c>
      <c r="D56" s="73">
        <f>'DOE25'!G60</f>
        <v>0</v>
      </c>
      <c r="E56" s="73">
        <f>'DOE25'!H60</f>
        <v>0</v>
      </c>
      <c r="F56" s="73">
        <f>'DOE25'!I60</f>
        <v>0</v>
      </c>
      <c r="G56" s="73">
        <f>'DOE25'!J60</f>
        <v>0</v>
      </c>
      <c r="H56" s="90">
        <f t="shared" ref="H56:H63" si="3">SUM(C56:G56)</f>
        <v>17582623</v>
      </c>
      <c r="I56"/>
    </row>
    <row r="57" spans="1:9" x14ac:dyDescent="0.2">
      <c r="A57" s="1" t="s">
        <v>164</v>
      </c>
      <c r="B57" s="6" t="s">
        <v>165</v>
      </c>
      <c r="C57" s="73">
        <f>'DOE25'!F79</f>
        <v>752966.8600000001</v>
      </c>
      <c r="D57" s="23" t="s">
        <v>288</v>
      </c>
      <c r="E57" s="73">
        <f>'DOE25'!H79</f>
        <v>0</v>
      </c>
      <c r="F57" s="23" t="s">
        <v>288</v>
      </c>
      <c r="G57" s="23" t="s">
        <v>288</v>
      </c>
      <c r="H57" s="90">
        <f t="shared" si="3"/>
        <v>752966.8600000001</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42479.61</v>
      </c>
      <c r="D59" s="73">
        <f>'DOE25'!G96</f>
        <v>0</v>
      </c>
      <c r="E59" s="73">
        <f>'DOE25'!H96</f>
        <v>0</v>
      </c>
      <c r="F59" s="73">
        <f>'DOE25'!I96</f>
        <v>0</v>
      </c>
      <c r="G59" s="73">
        <f>'DOE25'!J96</f>
        <v>-150774.04</v>
      </c>
      <c r="H59" s="90">
        <f t="shared" si="3"/>
        <v>-108294.43000000001</v>
      </c>
      <c r="I59"/>
    </row>
    <row r="60" spans="1:9" x14ac:dyDescent="0.2">
      <c r="A60" s="1" t="s">
        <v>170</v>
      </c>
      <c r="B60" s="22" t="s">
        <v>171</v>
      </c>
      <c r="C60" s="23" t="s">
        <v>288</v>
      </c>
      <c r="D60" s="73">
        <f>'DOE25'!G97</f>
        <v>31893.94</v>
      </c>
      <c r="E60" s="23" t="s">
        <v>288</v>
      </c>
      <c r="F60" s="23" t="s">
        <v>288</v>
      </c>
      <c r="G60" s="23" t="s">
        <v>288</v>
      </c>
      <c r="H60" s="90">
        <f t="shared" si="3"/>
        <v>31893.94</v>
      </c>
      <c r="I60"/>
    </row>
    <row r="61" spans="1:9" ht="12" thickBot="1" x14ac:dyDescent="0.25">
      <c r="A61" s="1" t="s">
        <v>172</v>
      </c>
      <c r="B61" s="22" t="s">
        <v>173</v>
      </c>
      <c r="C61" s="73">
        <f>SUM('DOE25'!F98:F110)</f>
        <v>390902.13</v>
      </c>
      <c r="D61" s="73">
        <f>SUM('DOE25'!G98:G110)</f>
        <v>0</v>
      </c>
      <c r="E61" s="73">
        <f>SUM('DOE25'!H98:H110)</f>
        <v>305801.75</v>
      </c>
      <c r="F61" s="73">
        <f>SUM('DOE25'!I98:I110)</f>
        <v>0</v>
      </c>
      <c r="G61" s="73">
        <f>SUM('DOE25'!J98:J110)</f>
        <v>0</v>
      </c>
      <c r="H61" s="90">
        <f t="shared" si="3"/>
        <v>696703.88</v>
      </c>
      <c r="I61"/>
    </row>
    <row r="62" spans="1:9" ht="12.75" thickTop="1" thickBot="1" x14ac:dyDescent="0.25">
      <c r="A62" s="28" t="s">
        <v>174</v>
      </c>
      <c r="B62" s="6"/>
      <c r="C62" s="93">
        <f>SUM(C57:C61)</f>
        <v>1186348.6000000001</v>
      </c>
      <c r="D62" s="93">
        <f>SUM(D57:D61)</f>
        <v>31893.94</v>
      </c>
      <c r="E62" s="93">
        <f>SUM(E57:E61)</f>
        <v>305801.75</v>
      </c>
      <c r="F62" s="93">
        <f>SUM(F57:F61)</f>
        <v>0</v>
      </c>
      <c r="G62" s="93">
        <f>SUM(G57:G61)</f>
        <v>-150774.04</v>
      </c>
      <c r="H62" s="90">
        <f t="shared" si="3"/>
        <v>1373270.25</v>
      </c>
      <c r="I62"/>
    </row>
    <row r="63" spans="1:9" ht="12" thickTop="1" x14ac:dyDescent="0.2">
      <c r="A63" s="28" t="s">
        <v>175</v>
      </c>
      <c r="B63" s="6"/>
      <c r="C63" s="21">
        <f>C56+C62</f>
        <v>18768971.600000001</v>
      </c>
      <c r="D63" s="21">
        <f>D56+D62</f>
        <v>31893.94</v>
      </c>
      <c r="E63" s="21">
        <f>E56+E62</f>
        <v>305801.75</v>
      </c>
      <c r="F63" s="21">
        <f>F56+F62</f>
        <v>0</v>
      </c>
      <c r="G63" s="21">
        <f>G56+G62</f>
        <v>-150774.04</v>
      </c>
      <c r="H63" s="90">
        <f t="shared" si="3"/>
        <v>18955893.250000004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9151510.4199999999</v>
      </c>
      <c r="D66" s="23" t="s">
        <v>288</v>
      </c>
      <c r="E66" s="23" t="s">
        <v>288</v>
      </c>
      <c r="F66" s="23" t="s">
        <v>288</v>
      </c>
      <c r="G66" s="23" t="s">
        <v>288</v>
      </c>
      <c r="H66" s="90">
        <f t="shared" ref="H66:H81" si="4">SUM(C66:G66)</f>
        <v>9151510.4199999999</v>
      </c>
      <c r="I66"/>
    </row>
    <row r="67" spans="1:9" x14ac:dyDescent="0.2">
      <c r="A67" s="1" t="s">
        <v>770</v>
      </c>
      <c r="B67" s="6">
        <v>3112</v>
      </c>
      <c r="C67" s="73">
        <f>'DOE25'!F118</f>
        <v>1979284</v>
      </c>
      <c r="D67" s="23"/>
      <c r="E67" s="23"/>
      <c r="F67" s="23"/>
      <c r="G67" s="23"/>
      <c r="H67" s="90">
        <f t="shared" si="4"/>
        <v>1979284</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10673.97</v>
      </c>
      <c r="D69" s="73">
        <f>'DOE25'!G120</f>
        <v>0</v>
      </c>
      <c r="E69" s="73">
        <f>'DOE25'!H120</f>
        <v>0</v>
      </c>
      <c r="F69" s="73">
        <f>'DOE25'!I120</f>
        <v>0</v>
      </c>
      <c r="G69" s="73">
        <f>'DOE25'!J120</f>
        <v>0</v>
      </c>
      <c r="H69" s="90">
        <f t="shared" si="4"/>
        <v>10673.97</v>
      </c>
      <c r="I69"/>
    </row>
    <row r="70" spans="1:9" ht="12" thickTop="1" x14ac:dyDescent="0.2">
      <c r="A70" s="28" t="s">
        <v>252</v>
      </c>
      <c r="B70" s="2"/>
      <c r="C70" s="97">
        <f>SUM(C66:C69)</f>
        <v>11141468.390000001</v>
      </c>
      <c r="D70" s="97">
        <f>D69</f>
        <v>0</v>
      </c>
      <c r="E70" s="97">
        <f>E69</f>
        <v>0</v>
      </c>
      <c r="F70" s="97">
        <f>F69</f>
        <v>0</v>
      </c>
      <c r="G70" s="97">
        <f>G69</f>
        <v>0</v>
      </c>
      <c r="H70" s="90">
        <f t="shared" si="4"/>
        <v>11141468.390000001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57038.49</v>
      </c>
      <c r="D72" s="23" t="s">
        <v>288</v>
      </c>
      <c r="E72" s="23" t="s">
        <v>288</v>
      </c>
      <c r="F72" s="73">
        <f>'DOE25'!I123</f>
        <v>0</v>
      </c>
      <c r="G72" s="23" t="s">
        <v>288</v>
      </c>
      <c r="H72" s="90">
        <f t="shared" si="4"/>
        <v>57038.49</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151303.82</v>
      </c>
      <c r="D75" s="23" t="s">
        <v>288</v>
      </c>
      <c r="E75" s="23" t="s">
        <v>288</v>
      </c>
      <c r="F75" s="23" t="s">
        <v>288</v>
      </c>
      <c r="G75" s="23" t="s">
        <v>288</v>
      </c>
      <c r="H75" s="90">
        <f t="shared" si="4"/>
        <v>151303.82</v>
      </c>
      <c r="I75"/>
    </row>
    <row r="76" spans="1:9" x14ac:dyDescent="0.2">
      <c r="A76" s="1" t="s">
        <v>257</v>
      </c>
      <c r="B76" s="6" t="s">
        <v>179</v>
      </c>
      <c r="C76" s="73">
        <f>SUM('DOE25'!F127:F130)</f>
        <v>110574.64</v>
      </c>
      <c r="D76" s="23" t="s">
        <v>288</v>
      </c>
      <c r="E76" s="73">
        <f>SUM('DOE25'!H127:H130)</f>
        <v>0</v>
      </c>
      <c r="F76" s="73">
        <f>SUM('DOE25'!I127:I130)</f>
        <v>0</v>
      </c>
      <c r="G76" s="23" t="s">
        <v>288</v>
      </c>
      <c r="H76" s="90">
        <f t="shared" si="4"/>
        <v>110574.64</v>
      </c>
      <c r="I76"/>
    </row>
    <row r="77" spans="1:9" ht="12" thickBot="1" x14ac:dyDescent="0.25">
      <c r="A77" s="1" t="s">
        <v>258</v>
      </c>
      <c r="B77" s="6" t="s">
        <v>180</v>
      </c>
      <c r="C77" s="73">
        <f>SUM('DOE25'!F131:F135)</f>
        <v>0</v>
      </c>
      <c r="D77" s="73">
        <f>SUM('DOE25'!G131:G135)</f>
        <v>17909.89</v>
      </c>
      <c r="E77" s="73">
        <f>SUM('DOE25'!H131:H135)</f>
        <v>0</v>
      </c>
      <c r="F77" s="73">
        <f>SUM('DOE25'!I131:I135)</f>
        <v>0</v>
      </c>
      <c r="G77" s="73">
        <f>SUM('DOE25'!J131:J135)</f>
        <v>0</v>
      </c>
      <c r="H77" s="90">
        <f t="shared" si="4"/>
        <v>17909.89</v>
      </c>
      <c r="I77"/>
    </row>
    <row r="78" spans="1:9" ht="12.75" thickTop="1" thickBot="1" x14ac:dyDescent="0.25">
      <c r="A78" s="28" t="s">
        <v>259</v>
      </c>
      <c r="B78" s="6"/>
      <c r="C78" s="93">
        <f>SUM(C72:C77)</f>
        <v>318916.95</v>
      </c>
      <c r="D78" s="93">
        <f>SUM(D72:D77)</f>
        <v>17909.89</v>
      </c>
      <c r="E78" s="93">
        <f>SUM(E72:E77)</f>
        <v>0</v>
      </c>
      <c r="F78" s="93">
        <f>SUM(F72:F77)</f>
        <v>0</v>
      </c>
      <c r="G78" s="93">
        <f>SUM(G72:G77)</f>
        <v>0</v>
      </c>
      <c r="H78" s="90">
        <f t="shared" si="4"/>
        <v>336826.84</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11460385.34</v>
      </c>
      <c r="D81" s="93">
        <f>SUM(D79:D80)+D78+D70</f>
        <v>17909.89</v>
      </c>
      <c r="E81" s="93">
        <f>SUM(E79:E80)+E78+E70</f>
        <v>0</v>
      </c>
      <c r="F81" s="93">
        <f>SUM(F79:F80)+F78+F70</f>
        <v>0</v>
      </c>
      <c r="G81" s="93">
        <f>SUM(G79:G80)+G78+G70</f>
        <v>0</v>
      </c>
      <c r="H81" s="93">
        <f t="shared" si="4"/>
        <v>11478295.23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234381.55</v>
      </c>
      <c r="D88" s="253">
        <f>SUM('DOE25'!G153:G162)</f>
        <v>1233325.5</v>
      </c>
      <c r="E88" s="253">
        <f>SUM('DOE25'!H153:H162)</f>
        <v>1989923.48</v>
      </c>
      <c r="F88" s="253">
        <f>SUM('DOE25'!I153:I162)</f>
        <v>0</v>
      </c>
      <c r="G88" s="23" t="s">
        <v>288</v>
      </c>
      <c r="H88" s="90">
        <f t="shared" si="5"/>
        <v>3457630.5300000003</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234381.55</v>
      </c>
      <c r="D91" s="94">
        <f>SUM(D85:D90)</f>
        <v>1233325.5</v>
      </c>
      <c r="E91" s="94">
        <f>SUM(E85:E90)</f>
        <v>1989923.48</v>
      </c>
      <c r="F91" s="94">
        <f>SUM(F85:F90)</f>
        <v>0</v>
      </c>
      <c r="G91" s="23" t="s">
        <v>288</v>
      </c>
      <c r="H91" s="90">
        <f t="shared" si="5"/>
        <v>3457630.5300000003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90">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118907.64</v>
      </c>
      <c r="D99" s="73">
        <f>'DOE25'!G186</f>
        <v>0</v>
      </c>
      <c r="E99" s="73">
        <f>'DOE25'!H186</f>
        <v>0</v>
      </c>
      <c r="F99" s="73">
        <f>'DOE25'!I186</f>
        <v>0</v>
      </c>
      <c r="G99" s="23" t="s">
        <v>288</v>
      </c>
      <c r="H99" s="90">
        <f t="shared" si="5"/>
        <v>118907.64</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118907.64</v>
      </c>
      <c r="D103" s="68">
        <f>SUM(D93:D102)</f>
        <v>0</v>
      </c>
      <c r="E103" s="68">
        <f>SUM(E93:E102)</f>
        <v>0</v>
      </c>
      <c r="F103" s="68">
        <f>SUM(F93:F102)</f>
        <v>0</v>
      </c>
      <c r="G103" s="68">
        <f>SUM(G93:G102)</f>
        <v>0</v>
      </c>
      <c r="H103" s="68">
        <f t="shared" si="5"/>
        <v>118907.64</v>
      </c>
    </row>
    <row r="104" spans="1:8" ht="12.75" thickTop="1" thickBot="1" x14ac:dyDescent="0.25">
      <c r="A104" s="32" t="s">
        <v>761</v>
      </c>
      <c r="C104" s="68">
        <f>C63+C81+C91+C103</f>
        <v>30582646.130000003</v>
      </c>
      <c r="D104" s="68">
        <f>D63+D81+D91+D103</f>
        <v>1283129.33</v>
      </c>
      <c r="E104" s="68">
        <f>E63+E81+E91+E103</f>
        <v>2295725.23</v>
      </c>
      <c r="F104" s="68">
        <f>F63+F81+F91+F103</f>
        <v>0</v>
      </c>
      <c r="G104" s="68">
        <f>G63+G81+G103</f>
        <v>-150774.04</v>
      </c>
      <c r="H104" s="68">
        <f t="shared" si="5"/>
        <v>34010726.649999999</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11062911.810000001</v>
      </c>
      <c r="D109" s="23" t="s">
        <v>288</v>
      </c>
      <c r="E109" s="73">
        <f>('DOE25'!L277)+('DOE25'!L296)+('DOE25'!L315)</f>
        <v>1169397.27</v>
      </c>
      <c r="F109" s="23" t="s">
        <v>288</v>
      </c>
      <c r="G109" s="23" t="s">
        <v>288</v>
      </c>
      <c r="H109" s="90">
        <f t="shared" ref="H109:H115" si="6">SUM(C109:G109)</f>
        <v>12232309.08</v>
      </c>
    </row>
    <row r="110" spans="1:8" x14ac:dyDescent="0.2">
      <c r="A110" t="s">
        <v>198</v>
      </c>
      <c r="B110" s="31" t="s">
        <v>199</v>
      </c>
      <c r="C110" s="73">
        <f>('DOE25'!L199)+('DOE25'!L217)+('DOE25'!L235)</f>
        <v>6799187.9000000004</v>
      </c>
      <c r="D110" s="23" t="s">
        <v>288</v>
      </c>
      <c r="E110" s="73">
        <f>('DOE25'!L278)+('DOE25'!L297)+('DOE25'!L316)</f>
        <v>145679.78</v>
      </c>
      <c r="F110" s="23" t="s">
        <v>288</v>
      </c>
      <c r="G110" s="23" t="s">
        <v>288</v>
      </c>
      <c r="H110" s="90">
        <f t="shared" si="6"/>
        <v>6944867.6800000006</v>
      </c>
    </row>
    <row r="111" spans="1:8" x14ac:dyDescent="0.2">
      <c r="A111" t="s">
        <v>200</v>
      </c>
      <c r="B111" s="31" t="s">
        <v>165</v>
      </c>
      <c r="C111" s="73">
        <f>('DOE25'!L200)+('DOE25'!L218)+('DOE25'!L236)</f>
        <v>722353.37</v>
      </c>
      <c r="D111" s="23" t="s">
        <v>288</v>
      </c>
      <c r="E111" s="73">
        <f>('DOE25'!L279)+('DOE25'!L298)+('DOE25'!L317)</f>
        <v>51957.37</v>
      </c>
      <c r="F111" s="23" t="s">
        <v>288</v>
      </c>
      <c r="G111" s="23" t="s">
        <v>288</v>
      </c>
      <c r="H111" s="90">
        <f t="shared" si="6"/>
        <v>774310.74</v>
      </c>
    </row>
    <row r="112" spans="1:8" x14ac:dyDescent="0.2">
      <c r="A112" t="s">
        <v>201</v>
      </c>
      <c r="B112" s="31" t="s">
        <v>167</v>
      </c>
      <c r="C112" s="73">
        <f>('DOE25'!L201)+('DOE25'!L219)+('DOE25'!L237)</f>
        <v>463246.2</v>
      </c>
      <c r="D112" s="23" t="s">
        <v>288</v>
      </c>
      <c r="E112" s="73">
        <f>+('DOE25'!L280)+('DOE25'!L299)+('DOE25'!L318)</f>
        <v>96108.63</v>
      </c>
      <c r="F112" s="23" t="s">
        <v>288</v>
      </c>
      <c r="G112" s="23" t="s">
        <v>288</v>
      </c>
      <c r="H112" s="90">
        <f t="shared" si="6"/>
        <v>559354.83000000007</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19047699.280000001</v>
      </c>
      <c r="D115" s="68">
        <f>SUM(D109:D114)</f>
        <v>0</v>
      </c>
      <c r="E115" s="68">
        <f>SUM(E109:E114)</f>
        <v>1463143.0500000003</v>
      </c>
      <c r="F115" s="68">
        <f>SUM(F109:F114)</f>
        <v>0</v>
      </c>
      <c r="G115" s="68">
        <f>SUM(G109:G114)</f>
        <v>0</v>
      </c>
      <c r="H115" s="68">
        <f t="shared" si="6"/>
        <v>20510842.330000002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2410353.23</v>
      </c>
      <c r="D118" s="23" t="s">
        <v>288</v>
      </c>
      <c r="E118" s="73">
        <f>+('DOE25'!L282)+('DOE25'!L301)+('DOE25'!L320)</f>
        <v>489685.03</v>
      </c>
      <c r="F118" s="23" t="s">
        <v>288</v>
      </c>
      <c r="G118" s="23" t="s">
        <v>288</v>
      </c>
      <c r="H118" s="90">
        <f t="shared" ref="H118:H145" si="7">SUM(C118:G118)</f>
        <v>2900038.26</v>
      </c>
    </row>
    <row r="119" spans="1:8" x14ac:dyDescent="0.2">
      <c r="A119" t="s">
        <v>208</v>
      </c>
      <c r="B119" s="31" t="s">
        <v>209</v>
      </c>
      <c r="C119" s="73">
        <f>('DOE25'!L204)+('DOE25'!L222)+('DOE25'!L240)</f>
        <v>1567485.31</v>
      </c>
      <c r="D119" s="23" t="s">
        <v>288</v>
      </c>
      <c r="E119" s="73">
        <f>+('DOE25'!L283)+('DOE25'!L302)+('DOE25'!L321)</f>
        <v>58206.29</v>
      </c>
      <c r="F119" s="23" t="s">
        <v>288</v>
      </c>
      <c r="G119" s="23" t="s">
        <v>288</v>
      </c>
      <c r="H119" s="90">
        <f t="shared" si="7"/>
        <v>1625691.6</v>
      </c>
    </row>
    <row r="120" spans="1:8" x14ac:dyDescent="0.2">
      <c r="A120" t="s">
        <v>210</v>
      </c>
      <c r="B120" s="31" t="s">
        <v>211</v>
      </c>
      <c r="C120" s="73">
        <f>('DOE25'!L205)+('DOE25'!L223)+('DOE25'!L241)</f>
        <v>700871.39</v>
      </c>
      <c r="D120" s="23" t="s">
        <v>288</v>
      </c>
      <c r="E120" s="73">
        <f>+('DOE25'!L284)+('DOE25'!L303)+('DOE25'!L322)</f>
        <v>15860.439999999999</v>
      </c>
      <c r="F120" s="23" t="s">
        <v>288</v>
      </c>
      <c r="G120" s="23" t="s">
        <v>288</v>
      </c>
      <c r="H120" s="90">
        <f t="shared" si="7"/>
        <v>716731.83</v>
      </c>
    </row>
    <row r="121" spans="1:8" x14ac:dyDescent="0.2">
      <c r="A121" t="s">
        <v>212</v>
      </c>
      <c r="B121" s="31" t="s">
        <v>213</v>
      </c>
      <c r="C121" s="73">
        <f>('DOE25'!L206)+('DOE25'!L224)+('DOE25'!L242)</f>
        <v>1651599.6099999999</v>
      </c>
      <c r="D121" s="23" t="s">
        <v>288</v>
      </c>
      <c r="E121" s="73">
        <f>+('DOE25'!L285)+('DOE25'!L304)+('DOE25'!L323)</f>
        <v>0</v>
      </c>
      <c r="F121" s="23" t="s">
        <v>288</v>
      </c>
      <c r="G121" s="23" t="s">
        <v>288</v>
      </c>
      <c r="H121" s="90">
        <f t="shared" si="7"/>
        <v>1651599.6099999999</v>
      </c>
    </row>
    <row r="122" spans="1:8" x14ac:dyDescent="0.2">
      <c r="A122" t="s">
        <v>214</v>
      </c>
      <c r="B122" s="31" t="s">
        <v>215</v>
      </c>
      <c r="C122" s="73">
        <f>('DOE25'!L207)+('DOE25'!L225)+('DOE25'!L243)</f>
        <v>328665.80999999994</v>
      </c>
      <c r="D122" s="23" t="s">
        <v>288</v>
      </c>
      <c r="E122" s="73">
        <f>+('DOE25'!L286)+('DOE25'!L305)+('DOE25'!L324)</f>
        <v>0</v>
      </c>
      <c r="F122" s="23" t="s">
        <v>288</v>
      </c>
      <c r="G122" s="23" t="s">
        <v>288</v>
      </c>
      <c r="H122" s="90">
        <f t="shared" si="7"/>
        <v>328665.80999999994</v>
      </c>
    </row>
    <row r="123" spans="1:8" x14ac:dyDescent="0.2">
      <c r="A123" t="s">
        <v>216</v>
      </c>
      <c r="B123" s="31" t="s">
        <v>217</v>
      </c>
      <c r="C123" s="73">
        <f>('DOE25'!L208)+('DOE25'!L226)+('DOE25'!L244)</f>
        <v>3150364.4599999995</v>
      </c>
      <c r="D123" s="23" t="s">
        <v>288</v>
      </c>
      <c r="E123" s="73">
        <f>+('DOE25'!L287)+('DOE25'!L306)+('DOE25'!L325)</f>
        <v>0</v>
      </c>
      <c r="F123" s="23" t="s">
        <v>288</v>
      </c>
      <c r="G123" s="23" t="s">
        <v>288</v>
      </c>
      <c r="H123" s="90">
        <f t="shared" si="7"/>
        <v>3150364.4599999995</v>
      </c>
    </row>
    <row r="124" spans="1:8" x14ac:dyDescent="0.2">
      <c r="A124" t="s">
        <v>218</v>
      </c>
      <c r="B124" s="31" t="s">
        <v>219</v>
      </c>
      <c r="C124" s="73">
        <f>('DOE25'!L209)+('DOE25'!L227)+('DOE25'!L245+'DOE25'!L255)</f>
        <v>1523841.1400000001</v>
      </c>
      <c r="D124" s="23" t="s">
        <v>288</v>
      </c>
      <c r="E124" s="73">
        <f>+('DOE25'!L288)+('DOE25'!L307)+('DOE25'!L326)</f>
        <v>123767.82</v>
      </c>
      <c r="F124" s="23" t="s">
        <v>288</v>
      </c>
      <c r="G124" s="23" t="s">
        <v>288</v>
      </c>
      <c r="H124" s="90">
        <f t="shared" si="7"/>
        <v>1647608.9600000002</v>
      </c>
    </row>
    <row r="125" spans="1:8" x14ac:dyDescent="0.2">
      <c r="A125" t="s">
        <v>220</v>
      </c>
      <c r="B125" s="31" t="s">
        <v>221</v>
      </c>
      <c r="C125" s="73">
        <f>('DOE25'!L210)+('DOE25'!L228)+('DOE25'!L246)</f>
        <v>0</v>
      </c>
      <c r="D125" s="23" t="s">
        <v>288</v>
      </c>
      <c r="E125" s="73">
        <f>+('DOE25'!L289)+('DOE25'!L308)+('DOE25'!L327)</f>
        <v>25861.170000000006</v>
      </c>
      <c r="F125" s="23" t="s">
        <v>288</v>
      </c>
      <c r="G125" s="23" t="s">
        <v>288</v>
      </c>
      <c r="H125" s="90">
        <f t="shared" si="7"/>
        <v>25861.170000000006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1178778.71</v>
      </c>
      <c r="E127" s="23" t="s">
        <v>288</v>
      </c>
      <c r="F127" s="23" t="s">
        <v>288</v>
      </c>
      <c r="G127" s="23" t="s">
        <v>288</v>
      </c>
      <c r="H127" s="90">
        <f t="shared" si="7"/>
        <v>1178778.71</v>
      </c>
    </row>
    <row r="128" spans="1:8" ht="12.75" thickTop="1" thickBot="1" x14ac:dyDescent="0.25">
      <c r="A128" s="32" t="s">
        <v>226</v>
      </c>
      <c r="C128" s="68">
        <f>SUM(C118:C127)</f>
        <v>11333180.949999999</v>
      </c>
      <c r="D128" s="68">
        <f>SUM(D118:D127)</f>
        <v>1178778.71</v>
      </c>
      <c r="E128" s="68">
        <f>SUM(E118:E127)</f>
        <v>713380.75000000012</v>
      </c>
      <c r="F128" s="68">
        <f>SUM(F118:F127)</f>
        <v>0</v>
      </c>
      <c r="G128" s="68">
        <f>SUM(G118:G127)</f>
        <v>0</v>
      </c>
      <c r="H128" s="68">
        <f t="shared" si="7"/>
        <v>13225340.41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118907.64</v>
      </c>
      <c r="D130" s="23" t="s">
        <v>288</v>
      </c>
      <c r="E130" s="92">
        <f>'DOE25'!L337</f>
        <v>116653</v>
      </c>
      <c r="F130" s="92">
        <f>SUM('DOE25'!L375:'DOE25'!L381)</f>
        <v>0</v>
      </c>
      <c r="G130" s="23" t="s">
        <v>288</v>
      </c>
      <c r="H130" s="90">
        <f t="shared" si="7"/>
        <v>235560.64</v>
      </c>
    </row>
    <row r="131" spans="1:8" x14ac:dyDescent="0.2">
      <c r="A131" t="s">
        <v>229</v>
      </c>
      <c r="B131" s="31">
        <v>5110</v>
      </c>
      <c r="C131" s="73">
        <f>'DOE25'!L261</f>
        <v>100000</v>
      </c>
      <c r="D131" s="23" t="s">
        <v>288</v>
      </c>
      <c r="E131" s="92">
        <f>'DOE25'!L342</f>
        <v>0</v>
      </c>
      <c r="F131" s="23" t="s">
        <v>288</v>
      </c>
      <c r="G131" s="23" t="s">
        <v>288</v>
      </c>
      <c r="H131" s="90">
        <f t="shared" si="7"/>
        <v>100000</v>
      </c>
    </row>
    <row r="132" spans="1:8" x14ac:dyDescent="0.2">
      <c r="A132" t="s">
        <v>230</v>
      </c>
      <c r="B132" s="31">
        <v>5120</v>
      </c>
      <c r="C132" s="73">
        <f>'DOE25'!L262</f>
        <v>11175</v>
      </c>
      <c r="D132" s="23" t="s">
        <v>288</v>
      </c>
      <c r="E132" s="92">
        <f>'DOE25'!L343</f>
        <v>0</v>
      </c>
      <c r="F132" s="23" t="s">
        <v>288</v>
      </c>
      <c r="G132" s="23" t="s">
        <v>288</v>
      </c>
      <c r="H132" s="90">
        <f t="shared" si="7"/>
        <v>11175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-60604.630000000005</v>
      </c>
      <c r="D138" s="23" t="s">
        <v>288</v>
      </c>
      <c r="E138" s="23" t="s">
        <v>288</v>
      </c>
      <c r="F138" s="23" t="s">
        <v>288</v>
      </c>
      <c r="G138" s="23" t="s">
        <v>288</v>
      </c>
      <c r="H138" s="90">
        <f t="shared" si="7"/>
        <v>-60604.630000000005</v>
      </c>
    </row>
    <row r="139" spans="1:8" x14ac:dyDescent="0.2">
      <c r="A139" t="s">
        <v>239</v>
      </c>
      <c r="B139" s="31">
        <v>5252</v>
      </c>
      <c r="C139" s="73">
        <f>'DOE25'!L402</f>
        <v>-90169.41</v>
      </c>
      <c r="D139" s="23" t="s">
        <v>288</v>
      </c>
      <c r="E139" s="23" t="s">
        <v>288</v>
      </c>
      <c r="F139" s="23" t="s">
        <v>288</v>
      </c>
      <c r="G139" s="23" t="s">
        <v>288</v>
      </c>
      <c r="H139" s="90">
        <f t="shared" si="7"/>
        <v>-90169.41</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150774.04</v>
      </c>
      <c r="D141" s="23" t="s">
        <v>288</v>
      </c>
      <c r="E141" s="23" t="s">
        <v>288</v>
      </c>
      <c r="F141" s="23" t="s">
        <v>288</v>
      </c>
      <c r="G141" s="23" t="s">
        <v>288</v>
      </c>
      <c r="H141" s="90">
        <f t="shared" si="7"/>
        <v>150774.04</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230082.64</v>
      </c>
      <c r="D144" s="98">
        <f>SUM(D130:D143)</f>
        <v>0</v>
      </c>
      <c r="E144" s="98">
        <f>SUM(E130:E143)</f>
        <v>116653</v>
      </c>
      <c r="F144" s="98">
        <f>SUM(F130:F143)</f>
        <v>0</v>
      </c>
      <c r="G144" s="98">
        <f>SUM(G130:G143)</f>
        <v>0</v>
      </c>
      <c r="H144" s="98">
        <f t="shared" si="7"/>
        <v>346735.64</v>
      </c>
    </row>
    <row r="145" spans="1:9" ht="12.75" thickTop="1" thickBot="1" x14ac:dyDescent="0.25">
      <c r="A145" s="32" t="s">
        <v>244</v>
      </c>
      <c r="C145" s="68">
        <f>(C115+C128+C144)</f>
        <v>30610962.870000001</v>
      </c>
      <c r="D145" s="68">
        <f>(D115+D128+D144)</f>
        <v>1178778.71</v>
      </c>
      <c r="E145" s="68">
        <f>(E115+E128+E144)</f>
        <v>2293176.8000000003</v>
      </c>
      <c r="F145" s="68">
        <f>(F115+F128+F144)</f>
        <v>0</v>
      </c>
      <c r="G145" s="68">
        <f>(G115+G128+G144)</f>
        <v>0</v>
      </c>
      <c r="H145" s="68">
        <f t="shared" si="7"/>
        <v>34082918.380000003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5</v>
      </c>
      <c r="D151" s="110">
        <f>'DOE25'!H491</f>
        <v>0</v>
      </c>
      <c r="E151" s="110">
        <f>'DOE25'!I491</f>
        <v>0</v>
      </c>
      <c r="F151" s="110">
        <f>'DOE25'!J491</f>
        <v>0</v>
      </c>
      <c r="G151" s="23" t="s">
        <v>288</v>
      </c>
    </row>
    <row r="152" spans="1:9" x14ac:dyDescent="0.2">
      <c r="A152" s="21" t="s">
        <v>28</v>
      </c>
      <c r="B152" s="109" t="str">
        <f>'DOE25'!F492</f>
        <v>08/05</v>
      </c>
      <c r="C152" s="109" t="str">
        <f>'DOE25'!G492</f>
        <v>10/19</v>
      </c>
      <c r="D152" s="109">
        <f>'DOE25'!H492</f>
        <v>0</v>
      </c>
      <c r="E152" s="109">
        <f>'DOE25'!I492</f>
        <v>0</v>
      </c>
      <c r="F152" s="109">
        <f>'DOE25'!J492</f>
        <v>0</v>
      </c>
      <c r="G152" s="23" t="s">
        <v>288</v>
      </c>
    </row>
    <row r="153" spans="1:9" x14ac:dyDescent="0.2">
      <c r="A153" s="21" t="s">
        <v>29</v>
      </c>
      <c r="B153" s="109" t="str">
        <f>'DOE25'!F493</f>
        <v>08/24</v>
      </c>
      <c r="C153" s="109" t="str">
        <f>'DOE25'!G493</f>
        <v>10/23</v>
      </c>
      <c r="D153" s="109">
        <f>'DOE25'!H493</f>
        <v>0</v>
      </c>
      <c r="E153" s="109">
        <f>'DOE25'!I493</f>
        <v>0</v>
      </c>
      <c r="F153" s="109">
        <f>'DOE25'!J493</f>
        <v>0</v>
      </c>
      <c r="G153" s="23" t="s">
        <v>288</v>
      </c>
    </row>
    <row r="154" spans="1:9" x14ac:dyDescent="0.2">
      <c r="A154" s="21" t="s">
        <v>30</v>
      </c>
      <c r="B154" s="19">
        <f>'DOE25'!F494</f>
        <v>2000000</v>
      </c>
      <c r="C154" s="19">
        <f>'DOE25'!G494</f>
        <v>44686</v>
      </c>
      <c r="D154" s="19">
        <f>'DOE25'!H494</f>
        <v>0</v>
      </c>
      <c r="E154" s="19">
        <f>'DOE25'!I494</f>
        <v>0</v>
      </c>
      <c r="F154" s="19">
        <f>'DOE25'!J494</f>
        <v>0</v>
      </c>
      <c r="G154" s="23" t="s">
        <v>288</v>
      </c>
    </row>
    <row r="155" spans="1:9" x14ac:dyDescent="0.2">
      <c r="A155" s="21" t="s">
        <v>31</v>
      </c>
      <c r="B155" s="19">
        <f>'DOE25'!F495</f>
        <v>3.99</v>
      </c>
      <c r="C155" s="19">
        <f>'DOE25'!G495</f>
        <v>5.25</v>
      </c>
      <c r="D155" s="19">
        <f>'DOE25'!H495</f>
        <v>0</v>
      </c>
      <c r="E155" s="19">
        <f>'DOE25'!I495</f>
        <v>0</v>
      </c>
      <c r="F155" s="19">
        <f>'DOE25'!J495</f>
        <v>0</v>
      </c>
      <c r="G155" s="23" t="s">
        <v>288</v>
      </c>
    </row>
    <row r="156" spans="1:9" x14ac:dyDescent="0.2">
      <c r="A156" s="21" t="s">
        <v>32</v>
      </c>
      <c r="B156" s="19">
        <f>'DOE25'!F496</f>
        <v>400000</v>
      </c>
      <c r="C156" s="19">
        <f>'DOE25'!G496</f>
        <v>27485</v>
      </c>
      <c r="D156" s="19">
        <f>'DOE25'!H496</f>
        <v>0</v>
      </c>
      <c r="E156" s="19">
        <f>'DOE25'!I496</f>
        <v>0</v>
      </c>
      <c r="F156" s="19">
        <f>'DOE25'!J496</f>
        <v>0</v>
      </c>
      <c r="G156" s="96">
        <f>SUM(B156:F156)</f>
        <v>427485</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100000</v>
      </c>
      <c r="C158" s="19">
        <f>'DOE25'!G498</f>
        <v>8697</v>
      </c>
      <c r="D158" s="19">
        <f>'DOE25'!H498</f>
        <v>0</v>
      </c>
      <c r="E158" s="19">
        <f>'DOE25'!I498</f>
        <v>0</v>
      </c>
      <c r="F158" s="19">
        <f>'DOE25'!J498</f>
        <v>0</v>
      </c>
      <c r="G158" s="96">
        <f t="shared" si="8"/>
        <v>108697</v>
      </c>
    </row>
    <row r="159" spans="1:9" x14ac:dyDescent="0.2">
      <c r="A159" s="21" t="s">
        <v>35</v>
      </c>
      <c r="B159" s="19">
        <f>'DOE25'!F499</f>
        <v>300000</v>
      </c>
      <c r="C159" s="19">
        <f>'DOE25'!G499</f>
        <v>18788</v>
      </c>
      <c r="D159" s="19">
        <f>'DOE25'!H499</f>
        <v>0</v>
      </c>
      <c r="E159" s="19">
        <f>'DOE25'!I499</f>
        <v>0</v>
      </c>
      <c r="F159" s="19">
        <f>'DOE25'!J499</f>
        <v>0</v>
      </c>
      <c r="G159" s="96">
        <f t="shared" si="8"/>
        <v>318788</v>
      </c>
    </row>
    <row r="160" spans="1:9" x14ac:dyDescent="0.2">
      <c r="A160" s="21" t="s">
        <v>36</v>
      </c>
      <c r="B160" s="19">
        <f>'DOE25'!F500</f>
        <v>19650</v>
      </c>
      <c r="C160" s="19">
        <f>'DOE25'!G500</f>
        <v>1492</v>
      </c>
      <c r="D160" s="19">
        <f>'DOE25'!H500</f>
        <v>0</v>
      </c>
      <c r="E160" s="19">
        <f>'DOE25'!I500</f>
        <v>0</v>
      </c>
      <c r="F160" s="19">
        <f>'DOE25'!J500</f>
        <v>0</v>
      </c>
      <c r="G160" s="96">
        <f t="shared" si="8"/>
        <v>21142</v>
      </c>
    </row>
    <row r="161" spans="1:7" x14ac:dyDescent="0.2">
      <c r="A161" s="21" t="s">
        <v>37</v>
      </c>
      <c r="B161" s="19">
        <f>'DOE25'!F501</f>
        <v>319650</v>
      </c>
      <c r="C161" s="19">
        <f>'DOE25'!G501</f>
        <v>20280</v>
      </c>
      <c r="D161" s="19">
        <f>'DOE25'!H501</f>
        <v>0</v>
      </c>
      <c r="E161" s="19">
        <f>'DOE25'!I501</f>
        <v>0</v>
      </c>
      <c r="F161" s="19">
        <f>'DOE25'!J501</f>
        <v>0</v>
      </c>
      <c r="G161" s="96">
        <f t="shared" si="8"/>
        <v>339930</v>
      </c>
    </row>
    <row r="162" spans="1:7" x14ac:dyDescent="0.2">
      <c r="A162" s="21" t="s">
        <v>38</v>
      </c>
      <c r="B162" s="19">
        <f>'DOE25'!F502</f>
        <v>100000</v>
      </c>
      <c r="C162" s="19">
        <f>'DOE25'!G502</f>
        <v>9154</v>
      </c>
      <c r="D162" s="19">
        <f>'DOE25'!H502</f>
        <v>0</v>
      </c>
      <c r="E162" s="19">
        <f>'DOE25'!I502</f>
        <v>0</v>
      </c>
      <c r="F162" s="19">
        <f>'DOE25'!J502</f>
        <v>0</v>
      </c>
      <c r="G162" s="96">
        <f t="shared" si="8"/>
        <v>109154</v>
      </c>
    </row>
    <row r="163" spans="1:7" x14ac:dyDescent="0.2">
      <c r="A163" s="21" t="s">
        <v>39</v>
      </c>
      <c r="B163" s="19">
        <f>'DOE25'!F503</f>
        <v>10900</v>
      </c>
      <c r="C163" s="19">
        <f>'DOE25'!G503</f>
        <v>986</v>
      </c>
      <c r="D163" s="19">
        <f>'DOE25'!H503</f>
        <v>0</v>
      </c>
      <c r="E163" s="19">
        <f>'DOE25'!I503</f>
        <v>0</v>
      </c>
      <c r="F163" s="19">
        <f>'DOE25'!J503</f>
        <v>0</v>
      </c>
      <c r="G163" s="96">
        <f t="shared" si="8"/>
        <v>11886</v>
      </c>
    </row>
    <row r="164" spans="1:7" x14ac:dyDescent="0.2">
      <c r="A164" s="21" t="s">
        <v>246</v>
      </c>
      <c r="B164" s="19">
        <f>'DOE25'!F504</f>
        <v>110900</v>
      </c>
      <c r="C164" s="19">
        <f>'DOE25'!G504</f>
        <v>10140</v>
      </c>
      <c r="D164" s="19">
        <f>'DOE25'!H504</f>
        <v>0</v>
      </c>
      <c r="E164" s="19">
        <f>'DOE25'!I504</f>
        <v>0</v>
      </c>
      <c r="F164" s="19">
        <f>'DOE25'!J504</f>
        <v>0</v>
      </c>
      <c r="G164" s="96">
        <f t="shared" si="8"/>
        <v>121040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K31" sqref="K31"/>
    </sheetView>
  </sheetViews>
  <sheetFormatPr defaultRowHeight="11.25" x14ac:dyDescent="0.2"/>
  <cols>
    <col min="1" max="1" width="14.1640625" customWidth="1"/>
    <col min="2" max="2" width="49" bestFit="1" customWidth="1"/>
    <col min="3" max="3" width="13.33203125" customWidth="1"/>
    <col min="4" max="4" width="10.1640625" customWidth="1"/>
  </cols>
  <sheetData>
    <row r="1" spans="1:4" ht="18" x14ac:dyDescent="0.25">
      <c r="A1" s="312" t="s">
        <v>736</v>
      </c>
      <c r="B1" s="312"/>
      <c r="C1" s="312"/>
      <c r="D1" s="312"/>
    </row>
    <row r="2" spans="1:4" x14ac:dyDescent="0.2">
      <c r="A2" s="136" t="s">
        <v>713</v>
      </c>
      <c r="B2" s="135" t="str">
        <f>'DOE25'!A2</f>
        <v>Fall Mountain Regional</v>
      </c>
    </row>
    <row r="3" spans="1:4" x14ac:dyDescent="0.2">
      <c r="B3" s="137" t="s">
        <v>1799</v>
      </c>
    </row>
    <row r="4" spans="1:4" x14ac:dyDescent="0.2">
      <c r="B4" t="s">
        <v>61</v>
      </c>
      <c r="C4" s="129">
        <f>IF('DOE25'!F666+'DOE25'!F671=0,0,ROUND('DOE25'!F673,0))</f>
        <v>22802</v>
      </c>
    </row>
    <row r="5" spans="1:4" x14ac:dyDescent="0.2">
      <c r="B5" t="s">
        <v>700</v>
      </c>
      <c r="C5" s="129">
        <f>IF('DOE25'!G666+'DOE25'!G671=0,0,ROUND('DOE25'!G673,0))</f>
        <v>0</v>
      </c>
    </row>
    <row r="6" spans="1:4" x14ac:dyDescent="0.2">
      <c r="B6" t="s">
        <v>62</v>
      </c>
      <c r="C6" s="129">
        <f>IF('DOE25'!H666+'DOE25'!H671=0,0,ROUND('DOE25'!H673,0))</f>
        <v>19991</v>
      </c>
    </row>
    <row r="7" spans="1:4" x14ac:dyDescent="0.2">
      <c r="B7" t="s">
        <v>701</v>
      </c>
      <c r="C7" s="129">
        <f>IF('DOE25'!I666+'DOE25'!I671=0,0,ROUND('DOE25'!I673,0))</f>
        <v>21840</v>
      </c>
    </row>
    <row r="9" spans="1:4" x14ac:dyDescent="0.2">
      <c r="A9" s="136" t="s">
        <v>94</v>
      </c>
      <c r="B9" s="137" t="s">
        <v>1800</v>
      </c>
      <c r="C9" s="131" t="s">
        <v>720</v>
      </c>
      <c r="D9" s="131" t="s">
        <v>721</v>
      </c>
    </row>
    <row r="10" spans="1:4" x14ac:dyDescent="0.2">
      <c r="A10">
        <v>1100</v>
      </c>
      <c r="B10" t="s">
        <v>702</v>
      </c>
      <c r="C10" s="129">
        <f>ROUND('DOE25'!L198+'DOE25'!L216+'DOE25'!L234+'DOE25'!L277+'DOE25'!L296+'DOE25'!L315,0)</f>
        <v>12232309</v>
      </c>
      <c r="D10" s="132">
        <f>ROUND((C10/$C$28)*100,1)</f>
        <v>36.299999999999997</v>
      </c>
    </row>
    <row r="11" spans="1:4" x14ac:dyDescent="0.2">
      <c r="A11">
        <v>1200</v>
      </c>
      <c r="B11" t="s">
        <v>703</v>
      </c>
      <c r="C11" s="129">
        <f>ROUND('DOE25'!L199+'DOE25'!L217+'DOE25'!L235+'DOE25'!L278+'DOE25'!L297+'DOE25'!L316,0)</f>
        <v>6944868</v>
      </c>
      <c r="D11" s="132">
        <f>ROUND((C11/$C$28)*100,1)</f>
        <v>20.6</v>
      </c>
    </row>
    <row r="12" spans="1:4" x14ac:dyDescent="0.2">
      <c r="A12">
        <v>1300</v>
      </c>
      <c r="B12" t="s">
        <v>704</v>
      </c>
      <c r="C12" s="129">
        <f>ROUND('DOE25'!L200+'DOE25'!L218+'DOE25'!L236+'DOE25'!L279+'DOE25'!L298+'DOE25'!L317,0)</f>
        <v>774311</v>
      </c>
      <c r="D12" s="132">
        <f>ROUND((C12/$C$28)*100,1)</f>
        <v>2.2999999999999998</v>
      </c>
    </row>
    <row r="13" spans="1:4" x14ac:dyDescent="0.2">
      <c r="A13">
        <v>1400</v>
      </c>
      <c r="B13" t="s">
        <v>705</v>
      </c>
      <c r="C13" s="129">
        <f>ROUND('DOE25'!L201+'DOE25'!L219+'DOE25'!L237+'DOE25'!L280+'DOE25'!L299+'DOE25'!L318,0)</f>
        <v>559355</v>
      </c>
      <c r="D13" s="132">
        <f>ROUND((C13/$C$28)*100,1)</f>
        <v>1.7</v>
      </c>
    </row>
    <row r="14" spans="1:4" x14ac:dyDescent="0.2">
      <c r="D14" s="132"/>
    </row>
    <row r="15" spans="1:4" x14ac:dyDescent="0.2">
      <c r="A15">
        <v>2100</v>
      </c>
      <c r="B15" t="s">
        <v>706</v>
      </c>
      <c r="C15" s="129">
        <f>ROUND('DOE25'!L203+'DOE25'!L221+'DOE25'!L239+'DOE25'!L282+'DOE25'!L301+'DOE25'!L320,0)</f>
        <v>2900038</v>
      </c>
      <c r="D15" s="132">
        <f t="shared" ref="D15:D27" si="0">ROUND((C15/$C$28)*100,1)</f>
        <v>8.6</v>
      </c>
    </row>
    <row r="16" spans="1:4" x14ac:dyDescent="0.2">
      <c r="A16">
        <v>2200</v>
      </c>
      <c r="B16" t="s">
        <v>707</v>
      </c>
      <c r="C16" s="129">
        <f>ROUND('DOE25'!L204+'DOE25'!L222+'DOE25'!L240+'DOE25'!L283+'DOE25'!L302+'DOE25'!L321,0)</f>
        <v>1625692</v>
      </c>
      <c r="D16" s="132">
        <f t="shared" si="0"/>
        <v>4.8</v>
      </c>
    </row>
    <row r="17" spans="1:4" x14ac:dyDescent="0.2">
      <c r="A17" s="133" t="s">
        <v>723</v>
      </c>
      <c r="B17" t="s">
        <v>738</v>
      </c>
      <c r="C17" s="129">
        <f>ROUND('DOE25'!L205+'DOE25'!L210+'DOE25'!L223+'DOE25'!L228+'DOE25'!L241+'DOE25'!L246+'DOE25'!L284+'DOE25'!L289+'DOE25'!L303+'DOE25'!L308+'DOE25'!L322+'DOE25'!L327,0)</f>
        <v>742593</v>
      </c>
      <c r="D17" s="132">
        <f t="shared" si="0"/>
        <v>2.2000000000000002</v>
      </c>
    </row>
    <row r="18" spans="1:4" x14ac:dyDescent="0.2">
      <c r="A18">
        <v>2400</v>
      </c>
      <c r="B18" t="s">
        <v>711</v>
      </c>
      <c r="C18" s="129">
        <f>ROUND('DOE25'!L206+'DOE25'!L224+'DOE25'!L242+'DOE25'!L285+'DOE25'!L304+'DOE25'!L323,0)</f>
        <v>1651600</v>
      </c>
      <c r="D18" s="132">
        <f t="shared" si="0"/>
        <v>4.9000000000000004</v>
      </c>
    </row>
    <row r="19" spans="1:4" x14ac:dyDescent="0.2">
      <c r="A19">
        <v>2500</v>
      </c>
      <c r="B19" t="s">
        <v>708</v>
      </c>
      <c r="C19" s="129">
        <f>ROUND('DOE25'!L207+'DOE25'!L225+'DOE25'!L243+'DOE25'!L286+'DOE25'!L305+'DOE25'!L324,0)</f>
        <v>328666</v>
      </c>
      <c r="D19" s="132">
        <f t="shared" si="0"/>
        <v>1</v>
      </c>
    </row>
    <row r="20" spans="1:4" x14ac:dyDescent="0.2">
      <c r="A20">
        <v>2600</v>
      </c>
      <c r="B20" t="s">
        <v>709</v>
      </c>
      <c r="C20" s="129">
        <f>ROUND('DOE25'!L208+'DOE25'!L226+'DOE25'!L244+'DOE25'!L287+'DOE25'!L306+'DOE25'!L325,0)</f>
        <v>3150364</v>
      </c>
      <c r="D20" s="132">
        <f t="shared" si="0"/>
        <v>9.3000000000000007</v>
      </c>
    </row>
    <row r="21" spans="1:4" x14ac:dyDescent="0.2">
      <c r="A21">
        <v>2700</v>
      </c>
      <c r="B21" t="s">
        <v>710</v>
      </c>
      <c r="C21" s="129">
        <f>ROUND('DOE25'!L209+'DOE25'!L227+'DOE25'!L245+'DOE25'!L288+'DOE25'!L307+'DOE25'!L326,0)</f>
        <v>1647609</v>
      </c>
      <c r="D21" s="132">
        <f t="shared" si="0"/>
        <v>4.9000000000000004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11175</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1146885.06</v>
      </c>
      <c r="D27" s="132">
        <f t="shared" si="0"/>
        <v>3.4</v>
      </c>
    </row>
    <row r="28" spans="1:4" x14ac:dyDescent="0.2">
      <c r="B28" s="136" t="s">
        <v>719</v>
      </c>
      <c r="C28" s="130">
        <f>SUM(C10:C27)</f>
        <v>33715465.060000002</v>
      </c>
      <c r="D28" s="134">
        <f>ROUND(SUM(D10:D27),0)</f>
        <v>100</v>
      </c>
    </row>
    <row r="29" spans="1:4" x14ac:dyDescent="0.2">
      <c r="A29">
        <v>4000</v>
      </c>
      <c r="B29" t="s">
        <v>724</v>
      </c>
      <c r="C29" s="129">
        <f>ROUND('DOE25'!L256+'DOE25'!L337+'DOE25'!L375+'DOE25'!L376+'DOE25'!L377+'DOE25'!L378+'DOE25'!L379+'DOE25'!L380+'DOE25'!L381,0)</f>
        <v>235561</v>
      </c>
    </row>
    <row r="30" spans="1:4" x14ac:dyDescent="0.2">
      <c r="B30" s="136" t="s">
        <v>725</v>
      </c>
      <c r="C30" s="130">
        <f>SUM(C28:C29)</f>
        <v>33951026.060000002</v>
      </c>
    </row>
    <row r="31" spans="1:4" x14ac:dyDescent="0.2">
      <c r="B31" s="32"/>
      <c r="C31" s="130"/>
    </row>
    <row r="32" spans="1:4" x14ac:dyDescent="0.2">
      <c r="A32">
        <v>5100</v>
      </c>
      <c r="B32" s="32" t="s">
        <v>726</v>
      </c>
      <c r="C32" s="130">
        <f>ROUND('DOE25'!L261+'DOE25'!L342,0)</f>
        <v>100000</v>
      </c>
    </row>
    <row r="34" spans="1:4" x14ac:dyDescent="0.2">
      <c r="A34" s="136" t="s">
        <v>94</v>
      </c>
      <c r="B34" s="137" t="s">
        <v>1801</v>
      </c>
      <c r="C34" s="131" t="s">
        <v>720</v>
      </c>
      <c r="D34" s="131" t="s">
        <v>721</v>
      </c>
    </row>
    <row r="35" spans="1:4" x14ac:dyDescent="0.2">
      <c r="A35">
        <v>1100</v>
      </c>
      <c r="B35" s="71" t="s">
        <v>727</v>
      </c>
      <c r="C35" s="129">
        <f>ROUND('DOE25'!F60+'DOE25'!G60+'DOE25'!H60+'DOE25'!I60+'DOE25'!J60,0)</f>
        <v>17582623</v>
      </c>
      <c r="D35" s="132">
        <f t="shared" ref="D35:D40" si="1">ROUND((C35/$C$41)*100,1)</f>
        <v>51.9</v>
      </c>
    </row>
    <row r="36" spans="1:4" x14ac:dyDescent="0.2">
      <c r="B36" s="71" t="s">
        <v>739</v>
      </c>
      <c r="C36" s="129">
        <f>SUM('DOE25'!F112:J112)-SUM('DOE25'!G97:G110)+('DOE25'!F175+'DOE25'!F176+'DOE25'!I175+'DOE25'!I176)-C35</f>
        <v>1341376.3099999987</v>
      </c>
      <c r="D36" s="132">
        <f t="shared" si="1"/>
        <v>4</v>
      </c>
    </row>
    <row r="37" spans="1:4" x14ac:dyDescent="0.2">
      <c r="A37" s="133" t="s">
        <v>835</v>
      </c>
      <c r="B37" s="71" t="s">
        <v>728</v>
      </c>
      <c r="C37" s="129">
        <f>ROUND('DOE25'!F117+'DOE25'!F118,0)</f>
        <v>11130794</v>
      </c>
      <c r="D37" s="132">
        <f t="shared" si="1"/>
        <v>32.9</v>
      </c>
    </row>
    <row r="38" spans="1:4" x14ac:dyDescent="0.2">
      <c r="A38" s="133" t="s">
        <v>734</v>
      </c>
      <c r="B38" s="71" t="s">
        <v>729</v>
      </c>
      <c r="C38" s="129">
        <f>ROUND(SUM('DOE25'!F140:J140)-SUM('DOE25'!F117:F119),0)</f>
        <v>347501</v>
      </c>
      <c r="D38" s="132">
        <f t="shared" si="1"/>
        <v>1</v>
      </c>
    </row>
    <row r="39" spans="1:4" x14ac:dyDescent="0.2">
      <c r="A39">
        <v>4000</v>
      </c>
      <c r="B39" s="71" t="s">
        <v>730</v>
      </c>
      <c r="C39" s="129">
        <f>ROUND('DOE25'!F170+'DOE25'!G170+'DOE25'!H170+'DOE25'!I170,0)</f>
        <v>3457631</v>
      </c>
      <c r="D39" s="132">
        <f t="shared" si="1"/>
        <v>10.199999999999999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33859925.310000002</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B4" sqref="B4"/>
    </sheetView>
  </sheetViews>
  <sheetFormatPr defaultRowHeight="11.25" x14ac:dyDescent="0.2"/>
  <cols>
    <col min="1" max="1" width="10.16406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Fall Mountain Regional</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v>19</v>
      </c>
      <c r="B4" s="150">
        <v>0.5</v>
      </c>
      <c r="C4" s="313" t="s">
        <v>1802</v>
      </c>
      <c r="D4" s="313"/>
      <c r="E4" s="313"/>
      <c r="F4" s="313"/>
      <c r="G4" s="313"/>
      <c r="H4" s="313"/>
      <c r="I4" s="313"/>
      <c r="J4" s="313"/>
      <c r="K4" s="313"/>
      <c r="L4" s="313"/>
      <c r="M4" s="315"/>
    </row>
    <row r="5" spans="1:13" x14ac:dyDescent="0.2">
      <c r="A5" s="159">
        <v>19</v>
      </c>
      <c r="B5" s="150">
        <v>1</v>
      </c>
      <c r="C5" s="313" t="s">
        <v>1803</v>
      </c>
      <c r="D5" s="313"/>
      <c r="E5" s="313"/>
      <c r="F5" s="313"/>
      <c r="G5" s="313"/>
      <c r="H5" s="313"/>
      <c r="I5" s="313"/>
      <c r="J5" s="313"/>
      <c r="K5" s="313"/>
      <c r="L5" s="313"/>
      <c r="M5" s="315"/>
    </row>
    <row r="6" spans="1:13" x14ac:dyDescent="0.2">
      <c r="A6" s="159"/>
      <c r="B6" s="150"/>
      <c r="C6" s="313"/>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33203125" customWidth="1"/>
    <col min="14" max="14" width="13.83203125" customWidth="1"/>
    <col min="17" max="17" width="15.1640625" customWidth="1"/>
    <col min="18" max="21" width="17.3320312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2</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f>IFERROR(SMALL(AE4:$AE$100,ROWS($AE$4:AE4)),"")</f>
        <v>19</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f>IF('School Level Expenditures'!$B$2=A5,'School Tables'!H5,"")</f>
        <v>2</v>
      </c>
      <c r="J5" s="286">
        <f>IFERROR(SMALL($I$4:$I$325,ROWS($I$4:I5)),"")</f>
        <v>5</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f>IFERROR(SMALL($I$4:$I$325,ROWS($I$4:I6)),"")</f>
        <v>41</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f>IFERROR(SMALL($I$4:$I$325,ROWS($I$4:I7)),"")</f>
        <v>42</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f>IF('School Level Expenditures'!$B$2=A8,'School Tables'!H8,"")</f>
        <v>5</v>
      </c>
      <c r="J8" s="286">
        <f>IFERROR(SMALL($I$4:$I$325,ROWS($I$4:I8)),"")</f>
        <v>84</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f>IFERROR(SMALL($I$4:$I$325,ROWS($I$4:I9)),"")</f>
        <v>203</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f>IFERROR(SMALL($I$4:$I$325,ROWS($I$4:I10)),"")</f>
        <v>218</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f>IFERROR(SMALL($I$4:$I$325,ROWS($I$4:I11)),"")</f>
        <v>265</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f>IFERROR(SMALL($I$4:$I$325,ROWS($I$4:I12)),"")</f>
        <v>299</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f>IFERROR(SMALL($I$4:$I$325,ROWS($I$4:I13)),"")</f>
        <v>301</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f>IFERROR(SMALL($I$4:$I$325,ROWS($I$4:I14)),"")</f>
        <v>302</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f>IF('School Level Expenditures'!$B$2='School Tables'!W22,'School Tables'!AD22,"")</f>
        <v>19</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f>IF('School Level Expenditures'!$B$2=A44,'School Tables'!H44,"")</f>
        <v>41</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f>IF('School Level Expenditures'!$B$2=A45,'School Tables'!H45,"")</f>
        <v>42</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f>IF('School Level Expenditures'!$B$2=A87,'School Tables'!H87,"")</f>
        <v>84</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f>IF('School Level Expenditures'!$B$2=A206,'School Tables'!H206,"")</f>
        <v>203</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f>IF('School Level Expenditures'!$B$2=A221,'School Tables'!H221,"")</f>
        <v>218</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f>IF('School Level Expenditures'!$B$2=A268,'School Tables'!H268,"")</f>
        <v>265</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f>IF('School Level Expenditures'!$B$2=A302,'School Tables'!H302,"")</f>
        <v>299</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f>IF('School Level Expenditures'!$B$2=A304,'School Tables'!H304,"")</f>
        <v>301</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f>IF('School Level Expenditures'!$B$2=A305,'School Tables'!H305,"")</f>
        <v>302</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38D04708936104CB39803BFB9120496" ma:contentTypeVersion="9" ma:contentTypeDescription="Create a new document." ma:contentTypeScope="" ma:versionID="950e06a651a0f5ced47b292ffcb3eef4">
  <xsd:schema xmlns:xsd="http://www.w3.org/2001/XMLSchema" xmlns:xs="http://www.w3.org/2001/XMLSchema" xmlns:p="http://schemas.microsoft.com/office/2006/metadata/properties" xmlns:ns2="6e307363-e649-4ccb-9548-0bc033bec529" targetNamespace="http://schemas.microsoft.com/office/2006/metadata/properties" ma:root="true" ma:fieldsID="1d7814e26ce107dfdd4544de421748e0" ns2:_="">
    <xsd:import namespace="6e307363-e649-4ccb-9548-0bc033bec5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307363-e649-4ccb-9548-0bc033bec5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48022C-2ECA-4E88-ABD0-FB322519CC6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CCEFA48-B0FE-4A48-BD6A-8DC57A64B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307363-e649-4ccb-9548-0bc033bec5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C46925-D175-4A60-ACDA-36516E4FE0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2022-12-19T15:11:09Z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0x010100D38D04708936104CB39803BFB9120496</vt:lpwstr>
  </property>
</Properties>
</file>