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3E1E0B6A-1287-4002-92A2-A780507EA8C4}"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6">'MS-25'!$A$1:$H$164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F25" i="2"/>
  <c r="C26" i="2"/>
  <c r="F26" i="2"/>
  <c r="C27" i="2"/>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4"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H655" i="1"/>
  <c r="H656" i="1"/>
  <c r="I170" i="1"/>
  <c r="G662" i="1" l="1"/>
  <c r="I409" i="1"/>
  <c r="H72" i="2"/>
  <c r="G646" i="1"/>
  <c r="J652" i="1"/>
  <c r="H8" i="2"/>
  <c r="H12" i="2"/>
  <c r="H143" i="2"/>
  <c r="H25" i="2"/>
  <c r="H89" i="2"/>
  <c r="H59" i="2"/>
  <c r="D18" i="13"/>
  <c r="C18" i="13" s="1"/>
  <c r="H101" i="2"/>
  <c r="H99" i="2"/>
  <c r="H79" i="2"/>
  <c r="H76" i="2"/>
  <c r="H58" i="2"/>
  <c r="H132" i="2"/>
  <c r="H36" i="2"/>
  <c r="H44" i="2"/>
  <c r="H48" i="2"/>
  <c r="H97" i="2"/>
  <c r="H93" i="2"/>
  <c r="H87" i="2"/>
  <c r="H61" i="2"/>
  <c r="H26" i="2"/>
  <c r="H22" i="2"/>
  <c r="H113" i="2"/>
  <c r="H35" i="2"/>
  <c r="H9" i="2"/>
  <c r="H69" i="2"/>
  <c r="H47" i="2"/>
  <c r="H30" i="2"/>
  <c r="H28" i="2"/>
  <c r="H17" i="2"/>
  <c r="G62" i="2"/>
  <c r="G63" i="2" s="1"/>
  <c r="H102" i="2"/>
  <c r="H100" i="2"/>
  <c r="H98" i="2"/>
  <c r="H73" i="2"/>
  <c r="H15" i="2"/>
  <c r="H38" i="2"/>
  <c r="H43" i="2"/>
  <c r="H80" i="2"/>
  <c r="D144" i="2"/>
  <c r="H34" i="2"/>
  <c r="E120" i="2"/>
  <c r="C121" i="2"/>
  <c r="C110" i="2"/>
  <c r="E13" i="13"/>
  <c r="C13" i="13" s="1"/>
  <c r="H125" i="2"/>
  <c r="D15" i="13"/>
  <c r="C15" i="13" s="1"/>
  <c r="C120" i="2"/>
  <c r="H477" i="1"/>
  <c r="H625" i="1" s="1"/>
  <c r="J625" i="1" s="1"/>
  <c r="H27" i="2"/>
  <c r="H23" i="2"/>
  <c r="H13" i="2"/>
  <c r="H11" i="2"/>
  <c r="G409" i="1"/>
  <c r="H646" i="1" s="1"/>
  <c r="J646" i="1" s="1"/>
  <c r="E121" i="2"/>
  <c r="D78" i="2"/>
  <c r="D81" i="2" s="1"/>
  <c r="H77" i="2"/>
  <c r="C12" i="10"/>
  <c r="D6" i="13"/>
  <c r="C6" i="13" s="1"/>
  <c r="C119" i="2"/>
  <c r="C112" i="2"/>
  <c r="H112" i="2" s="1"/>
  <c r="C13" i="10"/>
  <c r="A40" i="1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E144" i="2" l="1"/>
  <c r="L572" i="1"/>
  <c r="I663" i="1"/>
  <c r="H103" i="2"/>
  <c r="H121" i="2"/>
  <c r="H21" i="2"/>
  <c r="H134" i="2"/>
  <c r="H85" i="2"/>
  <c r="H16" i="2"/>
  <c r="H120" i="2"/>
  <c r="H42" i="2"/>
  <c r="H78" i="2"/>
  <c r="H110" i="2"/>
  <c r="H122" i="2"/>
  <c r="H57" i="2"/>
  <c r="H31" i="2"/>
  <c r="E51" i="2"/>
  <c r="H50" i="2"/>
  <c r="H18" i="2"/>
  <c r="H62" i="2"/>
  <c r="F194" i="1"/>
  <c r="D128" i="2"/>
  <c r="D145" i="2" s="1"/>
  <c r="H127" i="2"/>
  <c r="H123" i="2"/>
  <c r="E115" i="2"/>
  <c r="H118" i="2"/>
  <c r="H119" i="2"/>
  <c r="F661" i="1"/>
  <c r="F665" i="1" s="1"/>
  <c r="F668" i="1" s="1"/>
  <c r="E128" i="2"/>
  <c r="H109" i="2"/>
  <c r="H91" i="2"/>
  <c r="C81" i="2"/>
  <c r="H81" i="2"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H63"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H115" i="2"/>
  <c r="E145" i="2"/>
  <c r="C144" i="2"/>
  <c r="C145" i="2" s="1"/>
  <c r="H141" i="2"/>
  <c r="H128" i="2"/>
  <c r="C104" i="2"/>
  <c r="H104" i="2" s="1"/>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<sst xmlns="http://schemas.openxmlformats.org/spreadsheetml/2006/main" count="6531" uniqueCount="1803">
  <si>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</si>
  <si>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</si>
  <si>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</si>
  <si>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</si>
  <si>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</si>
  <si>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</si>
  <si>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</si>
  <si>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</si>
  <si>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</si>
  <si>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</si>
  <si>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</si>
  <si>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</si>
  <si>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</si>
  <si>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</si>
  <si>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</si>
  <si>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</si>
  <si>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</si>
  <si>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</si>
  <si>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</si>
  <si>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</si>
  <si>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</si>
  <si>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</si>
  <si>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</si>
  <si>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</si>
  <si>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</si>
  <si>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</si>
  <si>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</si>
  <si>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</si>
  <si>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</si>
  <si>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</si>
  <si>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</si>
  <si>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</si>
  <si>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</si>
  <si>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</si>
  <si>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</si>
  <si>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</si>
  <si>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</si>
  <si>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</si>
  <si>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</si>
  <si>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</si>
  <si>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</si>
  <si>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</si>
  <si>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</si>
  <si>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</si>
  <si>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</si>
  <si>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</si>
  <si>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</si>
  <si>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</si>
  <si>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</si>
  <si>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</si>
  <si>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</si>
  <si>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</si>
  <si>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</si>
  <si>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</si>
  <si>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</si>
  <si>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</si>
  <si>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</si>
  <si>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</si>
  <si>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</si>
  <si>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</si>
  <si>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</si>
  <si>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</si>
  <si>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</si>
  <si>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</si>
  <si>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</si>
  <si>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</si>
  <si>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</si>
  <si>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</si>
  <si>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</si>
  <si>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</si>
  <si>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</si>
  <si>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</si>
  <si>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</si>
  <si>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</si>
  <si>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</si>
  <si>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</si>
  <si>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</si>
  <si>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</si>
  <si>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</si>
  <si>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</si>
  <si>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</si>
  <si>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</si>
  <si>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</si>
  <si>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</si>
  <si>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</si>
  <si>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</si>
  <si>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</si>
  <si>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</si>
  <si>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</si>
  <si>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</si>
  <si>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</si>
  <si>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</si>
  <si>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</si>
  <si>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</si>
  <si>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</si>
  <si>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</si>
  <si>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</si>
  <si>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</si>
  <si>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</si>
  <si>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</si>
  <si>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</si>
  <si>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</si>
  <si>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</si>
  <si>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</si>
  <si>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</si>
  <si>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</si>
  <si>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</si>
  <si>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</si>
  <si>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</si>
  <si>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</si>
  <si>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</si>
  <si>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</si>
  <si>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</si>
  <si>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</si>
  <si>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</si>
  <si>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</si>
  <si>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</si>
  <si>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</si>
  <si>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</si>
  <si>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</si>
  <si>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</si>
  <si>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</si>
  <si>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</si>
  <si>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</si>
  <si>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</si>
  <si>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</si>
  <si>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</si>
  <si>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</si>
  <si>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</si>
  <si>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</si>
  <si>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</si>
  <si>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</si>
  <si>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</si>
  <si>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</si>
  <si>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</si>
  <si>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</si>
  <si>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</si>
  <si>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</si>
  <si>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</si>
  <si>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</si>
  <si>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</si>
  <si>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</si>
  <si>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</si>
  <si>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</si>
  <si>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</si>
  <si>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</si>
  <si>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</si>
  <si>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</si>
  <si>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</si>
  <si>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</si>
  <si>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</si>
  <si>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</si>
  <si>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</si>
  <si>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</si>
  <si>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</si>
  <si>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</si>
  <si>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</si>
  <si>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</si>
  <si>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</si>
  <si>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</si>
  <si>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</si>
  <si>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</si>
  <si>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</si>
  <si>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</si>
  <si>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</si>
  <si>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</si>
  <si>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</si>
  <si>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</si>
  <si>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</si>
  <si>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</si>
  <si>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</si>
  <si>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</si>
  <si>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</si>
  <si>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</si>
  <si>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</si>
  <si>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</si>
  <si>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</si>
  <si>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</si>
  <si>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</si>
  <si>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</si>
  <si>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</si>
  <si>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</si>
  <si>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</si>
  <si>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</si>
  <si>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</si>
  <si>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</si>
  <si>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</si>
  <si>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</si>
  <si>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</si>
  <si>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</si>
  <si>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</si>
  <si>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</si>
  <si>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</si>
  <si>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</si>
  <si>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</si>
  <si>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</si>
  <si>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</si>
  <si>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</si>
  <si>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</si>
  <si>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</si>
  <si>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</si>
  <si>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</si>
  <si>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</si>
  <si>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</si>
  <si>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</si>
  <si>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</si>
  <si>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</si>
  <si>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</si>
  <si>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</si>
  <si>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</si>
  <si>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</si>
  <si>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</si>
  <si>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</si>
  <si>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</si>
  <si>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</si>
  <si>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</si>
  <si>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</si>
  <si>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</si>
  <si>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</si>
  <si>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</si>
  <si>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</si>
  <si>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</si>
  <si>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</si>
  <si>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</si>
  <si>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</si>
  <si>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</si>
  <si>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</si>
  <si>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</si>
  <si>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</si>
  <si>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</si>
  <si>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</si>
  <si>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</si>
  <si>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</si>
  <si>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</si>
  <si>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</si>
  <si>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</si>
  <si>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</si>
  <si>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</si>
  <si>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</si>
  <si>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</si>
  <si>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</si>
  <si>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</si>
  <si>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</si>
  <si>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</si>
  <si>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</si>
  <si>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</si>
  <si>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</si>
  <si>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</si>
  <si>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</si>
  <si>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</si>
  <si>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</si>
  <si>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</si>
  <si>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</si>
  <si>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</si>
  <si>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</si>
  <si>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</si>
  <si>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</si>
  <si>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</si>
  <si>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</si>
  <si>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</si>
  <si>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</si>
  <si>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</si>
  <si>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</si>
  <si>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</si>
  <si>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</si>
  <si>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</si>
  <si>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</si>
  <si>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</si>
  <si>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</si>
  <si>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</si>
  <si>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</si>
  <si>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</si>
  <si>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</si>
  <si>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</si>
  <si>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</si>
  <si>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</si>
  <si>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</si>
  <si>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</si>
  <si>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</si>
  <si>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</si>
  <si>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</si>
  <si>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</si>
  <si>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</si>
  <si>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</si>
  <si>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</si>
  <si>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</si>
  <si>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</si>
  <si>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</si>
  <si>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</si>
  <si>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</si>
  <si>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</si>
  <si>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</si>
  <si>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</si>
  <si>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</si>
  <si>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</si>
  <si>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</si>
  <si>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</si>
  <si>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</si>
  <si>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</si>
  <si>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</si>
  <si>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</si>
  <si>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</si>
  <si>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</si>
  <si>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</si>
  <si>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</si>
  <si>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</si>
  <si>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</si>
  <si>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</si>
  <si>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</si>
  <si>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</si>
  <si>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</si>
  <si>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</si>
  <si>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</si>
  <si>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</si>
  <si>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</si>
  <si>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</si>
  <si>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</si>
  <si>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</si>
  <si>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</si>
  <si>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</si>
  <si>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</si>
  <si>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</si>
  <si>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</si>
  <si>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</si>
  <si>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</si>
  <si>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</si>
  <si>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</si>
  <si>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</si>
  <si>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</si>
  <si>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</si>
  <si>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</si>
  <si>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</si>
  <si>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</si>
  <si>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</si>
  <si>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</si>
  <si>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</si>
  <si>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</si>
  <si>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</si>
  <si>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</si>
  <si>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</si>
  <si>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</si>
  <si>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</si>
  <si>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</si>
  <si>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</si>
  <si>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</si>
  <si>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</si>
  <si>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</si>
  <si>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</si>
  <si>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</si>
  <si>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</si>
  <si>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</si>
  <si>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</si>
  <si>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</si>
  <si>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</si>
  <si>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</si>
  <si>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</si>
  <si>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</si>
  <si>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</si>
  <si>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</si>
  <si>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</si>
  <si>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</si>
  <si>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</si>
  <si>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</si>
  <si>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</si>
  <si>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</si>
  <si>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</si>
  <si>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</si>
  <si>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</si>
  <si>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</si>
  <si>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</si>
  <si>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</si>
  <si>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</si>
  <si>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</si>
  <si>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</si>
  <si>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</si>
  <si>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</si>
  <si>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</si>
  <si>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</si>
  <si>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</si>
  <si>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</si>
  <si>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</si>
  <si>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</si>
  <si>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</si>
  <si>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</si>
  <si>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</si>
  <si>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</si>
  <si>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</si>
  <si>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</si>
  <si>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</si>
  <si>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</si>
  <si>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</si>
  <si>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</si>
  <si>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</si>
  <si>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</si>
  <si>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</si>
  <si>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</si>
  <si>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</si>
  <si>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</si>
  <si>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</si>
  <si>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</si>
  <si>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</si>
  <si>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</si>
  <si>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</si>
  <si>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</si>
  <si>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</si>
  <si>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</si>
  <si>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</si>
  <si>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</si>
  <si>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</si>
  <si>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</si>
  <si>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</si>
  <si>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</si>
  <si>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</si>
  <si>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</si>
  <si>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</si>
  <si>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</si>
  <si>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</si>
  <si>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</si>
  <si>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</si>
  <si>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</si>
  <si>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</si>
  <si>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</si>
  <si>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</si>
  <si>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</si>
  <si>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</si>
  <si>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</si>
  <si>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</si>
  <si>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</si>
  <si>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</si>
  <si>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</si>
  <si>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</si>
  <si>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</si>
  <si>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</si>
  <si>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</si>
  <si>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</si>
  <si>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</si>
  <si>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</si>
  <si>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</si>
  <si>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</si>
  <si>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</si>
  <si>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</si>
  <si>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</si>
  <si>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</si>
  <si>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</si>
  <si>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</si>
  <si>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</si>
  <si>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</si>
  <si>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</si>
  <si>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</si>
  <si>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</si>
  <si>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</si>
  <si>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</si>
  <si>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</si>
  <si>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</si>
  <si>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</si>
  <si>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</si>
  <si>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</si>
  <si>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</si>
  <si>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</si>
  <si>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</si>
  <si>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</si>
  <si>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</si>
  <si>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</si>
  <si>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</si>
  <si>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</si>
  <si>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</si>
  <si>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</si>
  <si>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</si>
  <si>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</si>
  <si>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</si>
  <si>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</si>
  <si>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</si>
  <si>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</si>
  <si>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</si>
  <si>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</si>
  <si>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</si>
  <si>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</si>
  <si>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</si>
  <si>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</si>
  <si>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</si>
  <si>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</si>
  <si>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</si>
  <si>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</si>
  <si>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</si>
  <si>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</si>
  <si>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</si>
  <si>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</si>
  <si>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</si>
  <si>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</si>
  <si>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</si>
  <si>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</si>
  <si>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</si>
  <si>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</si>
  <si>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</si>
  <si>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</si>
  <si>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</si>
  <si>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</si>
  <si>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</si>
  <si>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</si>
  <si>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</si>
  <si>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</si>
  <si>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</si>
  <si>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</si>
  <si>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</si>
  <si>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</si>
  <si>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</si>
  <si>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</si>
  <si>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</si>
  <si>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</si>
  <si>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</si>
  <si>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</si>
  <si>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</si>
  <si>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</si>
  <si>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</si>
  <si>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</si>
  <si>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</si>
  <si>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</si>
  <si>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</si>
  <si>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</si>
  <si>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</si>
  <si>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</si>
  <si>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</si>
  <si>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</si>
  <si>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</si>
  <si>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</si>
  <si>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</si>
  <si>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</si>
  <si>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</si>
  <si>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</si>
  <si>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</si>
  <si>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</si>
  <si>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</si>
  <si>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</si>
  <si>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</si>
  <si>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</si>
  <si>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</si>
  <si>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</si>
  <si>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</si>
  <si>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</si>
  <si>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</si>
  <si>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</si>
  <si>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</si>
  <si>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</si>
  <si>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</si>
  <si>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</si>
  <si>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</si>
  <si>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</si>
  <si>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</si>
  <si>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</si>
  <si>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</si>
  <si>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</si>
  <si>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</si>
  <si>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</si>
  <si>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</si>
  <si>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</si>
  <si>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</si>
  <si>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</si>
  <si>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</si>
  <si>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</si>
  <si>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</si>
  <si>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</si>
  <si>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</si>
  <si>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</si>
  <si>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</si>
  <si>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</si>
  <si>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</si>
  <si>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</si>
  <si>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</si>
  <si>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</si>
  <si>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</si>
  <si>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</si>
  <si>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</si>
  <si>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</si>
  <si>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</si>
  <si>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</si>
  <si>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</si>
  <si>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</si>
  <si>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</si>
  <si>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</si>
  <si>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</si>
  <si>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</si>
  <si>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</si>
  <si>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</si>
  <si>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</si>
  <si>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</si>
  <si>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</si>
  <si>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</si>
  <si>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</si>
  <si>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</si>
  <si>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</si>
  <si>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</si>
  <si>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</si>
  <si>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</si>
  <si>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</si>
  <si>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</si>
  <si>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</si>
  <si>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</si>
  <si>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</si>
  <si>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</si>
  <si>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</si>
  <si>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</si>
  <si>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</si>
  <si>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</si>
  <si>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</si>
  <si>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</si>
  <si>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</si>
  <si>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</si>
  <si>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</si>
  <si>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</si>
  <si>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</si>
  <si>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</si>
  <si>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</si>
  <si>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</si>
  <si>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</si>
  <si>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</si>
  <si>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</si>
  <si>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</si>
  <si>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</si>
  <si>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</si>
  <si>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</si>
  <si>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</si>
  <si>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</si>
  <si>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</si>
  <si>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</si>
  <si>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</si>
  <si>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</si>
  <si>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</si>
  <si>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</si>
  <si>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</si>
  <si>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</si>
  <si>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</si>
  <si>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</si>
  <si>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</si>
  <si>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</si>
  <si>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</si>
  <si>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</si>
  <si>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</si>
  <si>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</si>
  <si>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</si>
  <si>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</si>
  <si>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</si>
  <si>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</si>
  <si>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</si>
  <si>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</si>
  <si>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</si>
  <si>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</si>
  <si>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</si>
  <si>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</si>
  <si>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</si>
  <si>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</si>
  <si>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</si>
  <si>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</si>
  <si>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</si>
  <si>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</si>
  <si>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</si>
  <si>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</si>
  <si>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</si>
  <si>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</si>
  <si>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</si>
  <si>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</si>
  <si>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</si>
  <si>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</si>
  <si>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</si>
  <si>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</si>
  <si>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</si>
  <si>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</si>
  <si>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</si>
  <si>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</si>
  <si>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</si>
  <si>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</si>
  <si>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</si>
  <si>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</si>
  <si>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</si>
  <si>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</si>
  <si>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</si>
  <si>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</si>
  <si>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</si>
  <si>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</si>
  <si>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</si>
  <si>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</si>
  <si>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</si>
  <si>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</si>
  <si>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</si>
  <si>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</si>
  <si>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</si>
  <si>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</si>
  <si>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</si>
  <si>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</si>
  <si>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</si>
  <si>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</si>
  <si>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</si>
  <si>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</si>
  <si>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</si>
  <si>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</si>
  <si>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</si>
  <si>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</si>
  <si>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</si>
  <si>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</si>
  <si>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</si>
  <si>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</si>
  <si>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</si>
  <si>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</si>
  <si>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</si>
  <si>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</si>
  <si>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</si>
  <si>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</si>
  <si>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</si>
  <si>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</si>
  <si>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</si>
  <si>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</si>
  <si>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</si>
  <si>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</si>
  <si>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</si>
  <si>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</si>
  <si>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</si>
  <si>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</si>
  <si>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</si>
  <si>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</si>
  <si>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</si>
  <si>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</si>
  <si>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</si>
  <si>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</si>
  <si>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</si>
  <si>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</si>
  <si>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</si>
  <si>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</si>
  <si>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</si>
  <si>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</si>
  <si>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</si>
  <si>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</si>
  <si>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</si>
  <si>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</si>
  <si>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</si>
  <si>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</si>
  <si>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</si>
  <si>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</si>
  <si>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</si>
  <si>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</si>
  <si>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</si>
  <si>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</si>
  <si>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</si>
  <si>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</si>
  <si>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</si>
  <si>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</si>
  <si>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</si>
  <si>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</si>
  <si>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</si>
  <si>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</si>
  <si>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</si>
  <si>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</si>
  <si>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</si>
  <si>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</si>
  <si>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</si>
  <si>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</si>
  <si>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</si>
  <si>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</si>
  <si>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</si>
  <si>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</si>
  <si>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</si>
  <si>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</si>
  <si>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</si>
  <si>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</si>
  <si>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</si>
  <si>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</si>
  <si>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</si>
  <si>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</si>
  <si>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</si>
  <si>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</si>
  <si>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</si>
  <si>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</si>
  <si>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</si>
  <si>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</si>
  <si>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</si>
  <si>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</si>
  <si>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</si>
  <si>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</si>
  <si>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</si>
  <si>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</si>
  <si>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</si>
  <si>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</si>
  <si>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</si>
  <si>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</si>
  <si>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</si>
  <si>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</si>
  <si>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</si>
  <si>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</si>
  <si>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</si>
  <si>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</si>
  <si>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</si>
  <si>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</si>
  <si>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</si>
  <si>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</si>
  <si>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</si>
  <si>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</si>
  <si>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</si>
  <si>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</si>
  <si>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</si>
  <si>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</si>
  <si>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</si>
  <si>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</si>
  <si>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</si>
  <si>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</si>
  <si>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</si>
  <si>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</si>
  <si>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</si>
  <si>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</si>
  <si>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</si>
  <si>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</si>
  <si>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</si>
  <si>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</si>
  <si>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</si>
  <si>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</si>
  <si>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</si>
  <si>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</si>
  <si>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</si>
  <si>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</si>
  <si>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</si>
  <si>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</si>
  <si>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</si>
  <si>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</si>
  <si>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</si>
  <si>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</si>
  <si>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</si>
  <si>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</si>
  <si>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</si>
  <si>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</si>
  <si>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</si>
  <si>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</si>
  <si>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</si>
  <si>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</si>
  <si>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</si>
  <si>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</si>
  <si>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</si>
  <si>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</si>
  <si>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</si>
  <si>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</si>
  <si>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</si>
  <si>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</si>
  <si>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</si>
  <si>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</si>
  <si>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</si>
  <si>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</si>
  <si>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</si>
  <si>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</si>
  <si>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</si>
  <si>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</si>
  <si>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</si>
  <si>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</si>
  <si>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</si>
  <si>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</si>
  <si>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</si>
  <si>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</si>
  <si>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</si>
  <si>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</si>
  <si>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</si>
  <si>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</si>
  <si>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</si>
  <si>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</si>
  <si>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</si>
  <si>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</si>
  <si>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</si>
  <si>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</si>
  <si>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</si>
  <si>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</si>
  <si>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</si>
  <si>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</si>
  <si>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</si>
  <si>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</si>
  <si>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</si>
  <si>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</si>
  <si>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</si>
  <si>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</si>
  <si>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</si>
  <si>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</si>
  <si>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</si>
  <si>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</si>
  <si>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</si>
  <si>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</si>
  <si>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</si>
  <si>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</si>
  <si>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</si>
  <si>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</si>
  <si>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</si>
  <si>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</si>
  <si>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</si>
  <si>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</si>
  <si>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</si>
  <si>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</si>
  <si>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</si>
  <si>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</si>
  <si>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</si>
  <si>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</si>
  <si>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</si>
  <si>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</si>
  <si>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</si>
  <si>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</si>
  <si>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</si>
  <si>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</si>
  <si>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</si>
  <si>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</si>
  <si>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</si>
  <si>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</si>
  <si>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</si>
  <si>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</si>
  <si>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</si>
  <si>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</si>
  <si>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</si>
  <si>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</si>
  <si>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</si>
  <si>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</si>
  <si>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</si>
  <si>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</si>
  <si>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</si>
  <si>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</si>
  <si>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</si>
  <si>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</si>
  <si>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</si>
  <si>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</si>
  <si>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</si>
  <si>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</si>
  <si>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</si>
  <si>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</si>
  <si>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</si>
  <si>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</si>
  <si>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</si>
  <si>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</si>
  <si>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</si>
  <si>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</si>
  <si>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</si>
  <si>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</si>
  <si>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</si>
  <si>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</si>
  <si>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</si>
  <si>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</si>
  <si>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</si>
  <si>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</si>
  <si>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</si>
  <si>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</si>
  <si>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</si>
  <si>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</si>
  <si>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</si>
  <si>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</si>
  <si>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</si>
  <si>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</si>
  <si>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</si>
  <si>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</si>
  <si>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</si>
  <si>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</si>
  <si>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</si>
  <si>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</si>
  <si>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</si>
  <si>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</si>
  <si>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</si>
  <si>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</si>
  <si>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</si>
  <si>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</si>
  <si>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</si>
  <si>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</si>
  <si>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</si>
  <si>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</si>
  <si>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</si>
  <si>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</si>
  <si>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</si>
  <si>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</si>
  <si>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</si>
  <si>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</si>
  <si>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</si>
  <si>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</si>
  <si>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</si>
  <si>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</si>
  <si>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</si>
  <si>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</si>
  <si>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</si>
  <si>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</si>
  <si>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</si>
  <si>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</si>
  <si>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</si>
  <si>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</si>
  <si>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</si>
  <si>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</si>
  <si>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</si>
  <si>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</si>
  <si>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</si>
  <si>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</si>
  <si>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</si>
  <si>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</si>
  <si>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</si>
  <si>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</si>
  <si>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</si>
  <si>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</si>
  <si>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</si>
  <si>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</si>
  <si>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</si>
  <si>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</si>
  <si>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</si>
  <si>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</si>
  <si>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</si>
  <si>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</si>
  <si>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</si>
  <si>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</si>
  <si>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</si>
  <si>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</si>
  <si>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</si>
  <si>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</si>
  <si>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</si>
  <si>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</si>
  <si>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</si>
  <si>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</si>
  <si>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</si>
  <si>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</si>
  <si>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</si>
  <si>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</si>
  <si>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</si>
  <si>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</si>
  <si>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</si>
  <si>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</si>
  <si>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</si>
  <si>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</si>
  <si>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</si>
  <si>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</si>
  <si>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</si>
  <si>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</si>
  <si>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</si>
  <si>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</si>
  <si>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</si>
  <si>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</si>
  <si>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</si>
  <si>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</si>
  <si>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</si>
  <si>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</si>
  <si>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</si>
  <si>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</si>
  <si>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</si>
  <si>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</si>
  <si>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</si>
  <si>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</si>
  <si>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</si>
  <si>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</si>
  <si>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</si>
  <si>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</si>
  <si>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</si>
  <si>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</si>
  <si>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</si>
  <si>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</si>
  <si>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</si>
  <si>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</si>
  <si>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</si>
  <si>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</si>
  <si>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</si>
  <si>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</si>
  <si>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</si>
  <si>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</si>
  <si>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</si>
  <si>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</si>
  <si>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</si>
  <si>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</si>
  <si>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</si>
  <si>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</si>
  <si>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</si>
  <si>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</si>
  <si>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</si>
  <si>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</si>
  <si>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</si>
  <si>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</si>
  <si>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</si>
  <si>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</si>
  <si>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</si>
  <si>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</si>
  <si>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</si>
  <si>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</si>
  <si>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</si>
  <si>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</si>
  <si>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</si>
  <si>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</si>
  <si>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</si>
  <si>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</si>
  <si>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</si>
  <si>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</si>
  <si>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</si>
  <si>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</si>
  <si>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</si>
  <si>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</si>
  <si>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</si>
  <si>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</si>
  <si>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</si>
  <si>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</si>
  <si>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</si>
  <si>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</si>
  <si>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</si>
  <si>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</si>
  <si>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</si>
  <si>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</si>
  <si>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</si>
  <si>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</si>
  <si>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</si>
  <si>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</si>
  <si>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</si>
  <si>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</si>
  <si>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</si>
  <si>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</si>
  <si>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</si>
  <si>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</si>
  <si>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</si>
  <si>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</si>
  <si>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</si>
  <si>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</si>
  <si>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</si>
  <si>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</si>
  <si>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</si>
  <si>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</si>
  <si>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</si>
  <si>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</si>
  <si>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</si>
  <si>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</si>
  <si>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</si>
  <si>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</si>
  <si>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</si>
  <si>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</si>
  <si>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</si>
  <si>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</si>
  <si>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</si>
  <si>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</si>
  <si>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</si>
  <si>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</si>
  <si>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</si>
  <si>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</si>
  <si>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</si>
  <si>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</si>
  <si>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</si>
  <si>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</si>
  <si>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</si>
  <si>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</si>
  <si>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</si>
  <si>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</si>
  <si>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</si>
  <si>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</si>
  <si>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</si>
  <si>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</si>
  <si>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</si>
  <si>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</si>
  <si>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</si>
  <si>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</si>
  <si>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</si>
  <si>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</si>
  <si>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</si>
  <si>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</si>
  <si>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</si>
  <si>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</si>
  <si>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</si>
  <si>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</si>
  <si>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</si>
  <si>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</si>
  <si>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</si>
  <si>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</si>
  <si>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</si>
  <si>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</si>
  <si>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</si>
  <si>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</si>
  <si>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</si>
  <si>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</si>
  <si>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</si>
  <si>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</si>
  <si>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</si>
  <si>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</si>
  <si>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</si>
  <si>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</si>
  <si>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</si>
  <si>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</si>
  <si>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</si>
  <si>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</si>
  <si>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</si>
  <si>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</si>
  <si>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</si>
  <si>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</si>
  <si>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</si>
  <si>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</si>
  <si>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</si>
  <si>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</si>
  <si>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</si>
  <si>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</si>
  <si>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</si>
  <si>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</si>
  <si>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</si>
  <si>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</si>
  <si>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</si>
  <si>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</si>
  <si>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</si>
  <si>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</si>
  <si>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</si>
  <si>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</si>
  <si>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</si>
  <si>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</si>
  <si>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</si>
  <si>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</si>
  <si>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</si>
  <si>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</si>
  <si>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</si>
  <si>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</si>
  <si>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</si>
  <si>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</si>
  <si>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</si>
  <si>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</si>
  <si>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</si>
  <si>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</si>
  <si>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</si>
  <si>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</si>
  <si>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</si>
  <si>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</si>
  <si>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</si>
  <si>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</si>
  <si>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</si>
  <si>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</si>
  <si>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</si>
  <si>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</si>
  <si>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</si>
  <si>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</si>
  <si>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</si>
  <si>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</si>
  <si>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</si>
  <si>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</si>
  <si>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</si>
  <si>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</si>
  <si>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</si>
  <si>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</si>
  <si>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</si>
  <si>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</si>
  <si>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</si>
  <si>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</si>
  <si>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</si>
  <si>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</si>
  <si>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</si>
  <si>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</si>
  <si>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</si>
  <si>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</si>
  <si>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</si>
  <si>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</si>
  <si>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</si>
  <si>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</si>
  <si>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</si>
  <si>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</si>
  <si>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</si>
  <si>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</si>
  <si>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</si>
  <si>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</si>
  <si>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</si>
  <si>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</si>
  <si>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</si>
  <si>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</si>
  <si>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</si>
  <si>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</si>
  <si>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</si>
  <si>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</si>
  <si>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</si>
  <si>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</si>
  <si>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</si>
  <si>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</si>
  <si>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</si>
  <si>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</si>
  <si>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</si>
  <si>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</si>
  <si>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</si>
  <si>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</si>
  <si>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</si>
  <si>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</si>
  <si>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</si>
  <si>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</si>
  <si>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</si>
  <si>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</si>
  <si>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</si>
  <si>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</si>
  <si>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</si>
  <si>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</si>
  <si>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</si>
  <si>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</si>
  <si>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</si>
  <si>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</si>
  <si>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</si>
  <si>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</si>
  <si>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</si>
  <si>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</si>
  <si>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</si>
  <si>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</si>
  <si>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</si>
  <si>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</si>
  <si>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</si>
  <si>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</si>
  <si>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</si>
  <si>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</si>
  <si>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</si>
  <si>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</si>
  <si>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</si>
  <si>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</si>
  <si>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</si>
  <si>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</si>
  <si>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</si>
  <si>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</si>
  <si>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</si>
  <si>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</si>
  <si>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</si>
  <si>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</si>
  <si>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</si>
  <si>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</si>
  <si>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</si>
  <si>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</si>
  <si>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</si>
  <si>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</si>
  <si>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</si>
  <si>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</si>
  <si>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</si>
  <si>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</si>
  <si>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</si>
  <si>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</si>
  <si>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</si>
  <si>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</si>
  <si>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</si>
  <si>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</si>
  <si>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</si>
  <si>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</si>
  <si>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</si>
  <si>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</si>
  <si>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</si>
  <si>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</si>
  <si>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</si>
  <si>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</si>
  <si>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</si>
  <si>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</si>
  <si>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</si>
  <si>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</si>
  <si>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</si>
  <si>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</si>
  <si>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</si>
  <si>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</si>
  <si>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</si>
  <si>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</si>
  <si>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</si>
  <si>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</si>
  <si>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</si>
  <si>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</si>
  <si>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</si>
  <si>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</si>
  <si>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</si>
  <si>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</si>
  <si>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</si>
  <si>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</si>
  <si>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</si>
  <si>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</si>
  <si>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</si>
  <si>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</si>
  <si>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</si>
  <si>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</si>
  <si>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</si>
  <si>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</si>
  <si>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</si>
  <si>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</si>
  <si>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</si>
  <si>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</si>
  <si>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</si>
  <si>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</si>
  <si>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</si>
  <si>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</si>
  <si>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</si>
  <si>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</si>
  <si>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</si>
  <si>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</si>
  <si>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</si>
  <si>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</si>
  <si>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</si>
  <si>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</si>
  <si>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</si>
  <si>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</si>
  <si>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</si>
  <si>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</si>
  <si>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</si>
  <si>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</si>
  <si>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</si>
  <si>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</si>
  <si>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</si>
  <si>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</si>
  <si>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</si>
  <si>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</si>
  <si>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</si>
  <si>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</si>
  <si>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</si>
  <si>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</si>
  <si>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</si>
  <si>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</si>
  <si>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</si>
  <si>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</si>
  <si>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</si>
  <si>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</si>
  <si>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</si>
  <si>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</si>
  <si>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</si>
  <si>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</si>
  <si>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</si>
  <si>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</si>
  <si>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</si>
  <si>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</si>
  <si>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</si>
  <si>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</si>
  <si>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</si>
  <si>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</si>
  <si>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</si>
  <si>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</si>
  <si>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</si>
  <si>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</si>
  <si>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</si>
  <si>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</si>
  <si>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</si>
  <si>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</si>
  <si>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</si>
  <si>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</si>
  <si>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</si>
  <si>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</si>
  <si>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</si>
  <si>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</si>
  <si>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</si>
  <si>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</si>
  <si>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</si>
  <si>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</si>
  <si>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</si>
  <si>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</si>
  <si>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</si>
  <si>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</si>
  <si>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</si>
  <si>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</si>
  <si>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</si>
  <si>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</si>
  <si>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</si>
  <si>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</si>
  <si>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</si>
  <si>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</si>
  <si>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</si>
  <si>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</si>
  <si>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</si>
  <si>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</si>
  <si>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</si>
  <si>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</si>
  <si>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</si>
  <si>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</si>
  <si>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</si>
  <si>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</si>
  <si>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</si>
  <si>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</si>
  <si>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</si>
  <si>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</si>
  <si>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</si>
  <si>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</si>
  <si>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</si>
  <si>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</si>
  <si>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</si>
  <si>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</si>
  <si>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</si>
  <si>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</si>
  <si>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</si>
  <si>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</si>
  <si>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</si>
  <si>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</si>
  <si>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</si>
  <si>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</si>
  <si>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</si>
  <si>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</si>
  <si>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</si>
  <si>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</si>
  <si>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</si>
  <si>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</si>
  <si>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</si>
  <si>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</si>
  <si>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</si>
  <si>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</si>
  <si>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</si>
  <si>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</si>
  <si>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</si>
  <si>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</si>
  <si>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</si>
  <si>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</si>
  <si>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</si>
  <si>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</si>
  <si>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</si>
  <si>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</si>
  <si>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</si>
  <si>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</si>
  <si>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</si>
  <si>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</si>
  <si>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</si>
  <si>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</si>
  <si>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</si>
  <si>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</si>
  <si>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</si>
  <si>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</si>
  <si>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</si>
  <si>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</si>
  <si>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</si>
  <si>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</si>
  <si>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</si>
  <si>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</si>
  <si>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</si>
  <si>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</si>
  <si>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</si>
  <si>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</si>
  <si>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</si>
  <si>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</si>
  <si>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</si>
  <si>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</si>
  <si>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</si>
  <si>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</si>
  <si>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</si>
  <si>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</si>
  <si>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</si>
  <si>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</si>
  <si>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</si>
  <si>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</si>
  <si>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</si>
  <si>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</si>
  <si>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</si>
  <si>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</si>
  <si>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</si>
  <si>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</si>
  <si>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</si>
  <si>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</si>
  <si>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</si>
  <si>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</si>
  <si>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</si>
  <si>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</si>
  <si>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</si>
  <si>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</si>
  <si>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</si>
  <si>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</si>
  <si>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</si>
  <si>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</si>
  <si>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</si>
  <si>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</si>
  <si>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</si>
  <si>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</si>
  <si>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</si>
  <si>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</si>
  <si>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</si>
  <si>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</si>
  <si>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</si>
  <si>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</si>
  <si>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</si>
  <si>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</si>
  <si>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</si>
  <si>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</si>
  <si>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</si>
  <si>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</si>
  <si>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</si>
  <si>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</si>
  <si>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</si>
  <si>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</si>
  <si>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</si>
  <si>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</si>
  <si>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</si>
  <si>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</si>
  <si>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</si>
  <si>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</si>
  <si>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</si>
  <si>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</si>
  <si>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</si>
  <si>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</si>
  <si>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</si>
  <si>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</si>
  <si>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</si>
  <si>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</si>
  <si>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</si>
  <si>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</si>
  <si>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</si>
  <si>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</si>
  <si>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</si>
  <si>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</si>
  <si>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</si>
  <si>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</si>
  <si>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</si>
  <si>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</si>
  <si>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</si>
  <si>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</si>
  <si>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</si>
  <si>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</si>
  <si>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</si>
  <si>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</si>
  <si>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</si>
  <si>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</si>
  <si>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</si>
  <si>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</si>
  <si>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</si>
  <si>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</si>
  <si>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</si>
  <si>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</si>
  <si>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</si>
  <si>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</si>
  <si>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</si>
  <si>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</si>
  <si>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</si>
  <si>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</si>
  <si>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</si>
  <si>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</si>
  <si>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</si>
  <si>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</si>
  <si>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</si>
  <si>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</si>
  <si>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</si>
  <si>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</si>
  <si>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</si>
  <si>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</si>
  <si>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</si>
  <si>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</si>
  <si>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</si>
  <si>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</si>
  <si>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</si>
  <si>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</si>
  <si>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</si>
  <si>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</si>
  <si>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</si>
  <si>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</si>
  <si>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</si>
  <si>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</si>
  <si>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</si>
  <si>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</si>
  <si>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</si>
  <si>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</si>
  <si>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</si>
  <si>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</si>
  <si>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</si>
  <si>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</si>
  <si>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</si>
  <si>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</si>
  <si>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</si>
  <si>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</si>
  <si>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</si>
  <si>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</si>
  <si>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</si>
  <si>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</si>
  <si>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</si>
  <si>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</si>
  <si>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</si>
  <si>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</si>
  <si>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</si>
  <si>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</si>
  <si>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</si>
  <si>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</si>
  <si>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</si>
  <si>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</si>
  <si>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</si>
  <si>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</si>
  <si>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</si>
  <si>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</si>
  <si>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</si>
  <si>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</si>
  <si>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</si>
  <si>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</si>
  <si>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</si>
  <si>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</si>
  <si>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</si>
  <si>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</si>
  <si>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</si>
  <si>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</si>
  <si>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</si>
  <si>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</si>
  <si>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</si>
  <si>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</si>
  <si>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</si>
  <si>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</si>
  <si>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</si>
  <si>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</si>
  <si>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</si>
  <si>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</si>
  <si>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</si>
  <si>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</si>
  <si>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</si>
  <si>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</si>
  <si>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</si>
  <si>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</si>
  <si>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</si>
  <si>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</si>
  <si>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</si>
  <si>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</si>
  <si>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</si>
  <si>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</si>
  <si>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</si>
  <si>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</si>
  <si>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</si>
  <si>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</si>
  <si>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</si>
  <si>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</si>
  <si>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</si>
  <si>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</si>
  <si>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</si>
  <si>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</si>
  <si>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</si>
  <si>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</si>
  <si>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</si>
  <si>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</si>
  <si>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</si>
  <si>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</si>
  <si>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</si>
  <si>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</si>
  <si>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</si>
  <si>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</si>
  <si>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</si>
  <si>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</si>
  <si>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</si>
  <si>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</si>
  <si>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</si>
  <si>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</si>
  <si>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</si>
  <si>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</si>
  <si>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</si>
  <si>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</si>
  <si>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</si>
  <si>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</si>
  <si>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</si>
  <si>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</si>
  <si>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</si>
  <si>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</si>
  <si>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</si>
  <si>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</si>
  <si>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</si>
  <si>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</si>
  <si>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</si>
  <si>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</si>
  <si>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</si>
  <si>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</si>
  <si>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</si>
  <si>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</si>
  <si>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</si>
  <si>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</si>
  <si>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</si>
  <si>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</si>
  <si>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</si>
  <si>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</si>
  <si>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</si>
  <si>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</si>
  <si>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</si>
  <si>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</si>
  <si>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</si>
  <si>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</si>
  <si>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</si>
  <si>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</si>
  <si>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</si>
  <si>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</si>
  <si>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</si>
  <si>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</si>
  <si>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</si>
  <si>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</si>
  <si>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</si>
  <si>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</si>
  <si>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</si>
  <si>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</si>
  <si>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</si>
  <si>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</si>
  <si>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</si>
  <si>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</si>
  <si>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</si>
  <si>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</si>
  <si>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</si>
  <si>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</si>
  <si>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</si>
  <si>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</si>
  <si>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</si>
  <si>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</si>
  <si>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</si>
  <si>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</si>
  <si>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</si>
  <si>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</si>
  <si>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</si>
  <si>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</si>
  <si>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</si>
  <si>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</si>
  <si>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</si>
  <si>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</si>
  <si>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</si>
  <si>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</si>
  <si>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</si>
  <si>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</si>
  <si>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</si>
  <si>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</si>
  <si>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</si>
  <si>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</si>
  <si>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</si>
  <si>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</si>
  <si>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</si>
  <si>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</si>
  <si>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</si>
  <si>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</si>
  <si>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</si>
  <si>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</si>
  <si>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</si>
  <si>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</si>
  <si>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</si>
  <si>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</si>
  <si>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</si>
  <si>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</si>
  <si>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</si>
  <si>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</si>
  <si>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</si>
  <si>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</si>
  <si>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</si>
  <si>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</si>
  <si>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</si>
  <si>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</si>
  <si>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</si>
  <si>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</si>
  <si>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FY22 Beginning Fund Equity Balance differences are due to FY21 Audit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</si>
</sst>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6" zoomScale="110" zoomScaleNormal="11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1045</v>
      </c>
      <c r="B2" s="126">
        <f>INDEX('School Tables'!$AH$3:$AH$208,MATCH('DOE25'!A2,'School Tables'!$AJ$3:$AJ$208,0))</f>
        <v>175</v>
      </c>
      <c r="C2" s="126">
        <f>INDEX('School Tables'!$AI$3:$AI$208,MATCH('DOE25'!A2,'School Tables'!$AJ$3:$AJ$208,0))</f>
        <v>175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888818.4</v>
      </c>
      <c r="G9" s="18">
        <v>38893.81</v>
      </c>
      <c r="H9" s="18">
        <v>743984.44</v>
      </c>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v>0</v>
      </c>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281498.84999999998</v>
      </c>
      <c r="G12" s="18">
        <v>166354.54</v>
      </c>
      <c r="H12" s="18">
        <v>-808938.57</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15049.61</v>
      </c>
      <c r="G13" s="18">
        <v>33301.11</v>
      </c>
      <c r="H13" s="18">
        <v>730907.54</v>
      </c>
      <c r="I13" s="18"/>
      <c r="J13" s="67">
        <f>SUM(I443)</f>
        <v>1252079.23</v>
      </c>
      <c r="K13" s="24" t="s">
        <v>288</v>
      </c>
      <c r="L13" s="24" t="s">
        <v>288</v>
      </c>
      <c r="M13" s="8"/>
      <c r="N13" s="265"/>
    </row>
    <row r="14" spans="1:14" s="3" customFormat="1" ht="12.2" customHeight="1" x14ac:dyDescent="0.15">
      <c r="A14" s="1" t="s">
        <v>565</v>
      </c>
      <c r="B14" s="2" t="s">
        <v>289</v>
      </c>
      <c r="C14" s="6">
        <v>6</v>
      </c>
      <c r="D14" s="2" t="s">
        <v>428</v>
      </c>
      <c r="E14" s="6">
        <v>150</v>
      </c>
      <c r="F14" s="18">
        <v>180527.62</v>
      </c>
      <c r="G14" s="18">
        <v>84709.69</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2075</v>
      </c>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1367969.48</v>
      </c>
      <c r="G19" s="41">
        <f>SUM(G9:G18)</f>
        <v>323259.15000000002</v>
      </c>
      <c r="H19" s="41">
        <f>SUM(H9:H18)</f>
        <v>665953.41</v>
      </c>
      <c r="I19" s="41">
        <f>SUM(I9:I18)</f>
        <v>0</v>
      </c>
      <c r="J19" s="41">
        <f>SUM(J9:J18)</f>
        <v>1252079.23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-1156.69</v>
      </c>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141302.49</v>
      </c>
      <c r="G24" s="18">
        <v>121952.5</v>
      </c>
      <c r="H24" s="18">
        <v>11035.93</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43848.63</v>
      </c>
      <c r="G28" s="18"/>
      <c r="H28" s="18">
        <v>35788.61</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199613.59</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383608.02</v>
      </c>
      <c r="G32" s="41">
        <f>SUM(G22:G31)</f>
        <v>121952.5</v>
      </c>
      <c r="H32" s="41">
        <f>SUM(H22:H31)</f>
        <v>46824.54</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162917.14000000001</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245000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v>4629.8599999999997</v>
      </c>
      <c r="I45" s="18"/>
      <c r="J45" s="13">
        <f>I456</f>
        <v>0</v>
      </c>
      <c r="K45" s="24" t="s">
        <v>288</v>
      </c>
      <c r="L45" s="24" t="s">
        <v>288</v>
      </c>
      <c r="M45" s="8"/>
      <c r="N45" s="265"/>
    </row>
    <row r="46" spans="1:14" s="3" customFormat="1" ht="12.2" customHeight="1" x14ac:dyDescent="0.15">
      <c r="A46" s="1" t="s">
        <v>874</v>
      </c>
      <c r="B46" s="6">
        <v>1</v>
      </c>
      <c r="C46" s="6">
        <v>32</v>
      </c>
      <c r="D46" s="2"/>
      <c r="E46" s="6"/>
      <c r="F46" s="18">
        <v>100000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1252079.23</v>
      </c>
      <c r="K48" s="24" t="s">
        <v>288</v>
      </c>
      <c r="L48" s="24" t="s">
        <v>288</v>
      </c>
      <c r="M48" s="8"/>
      <c r="N48" s="265"/>
    </row>
    <row r="49" spans="1:14" s="3" customFormat="1" ht="12.2" customHeight="1" x14ac:dyDescent="0.15">
      <c r="A49" s="1" t="s">
        <v>859</v>
      </c>
      <c r="B49" s="2" t="s">
        <v>289</v>
      </c>
      <c r="C49" s="6">
        <v>34</v>
      </c>
      <c r="D49" s="2"/>
      <c r="E49" s="6">
        <v>753</v>
      </c>
      <c r="F49" s="18"/>
      <c r="G49" s="18">
        <v>38389.51</v>
      </c>
      <c r="H49" s="18">
        <v>614499.01</v>
      </c>
      <c r="I49" s="18"/>
      <c r="J49" s="13">
        <f>I455</f>
        <v>0</v>
      </c>
      <c r="K49" s="24"/>
      <c r="L49" s="24"/>
      <c r="M49" s="8"/>
      <c r="N49" s="265"/>
    </row>
    <row r="50" spans="1:14" s="3" customFormat="1" ht="12.2" customHeight="1" thickBot="1" x14ac:dyDescent="0.2">
      <c r="A50" s="29" t="s">
        <v>840</v>
      </c>
      <c r="B50" s="2" t="s">
        <v>289</v>
      </c>
      <c r="C50" s="71">
        <v>35</v>
      </c>
      <c r="D50" s="2" t="s">
        <v>653</v>
      </c>
      <c r="E50" s="6">
        <v>770</v>
      </c>
      <c r="F50" s="18">
        <v>639361.46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984361.46</v>
      </c>
      <c r="G51" s="41">
        <f>SUM(G35:G50)</f>
        <v>201306.65000000002</v>
      </c>
      <c r="H51" s="41">
        <f>SUM(H35:H50)</f>
        <v>619128.87</v>
      </c>
      <c r="I51" s="41">
        <f>SUM(I35:I50)</f>
        <v>0</v>
      </c>
      <c r="J51" s="41">
        <f>SUM(J35:J50)</f>
        <v>1252079.23</v>
      </c>
      <c r="K51" s="45" t="s">
        <v>288</v>
      </c>
      <c r="L51" s="45" t="s">
        <v>288</v>
      </c>
      <c r="N51" s="263"/>
    </row>
    <row r="52" spans="1:14" s="3" customFormat="1" ht="12.2" customHeight="1" thickTop="1" x14ac:dyDescent="0.15">
      <c r="A52" s="38" t="s">
        <v>455</v>
      </c>
      <c r="B52" s="39" t="s">
        <v>289</v>
      </c>
      <c r="C52" s="6">
        <v>37</v>
      </c>
      <c r="D52" s="39" t="s">
        <v>653</v>
      </c>
      <c r="E52" s="39"/>
      <c r="F52" s="41">
        <f>F51+F32</f>
        <v>1367969.48</v>
      </c>
      <c r="G52" s="41">
        <f>G51+G32</f>
        <v>323259.15000000002</v>
      </c>
      <c r="H52" s="41">
        <f>H51+H32</f>
        <v>665953.41</v>
      </c>
      <c r="I52" s="41">
        <f>I51+I32</f>
        <v>0</v>
      </c>
      <c r="J52" s="41">
        <f>J51+J32</f>
        <v>1252079.23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7084557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7084557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13810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13810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v>1203.03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106797.1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6360</v>
      </c>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12096.06</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18456.059999999998</v>
      </c>
      <c r="G111" s="41">
        <f>SUM(G96:G110)</f>
        <v>106797.1</v>
      </c>
      <c r="H111" s="41">
        <f>SUM(H96:H110)</f>
        <v>0</v>
      </c>
      <c r="I111" s="41">
        <f>SUM(I96:I110)</f>
        <v>0</v>
      </c>
      <c r="J111" s="41">
        <f>SUM(J96:J110)</f>
        <v>1203.03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7116823.0599999996</v>
      </c>
      <c r="G112" s="41">
        <f>G60+G111</f>
        <v>106797.1</v>
      </c>
      <c r="H112" s="41">
        <f>H60+H79+H94+H111</f>
        <v>0</v>
      </c>
      <c r="I112" s="41">
        <f>I60+I111</f>
        <v>0</v>
      </c>
      <c r="J112" s="41">
        <f>J60+J111</f>
        <v>1203.03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6295433.5800000001</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1016448</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3990.42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7315872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144262.51999999999</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8678.7999999999993</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1903.14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v>4300</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152941.31999999998</v>
      </c>
      <c r="G136" s="41">
        <f>SUM(G123:G135)</f>
        <v>1903.14</v>
      </c>
      <c r="H136" s="41">
        <f>SUM(H123:H135)</f>
        <v>4300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7468813.3200000003</v>
      </c>
      <c r="G140" s="41">
        <f>G121+SUM(G136:G137)</f>
        <v>1903.14</v>
      </c>
      <c r="H140" s="41">
        <f>H121+SUM(H136:H139)</f>
        <v>4300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464758.36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33479.300000000003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601011.53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38362.769999999997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51481.36</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40957.879999999997</v>
      </c>
      <c r="H161" s="18">
        <v>23118.04</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1069288.26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51481.36</v>
      </c>
      <c r="G163" s="41">
        <f>SUM(G150:G162)</f>
        <v>641969.41</v>
      </c>
      <c r="H163" s="41">
        <f>SUM(H150:H162)</f>
        <v>1629006.73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51481.36</v>
      </c>
      <c r="G170" s="41">
        <f>G147+G163+SUM(G164:G169)</f>
        <v>641969.41</v>
      </c>
      <c r="H170" s="41">
        <f>H147+H163+SUM(H164:H169)</f>
        <v>1629006.73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14637117.739999998</v>
      </c>
      <c r="G194" s="47">
        <f>G112+G140+G170+G193</f>
        <v>750669.65</v>
      </c>
      <c r="H194" s="47">
        <f>H112+H140+H170+H193</f>
        <v>1633306.73</v>
      </c>
      <c r="I194" s="47">
        <f>I112+I140+I170+I193</f>
        <v>0</v>
      </c>
      <c r="J194" s="47">
        <f>J112+J140+J193</f>
        <v>1203.03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2032465.5</v>
      </c>
      <c r="G198" s="18">
        <v>1122986.8899999999</v>
      </c>
      <c r="H198" s="18">
        <v>12987.23</v>
      </c>
      <c r="I198" s="18">
        <v>43275.519999999997</v>
      </c>
      <c r="J198" s="18">
        <v>6653.75</v>
      </c>
      <c r="K198" s="18"/>
      <c r="L198" s="19">
        <f>SUM(F198:K198)</f>
        <v>3218368.8899999997</v>
      </c>
      <c r="M198" s="8"/>
      <c r="N198" s="265"/>
    </row>
    <row r="199" spans="1:14" s="3" customFormat="1" ht="12.2" customHeight="1" x14ac:dyDescent="0.15">
      <c r="A199" s="1" t="s">
        <v>439</v>
      </c>
      <c r="B199" s="2" t="s">
        <v>341</v>
      </c>
      <c r="C199" s="2" t="s">
        <v>291</v>
      </c>
      <c r="D199" s="2" t="s">
        <v>431</v>
      </c>
      <c r="E199" s="6">
        <v>1200</v>
      </c>
      <c r="F199" s="18">
        <v>1283304.6000000001</v>
      </c>
      <c r="G199" s="18">
        <v>446895.37</v>
      </c>
      <c r="H199" s="18">
        <v>499184.98</v>
      </c>
      <c r="I199" s="18">
        <v>8569.52</v>
      </c>
      <c r="J199" s="18">
        <v>39.979999999999997</v>
      </c>
      <c r="K199" s="18">
        <v>4760.74</v>
      </c>
      <c r="L199" s="19">
        <f>SUM(F199:K199)</f>
        <v>2242755.1900000004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46016.21</v>
      </c>
      <c r="G201" s="18">
        <v>16910.97</v>
      </c>
      <c r="H201" s="18">
        <v>4324.21</v>
      </c>
      <c r="I201" s="18">
        <v>3598.43</v>
      </c>
      <c r="J201" s="18">
        <v>239.8</v>
      </c>
      <c r="K201" s="18">
        <v>892</v>
      </c>
      <c r="L201" s="19">
        <f>SUM(F201:K201)</f>
        <v>71981.62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444220.85</v>
      </c>
      <c r="G203" s="18">
        <v>215570.94</v>
      </c>
      <c r="H203" s="18">
        <v>95224.1</v>
      </c>
      <c r="I203" s="18">
        <v>2940.73</v>
      </c>
      <c r="J203" s="18"/>
      <c r="K203" s="18"/>
      <c r="L203" s="19">
        <f t="shared" ref="L203:L209" si="0">SUM(F203:K203)</f>
        <v>757956.62</v>
      </c>
      <c r="M203" s="8"/>
      <c r="N203" s="265"/>
    </row>
    <row r="204" spans="1:14" s="3" customFormat="1" ht="12.2" customHeight="1" x14ac:dyDescent="0.15">
      <c r="A204" s="1" t="s">
        <v>443</v>
      </c>
      <c r="B204" s="2" t="s">
        <v>341</v>
      </c>
      <c r="C204" s="2" t="s">
        <v>295</v>
      </c>
      <c r="D204" s="2" t="s">
        <v>431</v>
      </c>
      <c r="E204" s="6">
        <v>2200</v>
      </c>
      <c r="F204" s="18">
        <v>114599.7</v>
      </c>
      <c r="G204" s="18">
        <v>76659.360000000001</v>
      </c>
      <c r="H204" s="18">
        <v>13128.35</v>
      </c>
      <c r="I204" s="18">
        <v>81638.559999999998</v>
      </c>
      <c r="J204" s="18"/>
      <c r="K204" s="18"/>
      <c r="L204" s="19">
        <f t="shared" si="0"/>
        <v>286025.96999999997</v>
      </c>
      <c r="M204" s="8"/>
      <c r="N204" s="265"/>
    </row>
    <row r="205" spans="1:14" s="3" customFormat="1" ht="12.2" customHeight="1" x14ac:dyDescent="0.15">
      <c r="A205" s="1" t="s">
        <v>444</v>
      </c>
      <c r="B205" s="2" t="s">
        <v>341</v>
      </c>
      <c r="C205" s="2" t="s">
        <v>296</v>
      </c>
      <c r="D205" s="2" t="s">
        <v>431</v>
      </c>
      <c r="E205" s="6">
        <v>2300</v>
      </c>
      <c r="F205" s="18">
        <v>296507.09999999998</v>
      </c>
      <c r="G205" s="18">
        <v>120443.64</v>
      </c>
      <c r="H205" s="18">
        <v>82115.5</v>
      </c>
      <c r="I205" s="18"/>
      <c r="J205" s="18"/>
      <c r="K205" s="18">
        <v>5993.01</v>
      </c>
      <c r="L205" s="19">
        <f t="shared" si="0"/>
        <v>505059.25</v>
      </c>
      <c r="M205" s="8"/>
      <c r="N205" s="265"/>
    </row>
    <row r="206" spans="1:14" s="3" customFormat="1" ht="12.2" customHeight="1" x14ac:dyDescent="0.15">
      <c r="A206" s="1" t="s">
        <v>445</v>
      </c>
      <c r="B206" s="2" t="s">
        <v>341</v>
      </c>
      <c r="C206" s="2" t="s">
        <v>297</v>
      </c>
      <c r="D206" s="2" t="s">
        <v>431</v>
      </c>
      <c r="E206" s="6">
        <v>2400</v>
      </c>
      <c r="F206" s="18">
        <v>460728.77</v>
      </c>
      <c r="G206" s="18">
        <v>221447.62</v>
      </c>
      <c r="H206" s="18">
        <v>20202.330000000002</v>
      </c>
      <c r="I206" s="18">
        <v>1234.73</v>
      </c>
      <c r="J206" s="18"/>
      <c r="K206" s="18">
        <v>1315</v>
      </c>
      <c r="L206" s="19">
        <f t="shared" si="0"/>
        <v>704928.45</v>
      </c>
      <c r="M206" s="8"/>
      <c r="N206" s="265"/>
    </row>
    <row r="207" spans="1:14" s="3" customFormat="1" ht="12.2" customHeight="1" x14ac:dyDescent="0.15">
      <c r="A207" s="1" t="s">
        <v>446</v>
      </c>
      <c r="B207" s="2" t="s">
        <v>341</v>
      </c>
      <c r="C207" s="2" t="s">
        <v>298</v>
      </c>
      <c r="D207" s="2" t="s">
        <v>431</v>
      </c>
      <c r="E207" s="6">
        <v>2500</v>
      </c>
      <c r="F207" s="18">
        <v>134396.63</v>
      </c>
      <c r="G207" s="18">
        <v>64233.79</v>
      </c>
      <c r="H207" s="18">
        <v>19697.490000000002</v>
      </c>
      <c r="I207" s="18">
        <v>4626.7299999999996</v>
      </c>
      <c r="J207" s="18"/>
      <c r="K207" s="18">
        <v>827.75</v>
      </c>
      <c r="L207" s="19">
        <f t="shared" si="0"/>
        <v>223782.39</v>
      </c>
      <c r="M207" s="8"/>
      <c r="N207" s="265"/>
    </row>
    <row r="208" spans="1:14" s="3" customFormat="1" ht="12.2" customHeight="1" x14ac:dyDescent="0.15">
      <c r="A208" s="1" t="s">
        <v>447</v>
      </c>
      <c r="B208" s="2" t="s">
        <v>341</v>
      </c>
      <c r="C208" s="2" t="s">
        <v>299</v>
      </c>
      <c r="D208" s="2" t="s">
        <v>431</v>
      </c>
      <c r="E208" s="6">
        <v>2600</v>
      </c>
      <c r="F208" s="18">
        <v>435023.61</v>
      </c>
      <c r="G208" s="18">
        <v>174878.04</v>
      </c>
      <c r="H208" s="18">
        <v>185470.51</v>
      </c>
      <c r="I208" s="18">
        <v>278948.59000000003</v>
      </c>
      <c r="J208" s="18">
        <v>33760.800000000003</v>
      </c>
      <c r="K208" s="18"/>
      <c r="L208" s="19">
        <f t="shared" si="0"/>
        <v>1108081.55</v>
      </c>
      <c r="M208" s="8"/>
      <c r="N208" s="265"/>
    </row>
    <row r="209" spans="1:14" s="3" customFormat="1" ht="12.2" customHeight="1" x14ac:dyDescent="0.15">
      <c r="A209" s="1" t="s">
        <v>448</v>
      </c>
      <c r="B209" s="2" t="s">
        <v>341</v>
      </c>
      <c r="C209" s="2" t="s">
        <v>300</v>
      </c>
      <c r="D209" s="2" t="s">
        <v>431</v>
      </c>
      <c r="E209" s="6">
        <v>2700</v>
      </c>
      <c r="F209" s="18">
        <v>188177.93</v>
      </c>
      <c r="G209" s="18">
        <v>51753.760000000002</v>
      </c>
      <c r="H209" s="18">
        <v>67871.210000000006</v>
      </c>
      <c r="I209" s="18">
        <v>29262.86</v>
      </c>
      <c r="J209" s="18">
        <v>1078</v>
      </c>
      <c r="K209" s="18">
        <v>1329.31</v>
      </c>
      <c r="L209" s="19">
        <f t="shared" si="0"/>
        <v>339473.07</v>
      </c>
      <c r="M209" s="8"/>
      <c r="N209" s="265"/>
    </row>
    <row r="210" spans="1:14" s="3" customFormat="1" ht="12.2" customHeight="1" x14ac:dyDescent="0.15">
      <c r="A210" s="1" t="s">
        <v>449</v>
      </c>
      <c r="B210" s="2" t="s">
        <v>341</v>
      </c>
      <c r="C210" s="2" t="s">
        <v>343</v>
      </c>
      <c r="D210" s="2" t="s">
        <v>431</v>
      </c>
      <c r="E210" s="6">
        <v>2800</v>
      </c>
      <c r="F210" s="18">
        <v>38457.49</v>
      </c>
      <c r="G210" s="18">
        <v>14906.98</v>
      </c>
      <c r="H210" s="18">
        <v>37282.53</v>
      </c>
      <c r="I210" s="18">
        <v>41051.660000000003</v>
      </c>
      <c r="J210" s="18">
        <v>6702.86</v>
      </c>
      <c r="K210" s="18"/>
      <c r="L210" s="19">
        <f>SUM(F210:K210)</f>
        <v>138401.51999999999</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5473898.3900000006</v>
      </c>
      <c r="G212" s="41">
        <f t="shared" si="1"/>
        <v>2526687.3599999994</v>
      </c>
      <c r="H212" s="41">
        <f t="shared" si="1"/>
        <v>1037488.44</v>
      </c>
      <c r="I212" s="41">
        <f t="shared" si="1"/>
        <v>495147.33000000007</v>
      </c>
      <c r="J212" s="41">
        <f t="shared" si="1"/>
        <v>48475.19</v>
      </c>
      <c r="K212" s="41">
        <f t="shared" si="1"/>
        <v>15117.81</v>
      </c>
      <c r="L212" s="41">
        <f t="shared" si="1"/>
        <v>9596814.5199999996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957121.93</v>
      </c>
      <c r="G234" s="18">
        <v>470695.18</v>
      </c>
      <c r="H234" s="18">
        <v>25955.19</v>
      </c>
      <c r="I234" s="18">
        <v>25898.31</v>
      </c>
      <c r="J234" s="18">
        <v>1797.05</v>
      </c>
      <c r="K234" s="18"/>
      <c r="L234" s="19">
        <f>SUM(F234:K234)</f>
        <v>1481467.6600000001</v>
      </c>
      <c r="M234" s="8"/>
      <c r="N234" s="265"/>
    </row>
    <row r="235" spans="1:14" s="3" customFormat="1" ht="12.2" customHeight="1" x14ac:dyDescent="0.15">
      <c r="A235" s="1" t="s">
        <v>439</v>
      </c>
      <c r="B235" s="2" t="s">
        <v>350</v>
      </c>
      <c r="C235" s="2" t="s">
        <v>291</v>
      </c>
      <c r="D235" s="2" t="s">
        <v>431</v>
      </c>
      <c r="E235" s="6">
        <v>1200</v>
      </c>
      <c r="F235" s="18">
        <v>252882.44</v>
      </c>
      <c r="G235" s="18">
        <v>82967.009999999995</v>
      </c>
      <c r="H235" s="18">
        <v>627017.74</v>
      </c>
      <c r="I235" s="18">
        <v>4689.5200000000004</v>
      </c>
      <c r="J235" s="18">
        <v>4258</v>
      </c>
      <c r="K235" s="18">
        <v>2040.32</v>
      </c>
      <c r="L235" s="19">
        <f>SUM(F235:K235)</f>
        <v>973855.02999999991</v>
      </c>
      <c r="M235" s="8"/>
      <c r="N235" s="265"/>
    </row>
    <row r="236" spans="1:14" s="3" customFormat="1" ht="12.2" customHeight="1" x14ac:dyDescent="0.15">
      <c r="A236" s="1" t="s">
        <v>440</v>
      </c>
      <c r="B236" s="2" t="s">
        <v>350</v>
      </c>
      <c r="C236" s="2" t="s">
        <v>292</v>
      </c>
      <c r="D236" s="2" t="s">
        <v>431</v>
      </c>
      <c r="E236" s="6">
        <v>1300</v>
      </c>
      <c r="F236" s="18"/>
      <c r="G236" s="18"/>
      <c r="H236" s="18">
        <v>56834.96</v>
      </c>
      <c r="I236" s="18"/>
      <c r="J236" s="18"/>
      <c r="K236" s="18"/>
      <c r="L236" s="19">
        <f>SUM(F236:K236)</f>
        <v>56834.96</v>
      </c>
      <c r="M236" s="8"/>
      <c r="N236" s="265"/>
    </row>
    <row r="237" spans="1:14" s="3" customFormat="1" ht="12.2" customHeight="1" x14ac:dyDescent="0.15">
      <c r="A237" s="1" t="s">
        <v>441</v>
      </c>
      <c r="B237" s="2" t="s">
        <v>350</v>
      </c>
      <c r="C237" s="2" t="s">
        <v>293</v>
      </c>
      <c r="D237" s="2" t="s">
        <v>431</v>
      </c>
      <c r="E237" s="6">
        <v>1400</v>
      </c>
      <c r="F237" s="18">
        <v>86851.68</v>
      </c>
      <c r="G237" s="18">
        <v>39358.86</v>
      </c>
      <c r="H237" s="18">
        <v>22280.9</v>
      </c>
      <c r="I237" s="18">
        <v>8687.36</v>
      </c>
      <c r="J237" s="18">
        <v>795.6</v>
      </c>
      <c r="K237" s="18">
        <v>3758</v>
      </c>
      <c r="L237" s="19">
        <f>SUM(F237:K237)</f>
        <v>161732.4</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200551.97</v>
      </c>
      <c r="G239" s="18">
        <v>64926.720000000001</v>
      </c>
      <c r="H239" s="18">
        <v>40922.199999999997</v>
      </c>
      <c r="I239" s="18">
        <v>1942.02</v>
      </c>
      <c r="J239" s="18">
        <v>136.91</v>
      </c>
      <c r="K239" s="18"/>
      <c r="L239" s="19">
        <f t="shared" ref="L239:L245" si="4">SUM(F239:K239)</f>
        <v>308479.82</v>
      </c>
      <c r="M239" s="8"/>
      <c r="N239" s="265"/>
    </row>
    <row r="240" spans="1:14" s="3" customFormat="1" ht="12.2" customHeight="1" x14ac:dyDescent="0.15">
      <c r="A240" s="1" t="s">
        <v>443</v>
      </c>
      <c r="B240" s="2" t="s">
        <v>350</v>
      </c>
      <c r="C240" s="2" t="s">
        <v>295</v>
      </c>
      <c r="D240" s="2" t="s">
        <v>431</v>
      </c>
      <c r="E240" s="6">
        <v>2200</v>
      </c>
      <c r="F240" s="18">
        <v>67226.92</v>
      </c>
      <c r="G240" s="18">
        <v>46072.26</v>
      </c>
      <c r="H240" s="18">
        <v>14853.16</v>
      </c>
      <c r="I240" s="18">
        <v>34500.370000000003</v>
      </c>
      <c r="J240" s="18">
        <v>101.88</v>
      </c>
      <c r="K240" s="18">
        <v>175</v>
      </c>
      <c r="L240" s="19">
        <f t="shared" si="4"/>
        <v>162929.59</v>
      </c>
      <c r="M240" s="8"/>
      <c r="N240" s="265"/>
    </row>
    <row r="241" spans="1:14" s="3" customFormat="1" ht="12.2" customHeight="1" x14ac:dyDescent="0.15">
      <c r="A241" s="1" t="s">
        <v>444</v>
      </c>
      <c r="B241" s="2" t="s">
        <v>350</v>
      </c>
      <c r="C241" s="2" t="s">
        <v>296</v>
      </c>
      <c r="D241" s="2" t="s">
        <v>431</v>
      </c>
      <c r="E241" s="6">
        <v>2300</v>
      </c>
      <c r="F241" s="18">
        <v>127074.47</v>
      </c>
      <c r="G241" s="18">
        <v>51618.71</v>
      </c>
      <c r="H241" s="18">
        <v>35192.36</v>
      </c>
      <c r="I241" s="18"/>
      <c r="J241" s="18"/>
      <c r="K241" s="18">
        <v>2568.4299999999998</v>
      </c>
      <c r="L241" s="19">
        <f t="shared" si="4"/>
        <v>216453.96999999997</v>
      </c>
      <c r="M241" s="8"/>
      <c r="N241" s="265"/>
    </row>
    <row r="242" spans="1:14" s="3" customFormat="1" ht="12.2" customHeight="1" x14ac:dyDescent="0.15">
      <c r="A242" s="1" t="s">
        <v>445</v>
      </c>
      <c r="B242" s="2" t="s">
        <v>350</v>
      </c>
      <c r="C242" s="2" t="s">
        <v>297</v>
      </c>
      <c r="D242" s="2" t="s">
        <v>431</v>
      </c>
      <c r="E242" s="6">
        <v>2400</v>
      </c>
      <c r="F242" s="18">
        <v>220410.55</v>
      </c>
      <c r="G242" s="18">
        <v>108692.66</v>
      </c>
      <c r="H242" s="18">
        <v>12281</v>
      </c>
      <c r="I242" s="18">
        <v>1242.56</v>
      </c>
      <c r="J242" s="18">
        <v>416.01</v>
      </c>
      <c r="K242" s="18">
        <v>8953.0499999999993</v>
      </c>
      <c r="L242" s="19">
        <f t="shared" si="4"/>
        <v>351995.82999999996</v>
      </c>
      <c r="M242" s="8"/>
      <c r="N242" s="265"/>
    </row>
    <row r="243" spans="1:14" s="3" customFormat="1" ht="12.2" customHeight="1" x14ac:dyDescent="0.15">
      <c r="A243" s="1" t="s">
        <v>446</v>
      </c>
      <c r="B243" s="2" t="s">
        <v>350</v>
      </c>
      <c r="C243" s="2" t="s">
        <v>298</v>
      </c>
      <c r="D243" s="2" t="s">
        <v>431</v>
      </c>
      <c r="E243" s="6">
        <v>2500</v>
      </c>
      <c r="F243" s="18">
        <v>57598.55</v>
      </c>
      <c r="G243" s="18">
        <v>27528.77</v>
      </c>
      <c r="H243" s="18">
        <v>8441.7800000000007</v>
      </c>
      <c r="I243" s="18">
        <v>1982.89</v>
      </c>
      <c r="J243" s="18"/>
      <c r="K243" s="18">
        <v>354.75</v>
      </c>
      <c r="L243" s="19">
        <f t="shared" si="4"/>
        <v>95906.74</v>
      </c>
      <c r="M243" s="8"/>
      <c r="N243" s="265"/>
    </row>
    <row r="244" spans="1:14" s="3" customFormat="1" ht="12.2" customHeight="1" x14ac:dyDescent="0.15">
      <c r="A244" s="1" t="s">
        <v>447</v>
      </c>
      <c r="B244" s="2" t="s">
        <v>350</v>
      </c>
      <c r="C244" s="2" t="s">
        <v>299</v>
      </c>
      <c r="D244" s="2" t="s">
        <v>431</v>
      </c>
      <c r="E244" s="6">
        <v>2600</v>
      </c>
      <c r="F244" s="18">
        <v>187909.72</v>
      </c>
      <c r="G244" s="18">
        <v>86389.38</v>
      </c>
      <c r="H244" s="18">
        <v>121778.54</v>
      </c>
      <c r="I244" s="18">
        <v>174489.08</v>
      </c>
      <c r="J244" s="18">
        <v>128.36000000000001</v>
      </c>
      <c r="K244" s="18"/>
      <c r="L244" s="19">
        <f t="shared" si="4"/>
        <v>570695.07999999996</v>
      </c>
      <c r="M244" s="8"/>
      <c r="N244" s="265"/>
    </row>
    <row r="245" spans="1:14" s="3" customFormat="1" ht="12.2" customHeight="1" x14ac:dyDescent="0.15">
      <c r="A245" s="1" t="s">
        <v>448</v>
      </c>
      <c r="B245" s="2" t="s">
        <v>350</v>
      </c>
      <c r="C245" s="2" t="s">
        <v>300</v>
      </c>
      <c r="D245" s="2" t="s">
        <v>431</v>
      </c>
      <c r="E245" s="6">
        <v>2700</v>
      </c>
      <c r="F245" s="18">
        <v>103241.99</v>
      </c>
      <c r="G245" s="18">
        <v>22180.18</v>
      </c>
      <c r="H245" s="18">
        <v>29087.66</v>
      </c>
      <c r="I245" s="18">
        <v>12541.23</v>
      </c>
      <c r="J245" s="18">
        <v>462</v>
      </c>
      <c r="K245" s="18">
        <v>569.70000000000005</v>
      </c>
      <c r="L245" s="19">
        <f t="shared" si="4"/>
        <v>168082.76000000004</v>
      </c>
      <c r="M245" s="8"/>
      <c r="N245" s="265"/>
    </row>
    <row r="246" spans="1:14" s="3" customFormat="1" ht="12.2" customHeight="1" x14ac:dyDescent="0.15">
      <c r="A246" s="1" t="s">
        <v>449</v>
      </c>
      <c r="B246" s="2" t="s">
        <v>350</v>
      </c>
      <c r="C246" s="2" t="s">
        <v>343</v>
      </c>
      <c r="D246" s="2" t="s">
        <v>431</v>
      </c>
      <c r="E246" s="6">
        <v>2800</v>
      </c>
      <c r="F246" s="18">
        <v>16481.78</v>
      </c>
      <c r="G246" s="18">
        <v>6388.7</v>
      </c>
      <c r="H246" s="18">
        <v>15978.23</v>
      </c>
      <c r="I246" s="18">
        <v>17593.57</v>
      </c>
      <c r="J246" s="18">
        <v>2872.66</v>
      </c>
      <c r="K246" s="18"/>
      <c r="L246" s="19">
        <f>SUM(F246:K246)</f>
        <v>59314.94</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2277352</v>
      </c>
      <c r="G248" s="41">
        <f t="shared" si="5"/>
        <v>1006818.4299999999</v>
      </c>
      <c r="H248" s="41">
        <f t="shared" si="5"/>
        <v>1010623.72</v>
      </c>
      <c r="I248" s="41">
        <f t="shared" si="5"/>
        <v>283566.90999999997</v>
      </c>
      <c r="J248" s="41">
        <f t="shared" si="5"/>
        <v>10968.470000000001</v>
      </c>
      <c r="K248" s="41">
        <f t="shared" si="5"/>
        <v>18419.25</v>
      </c>
      <c r="L248" s="41">
        <f t="shared" si="5"/>
        <v>4607748.78</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7751250.3900000006</v>
      </c>
      <c r="G258" s="41">
        <f t="shared" si="8"/>
        <v>3533505.7899999991</v>
      </c>
      <c r="H258" s="41">
        <f t="shared" si="8"/>
        <v>2048112.16</v>
      </c>
      <c r="I258" s="41">
        <f t="shared" si="8"/>
        <v>778714.24</v>
      </c>
      <c r="J258" s="41">
        <f t="shared" si="8"/>
        <v>59443.66</v>
      </c>
      <c r="K258" s="41">
        <f t="shared" si="8"/>
        <v>33537.06</v>
      </c>
      <c r="L258" s="41">
        <f t="shared" si="8"/>
        <v>14204563.300000001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7751250.3900000006</v>
      </c>
      <c r="G272" s="42">
        <f t="shared" si="11"/>
        <v>3533505.7899999991</v>
      </c>
      <c r="H272" s="42">
        <f t="shared" si="11"/>
        <v>2048112.16</v>
      </c>
      <c r="I272" s="42">
        <f t="shared" si="11"/>
        <v>778714.24</v>
      </c>
      <c r="J272" s="42">
        <f t="shared" si="11"/>
        <v>59443.66</v>
      </c>
      <c r="K272" s="42">
        <f t="shared" si="11"/>
        <v>33537.06</v>
      </c>
      <c r="L272" s="42">
        <f t="shared" si="11"/>
        <v>14204563.300000001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233925.77</v>
      </c>
      <c r="G277" s="18">
        <v>124776.44</v>
      </c>
      <c r="H277" s="18">
        <v>69662.710000000006</v>
      </c>
      <c r="I277" s="18">
        <v>84437.14</v>
      </c>
      <c r="J277" s="18"/>
      <c r="K277" s="18"/>
      <c r="L277" s="19">
        <f>SUM(F277:K277)</f>
        <v>512802.06</v>
      </c>
      <c r="M277" s="8"/>
      <c r="N277" s="265"/>
    </row>
    <row r="278" spans="1:14" s="3" customFormat="1" ht="12.2" customHeight="1" x14ac:dyDescent="0.15">
      <c r="A278" s="1" t="s">
        <v>439</v>
      </c>
      <c r="B278" s="2" t="s">
        <v>357</v>
      </c>
      <c r="C278" s="2" t="s">
        <v>291</v>
      </c>
      <c r="D278" s="2" t="s">
        <v>431</v>
      </c>
      <c r="E278" s="6">
        <v>1200</v>
      </c>
      <c r="F278" s="18">
        <v>22495.45</v>
      </c>
      <c r="G278" s="18">
        <v>10162.49</v>
      </c>
      <c r="H278" s="18">
        <v>3007.85</v>
      </c>
      <c r="I278" s="18">
        <v>8192.77</v>
      </c>
      <c r="J278" s="18"/>
      <c r="K278" s="18"/>
      <c r="L278" s="19">
        <f>SUM(F278:K278)</f>
        <v>43858.559999999998</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987.53</v>
      </c>
      <c r="G282" s="18">
        <v>278.02999999999997</v>
      </c>
      <c r="H282" s="18">
        <v>80018.06</v>
      </c>
      <c r="I282" s="18"/>
      <c r="J282" s="18"/>
      <c r="K282" s="18"/>
      <c r="L282" s="19">
        <f t="shared" ref="L282:L288" si="12">SUM(F282:K282)</f>
        <v>81283.62</v>
      </c>
      <c r="M282" s="8"/>
      <c r="N282" s="265"/>
    </row>
    <row r="283" spans="1:14" s="3" customFormat="1" ht="12.2" customHeight="1" x14ac:dyDescent="0.15">
      <c r="A283" s="1" t="s">
        <v>443</v>
      </c>
      <c r="B283" s="2" t="s">
        <v>357</v>
      </c>
      <c r="C283" s="2" t="s">
        <v>295</v>
      </c>
      <c r="D283" s="2" t="s">
        <v>431</v>
      </c>
      <c r="E283" s="6">
        <v>2200</v>
      </c>
      <c r="F283" s="18">
        <v>23359.97</v>
      </c>
      <c r="G283" s="18">
        <v>6361.62</v>
      </c>
      <c r="H283" s="18">
        <v>17299.349999999999</v>
      </c>
      <c r="I283" s="18"/>
      <c r="J283" s="18"/>
      <c r="K283" s="18"/>
      <c r="L283" s="19">
        <f t="shared" si="12"/>
        <v>47020.94</v>
      </c>
      <c r="M283" s="8"/>
      <c r="N283" s="265"/>
    </row>
    <row r="284" spans="1:14" s="3" customFormat="1" ht="12.2" customHeight="1" x14ac:dyDescent="0.15">
      <c r="A284" s="1" t="s">
        <v>444</v>
      </c>
      <c r="B284" s="2" t="s">
        <v>357</v>
      </c>
      <c r="C284" s="2" t="s">
        <v>296</v>
      </c>
      <c r="D284" s="2" t="s">
        <v>431</v>
      </c>
      <c r="E284" s="6">
        <v>2300</v>
      </c>
      <c r="F284" s="18">
        <v>24585.759999999998</v>
      </c>
      <c r="G284" s="18">
        <v>2772.95</v>
      </c>
      <c r="H284" s="18">
        <v>0</v>
      </c>
      <c r="I284" s="18">
        <v>0</v>
      </c>
      <c r="J284" s="18"/>
      <c r="K284" s="18"/>
      <c r="L284" s="19">
        <f t="shared" si="12"/>
        <v>27358.71</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v>559.99</v>
      </c>
      <c r="K289" s="18"/>
      <c r="L289" s="19">
        <f>SUM(F289:K289)</f>
        <v>559.99</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305354.48</v>
      </c>
      <c r="G291" s="42">
        <f t="shared" si="13"/>
        <v>144351.53</v>
      </c>
      <c r="H291" s="42">
        <f t="shared" si="13"/>
        <v>169987.97</v>
      </c>
      <c r="I291" s="42">
        <f t="shared" si="13"/>
        <v>92629.91</v>
      </c>
      <c r="J291" s="42">
        <f t="shared" si="13"/>
        <v>559.99</v>
      </c>
      <c r="K291" s="42">
        <f t="shared" si="13"/>
        <v>0</v>
      </c>
      <c r="L291" s="41">
        <f t="shared" si="13"/>
        <v>712883.87999999989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70168</v>
      </c>
      <c r="G315" s="18">
        <v>77.930000000000007</v>
      </c>
      <c r="H315" s="18">
        <v>7741.3</v>
      </c>
      <c r="I315" s="18">
        <v>36187.339999999997</v>
      </c>
      <c r="J315" s="18"/>
      <c r="K315" s="18"/>
      <c r="L315" s="19">
        <f>SUM(F315:K315)</f>
        <v>114174.56999999999</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34293.46</v>
      </c>
      <c r="I320" s="18">
        <v>16455</v>
      </c>
      <c r="J320" s="18"/>
      <c r="K320" s="18"/>
      <c r="L320" s="19">
        <f t="shared" ref="L320:L326" si="16">SUM(F320:K320)</f>
        <v>50748.46</v>
      </c>
      <c r="M320" s="8"/>
      <c r="N320" s="265"/>
    </row>
    <row r="321" spans="1:14" s="3" customFormat="1" ht="12.2" customHeight="1" x14ac:dyDescent="0.15">
      <c r="A321" s="1" t="s">
        <v>443</v>
      </c>
      <c r="B321" s="2" t="s">
        <v>359</v>
      </c>
      <c r="C321" s="2" t="s">
        <v>295</v>
      </c>
      <c r="D321" s="2" t="s">
        <v>431</v>
      </c>
      <c r="E321" s="6">
        <v>2200</v>
      </c>
      <c r="F321" s="18"/>
      <c r="G321" s="18">
        <v>0</v>
      </c>
      <c r="H321" s="18">
        <v>7414.01</v>
      </c>
      <c r="I321" s="18"/>
      <c r="J321" s="18"/>
      <c r="K321" s="18"/>
      <c r="L321" s="19">
        <f t="shared" si="16"/>
        <v>7414.01</v>
      </c>
      <c r="M321" s="8"/>
      <c r="N321" s="265"/>
    </row>
    <row r="322" spans="1:14" s="3" customFormat="1" ht="12.2" customHeight="1" x14ac:dyDescent="0.15">
      <c r="A322" s="1" t="s">
        <v>444</v>
      </c>
      <c r="B322" s="2" t="s">
        <v>359</v>
      </c>
      <c r="C322" s="2" t="s">
        <v>296</v>
      </c>
      <c r="D322" s="2" t="s">
        <v>431</v>
      </c>
      <c r="E322" s="6">
        <v>2300</v>
      </c>
      <c r="F322" s="18">
        <v>10535.76</v>
      </c>
      <c r="G322" s="18"/>
      <c r="H322" s="18"/>
      <c r="I322" s="18"/>
      <c r="J322" s="18"/>
      <c r="K322" s="18"/>
      <c r="L322" s="19">
        <f t="shared" si="16"/>
        <v>10535.76</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v>99391.5</v>
      </c>
      <c r="I325" s="18">
        <v>8789.68</v>
      </c>
      <c r="J325" s="18">
        <v>10000</v>
      </c>
      <c r="K325" s="18"/>
      <c r="L325" s="19">
        <f t="shared" si="16"/>
        <v>118181.18</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v>240</v>
      </c>
      <c r="K327" s="18"/>
      <c r="L327" s="19">
        <f>SUM(F327:K327)</f>
        <v>240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80703.759999999995</v>
      </c>
      <c r="G329" s="42">
        <f t="shared" si="17"/>
        <v>77.930000000000007</v>
      </c>
      <c r="H329" s="42">
        <f t="shared" si="17"/>
        <v>148840.27000000002</v>
      </c>
      <c r="I329" s="42">
        <f t="shared" si="17"/>
        <v>61432.02</v>
      </c>
      <c r="J329" s="42">
        <f t="shared" si="17"/>
        <v>10240</v>
      </c>
      <c r="K329" s="42">
        <f t="shared" si="17"/>
        <v>0</v>
      </c>
      <c r="L329" s="41">
        <f t="shared" si="17"/>
        <v>301293.98</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386058.23999999999</v>
      </c>
      <c r="G339" s="41">
        <f t="shared" si="20"/>
        <v>144429.46</v>
      </c>
      <c r="H339" s="41">
        <f t="shared" si="20"/>
        <v>318828.24</v>
      </c>
      <c r="I339" s="41">
        <f t="shared" si="20"/>
        <v>154061.93</v>
      </c>
      <c r="J339" s="41">
        <f t="shared" si="20"/>
        <v>10799.99</v>
      </c>
      <c r="K339" s="41">
        <f t="shared" si="20"/>
        <v>0</v>
      </c>
      <c r="L339" s="41">
        <f t="shared" si="20"/>
        <v>1014177.8599999999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386058.23999999999</v>
      </c>
      <c r="G353" s="41">
        <f>G339</f>
        <v>144429.46</v>
      </c>
      <c r="H353" s="41">
        <f>H339</f>
        <v>318828.24</v>
      </c>
      <c r="I353" s="41">
        <f>I339</f>
        <v>154061.93</v>
      </c>
      <c r="J353" s="41">
        <f>J339</f>
        <v>10799.99</v>
      </c>
      <c r="K353" s="47">
        <f>K339+K352</f>
        <v>0</v>
      </c>
      <c r="L353" s="41">
        <f>L339+L352</f>
        <v>1014177.8599999999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388507</v>
      </c>
      <c r="I359" s="18"/>
      <c r="J359" s="18"/>
      <c r="K359" s="18"/>
      <c r="L359" s="13">
        <f>SUM(F359:K359)</f>
        <v>388507</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v>166503</v>
      </c>
      <c r="I361" s="18"/>
      <c r="J361" s="18"/>
      <c r="K361" s="18"/>
      <c r="L361" s="19">
        <f>SUM(F361:K361)</f>
        <v>166503</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555010</v>
      </c>
      <c r="I363" s="47">
        <f t="shared" si="22"/>
        <v>0</v>
      </c>
      <c r="J363" s="47">
        <f t="shared" si="22"/>
        <v>0</v>
      </c>
      <c r="K363" s="47">
        <f t="shared" si="22"/>
        <v>0</v>
      </c>
      <c r="L363" s="47">
        <f t="shared" si="22"/>
        <v>555010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v>460.87</v>
      </c>
      <c r="I390" s="18"/>
      <c r="J390" s="24" t="s">
        <v>288</v>
      </c>
      <c r="K390" s="24" t="s">
        <v>288</v>
      </c>
      <c r="L390" s="56">
        <f t="shared" si="25"/>
        <v>460.87</v>
      </c>
      <c r="M390" s="8"/>
      <c r="N390" s="265"/>
    </row>
    <row r="391" spans="1:14" s="3" customFormat="1" ht="12.2" customHeight="1" x14ac:dyDescent="0.15">
      <c r="A391" s="79" t="s">
        <v>553</v>
      </c>
      <c r="B391" s="2" t="s">
        <v>381</v>
      </c>
      <c r="C391" s="6">
        <v>4</v>
      </c>
      <c r="D391" s="2" t="s">
        <v>432</v>
      </c>
      <c r="E391" s="6"/>
      <c r="F391" s="18"/>
      <c r="G391" s="18"/>
      <c r="H391" s="18">
        <v>163.55000000000001</v>
      </c>
      <c r="I391" s="18"/>
      <c r="J391" s="24" t="s">
        <v>288</v>
      </c>
      <c r="K391" s="24" t="s">
        <v>288</v>
      </c>
      <c r="L391" s="56">
        <f t="shared" si="25"/>
        <v>163.55000000000001</v>
      </c>
      <c r="M391" s="8"/>
      <c r="N391" s="265"/>
    </row>
    <row r="392" spans="1:14" s="3" customFormat="1" ht="12.2" customHeight="1" x14ac:dyDescent="0.15">
      <c r="A392" s="79" t="s">
        <v>554</v>
      </c>
      <c r="B392" s="2" t="s">
        <v>381</v>
      </c>
      <c r="C392" s="6">
        <v>5</v>
      </c>
      <c r="D392" s="2" t="s">
        <v>432</v>
      </c>
      <c r="E392" s="6"/>
      <c r="F392" s="18"/>
      <c r="G392" s="18"/>
      <c r="H392" s="18">
        <v>11.88</v>
      </c>
      <c r="I392" s="18"/>
      <c r="J392" s="24" t="s">
        <v>288</v>
      </c>
      <c r="K392" s="24" t="s">
        <v>288</v>
      </c>
      <c r="L392" s="56">
        <f t="shared" si="25"/>
        <v>11.88</v>
      </c>
      <c r="M392" s="8"/>
      <c r="N392" s="265"/>
    </row>
    <row r="393" spans="1:14" s="3" customFormat="1" ht="12.2" customHeight="1" thickBot="1" x14ac:dyDescent="0.2">
      <c r="A393" s="79" t="s">
        <v>555</v>
      </c>
      <c r="B393" s="2" t="s">
        <v>381</v>
      </c>
      <c r="C393" s="6">
        <v>6</v>
      </c>
      <c r="D393" s="2" t="s">
        <v>432</v>
      </c>
      <c r="E393" s="6"/>
      <c r="F393" s="18"/>
      <c r="G393" s="18"/>
      <c r="H393" s="18">
        <v>60.64</v>
      </c>
      <c r="I393" s="18"/>
      <c r="J393" s="24" t="s">
        <v>288</v>
      </c>
      <c r="K393" s="24" t="s">
        <v>288</v>
      </c>
      <c r="L393" s="56">
        <f t="shared" si="25"/>
        <v>60.64</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696.94</v>
      </c>
      <c r="I394" s="65">
        <f>SUM(I388:I393)</f>
        <v>0</v>
      </c>
      <c r="J394" s="45" t="s">
        <v>288</v>
      </c>
      <c r="K394" s="45" t="s">
        <v>288</v>
      </c>
      <c r="L394" s="47">
        <f>SUM(L388:L393)</f>
        <v>696.94</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176.56</v>
      </c>
      <c r="I397" s="18"/>
      <c r="J397" s="24" t="s">
        <v>288</v>
      </c>
      <c r="K397" s="24" t="s">
        <v>288</v>
      </c>
      <c r="L397" s="56">
        <f t="shared" si="26"/>
        <v>176.56</v>
      </c>
      <c r="M397" s="8"/>
      <c r="N397" s="265"/>
    </row>
    <row r="398" spans="1:14" s="3" customFormat="1" ht="12.2" customHeight="1" x14ac:dyDescent="0.15">
      <c r="A398" s="79" t="s">
        <v>515</v>
      </c>
      <c r="B398" s="2" t="s">
        <v>381</v>
      </c>
      <c r="C398" s="6">
        <v>10</v>
      </c>
      <c r="D398" s="2" t="s">
        <v>432</v>
      </c>
      <c r="E398" s="6"/>
      <c r="F398" s="18"/>
      <c r="G398" s="18"/>
      <c r="H398" s="18">
        <v>208.87</v>
      </c>
      <c r="I398" s="18"/>
      <c r="J398" s="24" t="s">
        <v>288</v>
      </c>
      <c r="K398" s="24" t="s">
        <v>288</v>
      </c>
      <c r="L398" s="56">
        <f t="shared" si="26"/>
        <v>208.87</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v>120.11</v>
      </c>
      <c r="I400" s="18"/>
      <c r="J400" s="24" t="s">
        <v>288</v>
      </c>
      <c r="K400" s="24" t="s">
        <v>288</v>
      </c>
      <c r="L400" s="56">
        <f t="shared" si="26"/>
        <v>120.11</v>
      </c>
      <c r="M400" s="8"/>
      <c r="N400" s="265"/>
    </row>
    <row r="401" spans="1:21" s="3" customFormat="1" ht="12.2" customHeight="1" thickBot="1" x14ac:dyDescent="0.2">
      <c r="A401" s="79" t="s">
        <v>510</v>
      </c>
      <c r="B401" s="2" t="s">
        <v>381</v>
      </c>
      <c r="C401" s="6">
        <v>13</v>
      </c>
      <c r="D401" s="2" t="s">
        <v>432</v>
      </c>
      <c r="E401" s="6"/>
      <c r="F401" s="18"/>
      <c r="G401" s="18"/>
      <c r="H401" s="18">
        <v>0.55000000000000004</v>
      </c>
      <c r="I401" s="18"/>
      <c r="J401" s="24" t="s">
        <v>288</v>
      </c>
      <c r="K401" s="24" t="s">
        <v>288</v>
      </c>
      <c r="L401" s="56">
        <f t="shared" si="26"/>
        <v>0.55000000000000004</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506.09000000000003</v>
      </c>
      <c r="I402" s="47">
        <f>SUM(I396:I401)</f>
        <v>0</v>
      </c>
      <c r="J402" s="45" t="s">
        <v>288</v>
      </c>
      <c r="K402" s="45" t="s">
        <v>288</v>
      </c>
      <c r="L402" s="47">
        <f>SUM(L396:L401)</f>
        <v>506.09000000000003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1203.0300000000002</v>
      </c>
      <c r="I409" s="47">
        <f>I394+I402+I408</f>
        <v>0</v>
      </c>
      <c r="J409" s="24" t="s">
        <v>288</v>
      </c>
      <c r="K409" s="24" t="s">
        <v>288</v>
      </c>
      <c r="L409" s="47">
        <f>L394+L402+L408</f>
        <v>1203.0300000000002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v>1203.03</v>
      </c>
      <c r="L427" s="56">
        <f t="shared" si="29"/>
        <v>1203.03</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1203.03</v>
      </c>
      <c r="L428" s="47">
        <f t="shared" si="30"/>
        <v>1203.03</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1203.03</v>
      </c>
      <c r="L435" s="47">
        <f t="shared" si="32"/>
        <v>1203.03</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1030473.47</v>
      </c>
      <c r="G443" s="18">
        <v>221605.76000000001</v>
      </c>
      <c r="H443" s="18"/>
      <c r="I443" s="56">
        <f t="shared" si="33"/>
        <v>1252079.23</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1030473.47</v>
      </c>
      <c r="G447" s="13">
        <f>SUM(G440:G446)</f>
        <v>221605.76000000001</v>
      </c>
      <c r="H447" s="13">
        <f>SUM(H440:H446)</f>
        <v>0</v>
      </c>
      <c r="I447" s="13">
        <f>SUM(I440:I446)</f>
        <v>1252079.23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1030473.47</v>
      </c>
      <c r="G460" s="18">
        <v>221605.76000000001</v>
      </c>
      <c r="H460" s="18"/>
      <c r="I460" s="56">
        <f t="shared" si="34"/>
        <v>1252079.23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1030473.47</v>
      </c>
      <c r="G461" s="83">
        <f>SUM(G455:G460)</f>
        <v>221605.76000000001</v>
      </c>
      <c r="H461" s="83">
        <f>SUM(H455:H460)</f>
        <v>0</v>
      </c>
      <c r="I461" s="83">
        <f>SUM(I455:I460)</f>
        <v>1252079.23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1030473.47</v>
      </c>
      <c r="G462" s="42">
        <f>G453+G461</f>
        <v>221605.76000000001</v>
      </c>
      <c r="H462" s="42">
        <f>H453+H461</f>
        <v>0</v>
      </c>
      <c r="I462" s="42">
        <f>I453+I461</f>
        <v>1252079.23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551807.02</v>
      </c>
      <c r="G466" s="18">
        <v>5647</v>
      </c>
      <c r="H466" s="18"/>
      <c r="I466" s="18"/>
      <c r="J466" s="18">
        <v>1252079.23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14637117.74</v>
      </c>
      <c r="G469" s="18">
        <v>750669.65</v>
      </c>
      <c r="H469" s="18">
        <v>1633306.73</v>
      </c>
      <c r="I469" s="18"/>
      <c r="J469" s="18">
        <v>1203.03</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14637117.74</v>
      </c>
      <c r="G471" s="53">
        <f>SUM(G469:G470)</f>
        <v>750669.65</v>
      </c>
      <c r="H471" s="53">
        <f>SUM(H469:H470)</f>
        <v>1633306.73</v>
      </c>
      <c r="I471" s="53">
        <f>SUM(I469:I470)</f>
        <v>0</v>
      </c>
      <c r="J471" s="53">
        <f>SUM(J469:J470)</f>
        <v>1203.03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14204563.300000001</v>
      </c>
      <c r="G473" s="18">
        <v>555010</v>
      </c>
      <c r="H473" s="18">
        <v>1014177.86</v>
      </c>
      <c r="I473" s="18"/>
      <c r="J473" s="18">
        <v>1203.03</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14204563.300000001</v>
      </c>
      <c r="G475" s="53">
        <f>SUM(G473:G474)</f>
        <v>555010</v>
      </c>
      <c r="H475" s="53">
        <f>SUM(H473:H474)</f>
        <v>1014177.86</v>
      </c>
      <c r="I475" s="53">
        <f>SUM(I473:I474)</f>
        <v>0</v>
      </c>
      <c r="J475" s="53">
        <f>SUM(J473:J474)</f>
        <v>1203.03</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984361.45999999903</v>
      </c>
      <c r="G477" s="53">
        <f>(G466+G471)- G475</f>
        <v>201306.65000000002</v>
      </c>
      <c r="H477" s="53">
        <f>(H466+H471)- H475</f>
        <v>619128.87</v>
      </c>
      <c r="I477" s="53">
        <f>(I466+I471)- I475</f>
        <v>0</v>
      </c>
      <c r="J477" s="53">
        <f>(J466+J471)- J475</f>
        <v>1252079.23</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v>0</v>
      </c>
      <c r="G508" s="144">
        <v>0</v>
      </c>
      <c r="H508" s="144">
        <v>0</v>
      </c>
      <c r="I508" s="144">
        <v>0</v>
      </c>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1283304.6000000001</v>
      </c>
      <c r="G522" s="18">
        <v>446895.37</v>
      </c>
      <c r="H522" s="18">
        <v>499184.98</v>
      </c>
      <c r="I522" s="18">
        <v>8569.52</v>
      </c>
      <c r="J522" s="18">
        <v>39.979999999999997</v>
      </c>
      <c r="K522" s="18">
        <v>4760.74</v>
      </c>
      <c r="L522" s="88">
        <f>SUM(F522:K522)</f>
        <v>2242755.1900000004</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v>252882.44</v>
      </c>
      <c r="G524" s="18">
        <v>82967.009999999995</v>
      </c>
      <c r="H524" s="18">
        <v>627017.74</v>
      </c>
      <c r="I524" s="18">
        <v>4689.5200000000004</v>
      </c>
      <c r="J524" s="18">
        <v>4258</v>
      </c>
      <c r="K524" s="18">
        <v>2040.32</v>
      </c>
      <c r="L524" s="88">
        <f>SUM(F524:K524)</f>
        <v>973855.02999999991</v>
      </c>
      <c r="N524" s="264"/>
    </row>
    <row r="525" spans="1:14" s="52" customFormat="1" ht="12.2" customHeight="1" thickTop="1" x14ac:dyDescent="0.2">
      <c r="A525" s="139" t="s">
        <v>63</v>
      </c>
      <c r="B525" s="107">
        <v>21</v>
      </c>
      <c r="C525" s="194">
        <v>4</v>
      </c>
      <c r="D525" s="195" t="s">
        <v>432</v>
      </c>
      <c r="E525" s="194"/>
      <c r="F525" s="108">
        <f>SUM(F522:F524)</f>
        <v>1536187.04</v>
      </c>
      <c r="G525" s="108">
        <f t="shared" ref="G525:L525" si="36">SUM(G522:G524)</f>
        <v>529862.38</v>
      </c>
      <c r="H525" s="108">
        <f t="shared" si="36"/>
        <v>1126202.72</v>
      </c>
      <c r="I525" s="108">
        <f t="shared" si="36"/>
        <v>13259.04</v>
      </c>
      <c r="J525" s="108">
        <f t="shared" si="36"/>
        <v>4297.9799999999996</v>
      </c>
      <c r="K525" s="108">
        <f t="shared" si="36"/>
        <v>6801.0599999999995</v>
      </c>
      <c r="L525" s="89">
        <f t="shared" si="36"/>
        <v>3216610.22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227509.29</v>
      </c>
      <c r="I527" s="18">
        <v>7291.62</v>
      </c>
      <c r="J527" s="18"/>
      <c r="K527" s="18">
        <v>4760.74</v>
      </c>
      <c r="L527" s="88">
        <f>SUM(F527:K527)</f>
        <v>239561.65</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v>481832.47</v>
      </c>
      <c r="I529" s="18">
        <v>5247.3</v>
      </c>
      <c r="J529" s="18">
        <v>4258</v>
      </c>
      <c r="K529" s="18">
        <v>2040.31</v>
      </c>
      <c r="L529" s="88">
        <f>SUM(F529:K529)</f>
        <v>493378.07999999996</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709341.76</v>
      </c>
      <c r="I530" s="89">
        <f t="shared" si="37"/>
        <v>12538.92</v>
      </c>
      <c r="J530" s="89">
        <f t="shared" si="37"/>
        <v>4258</v>
      </c>
      <c r="K530" s="89">
        <f t="shared" si="37"/>
        <v>6801.0499999999993</v>
      </c>
      <c r="L530" s="89">
        <f t="shared" si="37"/>
        <v>732939.73</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77510.710000000006</v>
      </c>
      <c r="G532" s="18">
        <v>40249.97</v>
      </c>
      <c r="H532" s="18"/>
      <c r="I532" s="18"/>
      <c r="J532" s="18"/>
      <c r="K532" s="18"/>
      <c r="L532" s="88">
        <f>SUM(F532:K532)</f>
        <v>117760.68000000001</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45237.34</v>
      </c>
      <c r="G534" s="18">
        <v>12699.59</v>
      </c>
      <c r="H534" s="18"/>
      <c r="I534" s="18"/>
      <c r="J534" s="18"/>
      <c r="K534" s="18"/>
      <c r="L534" s="88">
        <f>SUM(F534:K534)</f>
        <v>57936.929999999993</v>
      </c>
      <c r="M534" s="8"/>
      <c r="N534" s="265"/>
    </row>
    <row r="535" spans="1:14" s="3" customFormat="1" ht="12.2" customHeight="1" thickTop="1" x14ac:dyDescent="0.15">
      <c r="A535" s="139" t="s">
        <v>67</v>
      </c>
      <c r="B535" s="107">
        <v>21</v>
      </c>
      <c r="C535" s="107">
        <v>12</v>
      </c>
      <c r="D535" s="158" t="s">
        <v>432</v>
      </c>
      <c r="E535" s="107"/>
      <c r="F535" s="89">
        <f>SUM(F532:F534)</f>
        <v>122748.05</v>
      </c>
      <c r="G535" s="89">
        <f t="shared" ref="G535:L535" si="38">SUM(G532:G534)</f>
        <v>52949.56</v>
      </c>
      <c r="H535" s="89">
        <f t="shared" si="38"/>
        <v>0</v>
      </c>
      <c r="I535" s="89">
        <f t="shared" si="38"/>
        <v>0</v>
      </c>
      <c r="J535" s="89">
        <f t="shared" si="38"/>
        <v>0</v>
      </c>
      <c r="K535" s="89">
        <f t="shared" si="38"/>
        <v>0</v>
      </c>
      <c r="L535" s="89">
        <f t="shared" si="38"/>
        <v>175697.61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0</v>
      </c>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v>0</v>
      </c>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35911.74</v>
      </c>
      <c r="G542" s="18">
        <v>4118.1400000000003</v>
      </c>
      <c r="H542" s="18">
        <v>100</v>
      </c>
      <c r="I542" s="18"/>
      <c r="J542" s="18"/>
      <c r="K542" s="18"/>
      <c r="L542" s="88">
        <f>SUM(F542:K542)</f>
        <v>40129.879999999997</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v>15390.75</v>
      </c>
      <c r="G544" s="18">
        <v>1764.91</v>
      </c>
      <c r="H544" s="18">
        <v>50</v>
      </c>
      <c r="I544" s="18"/>
      <c r="J544" s="18"/>
      <c r="K544" s="18"/>
      <c r="L544" s="88">
        <f>SUM(F544:K544)</f>
        <v>17205.66</v>
      </c>
      <c r="M544" s="8"/>
      <c r="N544" s="265"/>
    </row>
    <row r="545" spans="1:14" s="3" customFormat="1" ht="12.2" customHeight="1" thickTop="1" thickBot="1" x14ac:dyDescent="0.2">
      <c r="A545" s="130" t="s">
        <v>71</v>
      </c>
      <c r="B545" s="190">
        <v>21</v>
      </c>
      <c r="C545" s="190">
        <v>20</v>
      </c>
      <c r="D545" s="191" t="s">
        <v>432</v>
      </c>
      <c r="E545" s="190"/>
      <c r="F545" s="192">
        <f>SUM(F542:F544)</f>
        <v>51302.49</v>
      </c>
      <c r="G545" s="192">
        <f t="shared" ref="G545:L545" si="40">SUM(G542:G544)</f>
        <v>5883.05</v>
      </c>
      <c r="H545" s="192">
        <f t="shared" si="40"/>
        <v>150</v>
      </c>
      <c r="I545" s="192">
        <f t="shared" si="40"/>
        <v>0</v>
      </c>
      <c r="J545" s="192">
        <f t="shared" si="40"/>
        <v>0</v>
      </c>
      <c r="K545" s="192">
        <f t="shared" si="40"/>
        <v>0</v>
      </c>
      <c r="L545" s="192">
        <f t="shared" si="40"/>
        <v>57335.539999999994</v>
      </c>
      <c r="M545" s="8"/>
      <c r="N545" s="265"/>
    </row>
    <row r="546" spans="1:14" s="3" customFormat="1" ht="12.2" customHeight="1" thickTop="1" x14ac:dyDescent="0.15">
      <c r="A546" s="98" t="s">
        <v>72</v>
      </c>
      <c r="B546" s="107">
        <v>21</v>
      </c>
      <c r="C546" s="107">
        <v>21</v>
      </c>
      <c r="D546" s="158" t="s">
        <v>432</v>
      </c>
      <c r="E546" s="107"/>
      <c r="F546" s="89">
        <f>F525+F530+F535+F540+F545</f>
        <v>1710237.58</v>
      </c>
      <c r="G546" s="89">
        <f t="shared" ref="G546:L546" si="41">G525+G530+G535+G540+G545</f>
        <v>588694.99</v>
      </c>
      <c r="H546" s="89">
        <f t="shared" si="41"/>
        <v>1835694.48</v>
      </c>
      <c r="I546" s="89">
        <f t="shared" si="41"/>
        <v>25797.96</v>
      </c>
      <c r="J546" s="89">
        <f t="shared" si="41"/>
        <v>8555.98</v>
      </c>
      <c r="K546" s="89">
        <f t="shared" si="41"/>
        <v>13602.109999999999</v>
      </c>
      <c r="L546" s="89">
        <f t="shared" si="41"/>
        <v>4182583.1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2242755.1900000004</v>
      </c>
      <c r="G550" s="87">
        <f>L527</f>
        <v>239561.65</v>
      </c>
      <c r="H550" s="87">
        <f>L532</f>
        <v>117760.68000000001</v>
      </c>
      <c r="I550" s="87">
        <f>L537</f>
        <v>0</v>
      </c>
      <c r="J550" s="87">
        <f>L542</f>
        <v>40129.879999999997</v>
      </c>
      <c r="K550" s="87">
        <f>SUM(F550:J550)</f>
        <v>2640207.4000000004</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973855.02999999991</v>
      </c>
      <c r="G552" s="87">
        <f>L529</f>
        <v>493378.07999999996</v>
      </c>
      <c r="H552" s="87">
        <f>L534</f>
        <v>57936.929999999993</v>
      </c>
      <c r="I552" s="87">
        <f>L539</f>
        <v>0</v>
      </c>
      <c r="J552" s="87">
        <f>L544</f>
        <v>17205.66</v>
      </c>
      <c r="K552" s="87">
        <f>SUM(F552:J552)</f>
        <v>1542375.6999999997</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3216610.22</v>
      </c>
      <c r="G553" s="89">
        <f t="shared" si="42"/>
        <v>732939.73</v>
      </c>
      <c r="H553" s="89">
        <f t="shared" si="42"/>
        <v>175697.61</v>
      </c>
      <c r="I553" s="89">
        <f t="shared" si="42"/>
        <v>0</v>
      </c>
      <c r="J553" s="89">
        <f t="shared" si="42"/>
        <v>57335.539999999994</v>
      </c>
      <c r="K553" s="89">
        <f t="shared" si="42"/>
        <v>4182583.1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v>7911.16</v>
      </c>
      <c r="I563" s="18"/>
      <c r="J563" s="18"/>
      <c r="K563" s="18"/>
      <c r="L563" s="88">
        <f>SUM(F563:K563)</f>
        <v>7911.16</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v>3390.49</v>
      </c>
      <c r="I565" s="18"/>
      <c r="J565" s="18"/>
      <c r="K565" s="18"/>
      <c r="L565" s="88">
        <f>SUM(F565:K565)</f>
        <v>3390.49</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11301.65</v>
      </c>
      <c r="I566" s="89">
        <f t="shared" si="44"/>
        <v>0</v>
      </c>
      <c r="J566" s="89">
        <f t="shared" si="44"/>
        <v>0</v>
      </c>
      <c r="K566" s="89">
        <f t="shared" si="44"/>
        <v>0</v>
      </c>
      <c r="L566" s="89">
        <f t="shared" si="44"/>
        <v>11301.65</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11301.65</v>
      </c>
      <c r="I572" s="89">
        <f t="shared" si="46"/>
        <v>0</v>
      </c>
      <c r="J572" s="89">
        <f t="shared" si="46"/>
        <v>0</v>
      </c>
      <c r="K572" s="89">
        <f t="shared" si="46"/>
        <v>0</v>
      </c>
      <c r="L572" s="89">
        <f t="shared" si="46"/>
        <v>11301.65</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4"/>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4"/>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4"/>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4"/>
      <c r="I580" s="87">
        <f>SUM(F580:H580)</f>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25420</v>
      </c>
      <c r="G581" s="18"/>
      <c r="H581" s="18"/>
      <c r="I581" s="87">
        <f>SUM(F581:H581)</f>
        <v>25420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152887.47</v>
      </c>
      <c r="G583" s="18"/>
      <c r="H583" s="18">
        <v>406769.32</v>
      </c>
      <c r="I583" s="87">
        <f>SUM(F583:H583)</f>
        <v>559656.79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56834.96</v>
      </c>
      <c r="I585" s="87">
        <f t="shared" si="47"/>
        <v>56834.96</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289714.34999999998</v>
      </c>
      <c r="I592" s="18"/>
      <c r="J592" s="18">
        <v>114480.02</v>
      </c>
      <c r="K592" s="104">
        <f t="shared" ref="K592:K598" si="48">SUM(H592:J592)</f>
        <v>404194.37</v>
      </c>
      <c r="L592" s="24" t="s">
        <v>288</v>
      </c>
      <c r="M592" s="8"/>
      <c r="N592" s="265"/>
    </row>
    <row r="593" spans="1:14" s="3" customFormat="1" ht="12.2" customHeight="1" x14ac:dyDescent="0.15">
      <c r="A593" s="3" t="s">
        <v>638</v>
      </c>
      <c r="B593" s="75">
        <v>23</v>
      </c>
      <c r="C593" s="75">
        <v>2</v>
      </c>
      <c r="D593" s="2" t="s">
        <v>432</v>
      </c>
      <c r="E593" s="75"/>
      <c r="F593" s="102">
        <v>2722</v>
      </c>
      <c r="G593" s="103" t="s">
        <v>97</v>
      </c>
      <c r="H593" s="18">
        <v>40134.879999999997</v>
      </c>
      <c r="I593" s="18"/>
      <c r="J593" s="18">
        <v>17200.66</v>
      </c>
      <c r="K593" s="104">
        <f t="shared" si="48"/>
        <v>57335.539999999994</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32623.83</v>
      </c>
      <c r="K594" s="104">
        <f t="shared" si="48"/>
        <v>32623.83</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8815.92</v>
      </c>
      <c r="I595" s="18"/>
      <c r="J595" s="18">
        <v>3778.25</v>
      </c>
      <c r="K595" s="104">
        <f t="shared" si="48"/>
        <v>12594.17</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1173.92</v>
      </c>
      <c r="I596" s="18"/>
      <c r="J596" s="18"/>
      <c r="K596" s="104">
        <f t="shared" si="48"/>
        <v>1173.92</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-366</v>
      </c>
      <c r="I598" s="18"/>
      <c r="J598" s="18"/>
      <c r="K598" s="104">
        <f t="shared" si="48"/>
        <v>-366</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339473.06999999995</v>
      </c>
      <c r="I599" s="108">
        <f>SUM(I592:I598)</f>
        <v>0</v>
      </c>
      <c r="J599" s="108">
        <f>SUM(J592:J598)</f>
        <v>168082.76</v>
      </c>
      <c r="K599" s="108">
        <f>SUM(K592:K598)</f>
        <v>507555.82999999996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42170.559999999998</v>
      </c>
      <c r="I604" s="18"/>
      <c r="J604" s="18">
        <v>18073.09</v>
      </c>
      <c r="K604" s="104">
        <f>SUM(H604:J604)</f>
        <v>60243.649999999994</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v>10000</v>
      </c>
      <c r="K605" s="104">
        <f>SUM(H605:J605)</f>
        <v>10000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42170.559999999998</v>
      </c>
      <c r="I606" s="108">
        <f>SUM(I603:I605)</f>
        <v>0</v>
      </c>
      <c r="J606" s="108">
        <f>SUM(J603:J605)</f>
        <v>28073.09</v>
      </c>
      <c r="K606" s="108">
        <f>SUM(K603:K605)</f>
        <v>70243.649999999994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26942.400000000001</v>
      </c>
      <c r="G612" s="18">
        <v>20106.82</v>
      </c>
      <c r="H612" s="18">
        <v>48542.75</v>
      </c>
      <c r="I612" s="18">
        <v>230.37</v>
      </c>
      <c r="J612" s="18"/>
      <c r="K612" s="18"/>
      <c r="L612" s="88">
        <f>SUM(F612:K612)</f>
        <v>95822.34</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v>11546.74</v>
      </c>
      <c r="G614" s="18">
        <v>8617.2099999999991</v>
      </c>
      <c r="H614" s="18">
        <v>20804.04</v>
      </c>
      <c r="I614" s="18">
        <v>98.73</v>
      </c>
      <c r="J614" s="18"/>
      <c r="K614" s="18"/>
      <c r="L614" s="88">
        <f>SUM(F614:K614)</f>
        <v>41066.720000000001</v>
      </c>
      <c r="M614" s="8"/>
      <c r="N614" s="265"/>
    </row>
    <row r="615" spans="1:14" s="3" customFormat="1" ht="12.2" customHeight="1" thickTop="1" x14ac:dyDescent="0.15">
      <c r="A615" s="98" t="s">
        <v>340</v>
      </c>
      <c r="B615" s="107">
        <v>23</v>
      </c>
      <c r="C615" s="107">
        <v>16</v>
      </c>
      <c r="D615" s="39" t="s">
        <v>432</v>
      </c>
      <c r="E615" s="107"/>
      <c r="F615" s="108">
        <f t="shared" ref="F615:L615" si="49">SUM(F612:F614)</f>
        <v>38489.14</v>
      </c>
      <c r="G615" s="108">
        <f t="shared" si="49"/>
        <v>28724.03</v>
      </c>
      <c r="H615" s="108">
        <f t="shared" si="49"/>
        <v>69346.790000000008</v>
      </c>
      <c r="I615" s="108">
        <f t="shared" si="49"/>
        <v>329.1</v>
      </c>
      <c r="J615" s="108">
        <f t="shared" si="49"/>
        <v>0</v>
      </c>
      <c r="K615" s="108">
        <f t="shared" si="49"/>
        <v>0</v>
      </c>
      <c r="L615" s="89">
        <f t="shared" si="49"/>
        <v>136889.06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1367969.48</v>
      </c>
      <c r="H618" s="109">
        <f>SUM(F52)</f>
        <v>1367969.48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323259.15000000002</v>
      </c>
      <c r="H619" s="109">
        <f>SUM(G52)</f>
        <v>323259.15000000002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665953.41</v>
      </c>
      <c r="H620" s="109">
        <f>SUM(H52)</f>
        <v>665953.41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1252079.23</v>
      </c>
      <c r="H622" s="109">
        <f>SUM(J52)</f>
        <v>1252079.23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984361.46</v>
      </c>
      <c r="H623" s="109">
        <f>F477</f>
        <v>984361.45999999903</v>
      </c>
      <c r="I623" s="121" t="s">
        <v>101</v>
      </c>
      <c r="J623" s="109">
        <f t="shared" ref="J623:J656" si="50">G623-H623</f>
        <v>9.3132257461547852E-10</v>
      </c>
      <c r="K623" s="109"/>
      <c r="L623" s="109"/>
      <c r="M623" s="8"/>
    </row>
    <row r="624" spans="1:14" s="3" customFormat="1" ht="12.2" customHeight="1" x14ac:dyDescent="0.15">
      <c r="A624" s="97"/>
      <c r="B624" s="105"/>
      <c r="C624" s="119"/>
      <c r="D624" s="119"/>
      <c r="E624" s="119"/>
      <c r="F624" s="119" t="s">
        <v>866</v>
      </c>
      <c r="G624" s="109">
        <f>G51</f>
        <v>201306.65000000002</v>
      </c>
      <c r="H624" s="109">
        <f>G477</f>
        <v>201306.65000000002</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619128.87</v>
      </c>
      <c r="H625" s="109">
        <f>H477</f>
        <v>619128.87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1252079.23</v>
      </c>
      <c r="H627" s="109">
        <f>J477</f>
        <v>1252079.23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14637117.739999998</v>
      </c>
      <c r="H628" s="104">
        <f>SUM(F469)</f>
        <v>14637117.74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750669.65</v>
      </c>
      <c r="H629" s="104">
        <f>SUM(G469)</f>
        <v>750669.65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1633306.73</v>
      </c>
      <c r="H630" s="104">
        <f>SUM(H469)</f>
        <v>1633306.73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1203.03</v>
      </c>
      <c r="H632" s="104">
        <f>SUM(J469)</f>
        <v>1203.03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14204563.300000001</v>
      </c>
      <c r="H633" s="104">
        <f>SUM(F473)</f>
        <v>14204563.300000001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1014177.8599999999</v>
      </c>
      <c r="H634" s="104">
        <f>SUM(H473)</f>
        <v>1014177.86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555010</v>
      </c>
      <c r="H636" s="104">
        <f>SUM(G473)</f>
        <v>555010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1203.0300000000002</v>
      </c>
      <c r="H638" s="164">
        <f>SUM(J469)</f>
        <v>1203.03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1203.03</v>
      </c>
      <c r="H639" s="164">
        <f>SUM(J473)</f>
        <v>1203.03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1030473.47</v>
      </c>
      <c r="H640" s="104">
        <f>SUM(F462)</f>
        <v>1030473.47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221605.76000000001</v>
      </c>
      <c r="H641" s="104">
        <f>SUM(G462)</f>
        <v>221605.76000000001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1252079.23</v>
      </c>
      <c r="H643" s="104">
        <f>SUM(I462)</f>
        <v>1252079.23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1203.03</v>
      </c>
      <c r="H645" s="104">
        <f>H409</f>
        <v>1203.0300000000002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1203.03</v>
      </c>
      <c r="H647" s="104">
        <f>L409</f>
        <v>1203.0300000000002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507555.82999999996</v>
      </c>
      <c r="H648" s="104">
        <f>L209+L227+L245</f>
        <v>507555.83000000007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70243.649999999994</v>
      </c>
      <c r="H649" s="104">
        <f>(J258+J339)-(J256+J337)</f>
        <v>70243.650000000009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339473.07</v>
      </c>
      <c r="H650" s="104">
        <f>H599</f>
        <v>339473.06999999995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168082.76000000004</v>
      </c>
      <c r="H652" s="104">
        <f>J599</f>
        <v>168082.76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10698205.399999999</v>
      </c>
      <c r="G661" s="19">
        <f>(L230+L310+L360)</f>
        <v>0</v>
      </c>
      <c r="H661" s="19">
        <f>(L248+L329+L361)</f>
        <v>5075545.76</v>
      </c>
      <c r="I661" s="19">
        <f>SUM(F661:H661)</f>
        <v>15773751.159999998</v>
      </c>
      <c r="J661" s="13"/>
      <c r="K661" s="13"/>
      <c r="L661" s="13"/>
      <c r="M661" s="9"/>
    </row>
    <row r="662" spans="1:13" s="3" customFormat="1" ht="12.2" customHeight="1" x14ac:dyDescent="0.2">
      <c r="A662" s="1" t="s">
        <v>127</v>
      </c>
      <c r="F662" s="19">
        <f>(L359/IF(SUM(L359:L361)=0,1,SUM(L359:L361))*(SUM(G97:G110)))</f>
        <v>74757.97</v>
      </c>
      <c r="G662" s="19">
        <f>(L360/IF(SUM(L359:L361)=0,1,SUM(L359:L361))*(SUM(G97:G110)))</f>
        <v>0</v>
      </c>
      <c r="H662" s="19">
        <f>(L361/IF(SUM(L359:L361)=0,1,SUM(L359:L361))*(SUM(G97:G110)))</f>
        <v>32039.13</v>
      </c>
      <c r="I662" s="19">
        <f>SUM(F662:H662)</f>
        <v>106797.1</v>
      </c>
      <c r="J662"/>
      <c r="K662" s="13"/>
      <c r="L662" s="13"/>
      <c r="M662" s="8"/>
    </row>
    <row r="663" spans="1:13" s="3" customFormat="1" ht="12.2" customHeight="1" x14ac:dyDescent="0.2">
      <c r="A663" s="1" t="s">
        <v>128</v>
      </c>
      <c r="F663" s="19">
        <f>(L209+L288)-(J209+J288)</f>
        <v>338395.07</v>
      </c>
      <c r="G663" s="19">
        <f>(L227+L307)-(J227+J307)</f>
        <v>0</v>
      </c>
      <c r="H663" s="19">
        <f>(L245+L326)-(J245+J326)</f>
        <v>167620.76000000004</v>
      </c>
      <c r="I663" s="19">
        <f>SUM(F663:H663)</f>
        <v>506015.83000000007</v>
      </c>
      <c r="J663"/>
      <c r="K663" s="13"/>
      <c r="L663" s="13"/>
      <c r="M663" s="9"/>
    </row>
    <row r="664" spans="1:13" s="3" customFormat="1" ht="12.2" customHeight="1" x14ac:dyDescent="0.15">
      <c r="A664" s="197" t="s">
        <v>129</v>
      </c>
      <c r="B664" s="169"/>
      <c r="C664" s="169"/>
      <c r="D664" s="169"/>
      <c r="E664" s="169"/>
      <c r="F664" s="198">
        <f>SUM(F576:F588)+SUM(H603:H605)+SUM(L612)</f>
        <v>316300.37</v>
      </c>
      <c r="G664" s="198">
        <f>SUM(G576:G588)+SUM(I603:I605)+L613</f>
        <v>0</v>
      </c>
      <c r="H664" s="198">
        <f>SUM(H577:H588)+SUM(J603:J605)+L614</f>
        <v>532744.09000000008</v>
      </c>
      <c r="I664" s="19">
        <f>SUM(F664:H664)</f>
        <v>849044.46000000008</v>
      </c>
      <c r="J664" s="13"/>
      <c r="K664" s="13"/>
      <c r="L664" s="13"/>
      <c r="M664" s="9"/>
    </row>
    <row r="665" spans="1:13" s="3" customFormat="1" ht="12.2" customHeight="1" x14ac:dyDescent="0.15">
      <c r="A665" s="1" t="s">
        <v>130</v>
      </c>
      <c r="F665" s="19">
        <f>F661-SUM(F662:F664)</f>
        <v>9968751.9899999984</v>
      </c>
      <c r="G665" s="19">
        <f>G661-SUM(G662:G664)</f>
        <v>0</v>
      </c>
      <c r="H665" s="19">
        <f>H661-SUM(H662:H664)</f>
        <v>4343141.7799999993</v>
      </c>
      <c r="I665" s="19">
        <f>I661-SUM(I662:I664)</f>
        <v>14311893.769999998</v>
      </c>
      <c r="J665" s="13"/>
      <c r="K665" s="13"/>
      <c r="L665" s="13"/>
      <c r="M665" s="8"/>
    </row>
    <row r="666" spans="1:13" s="3" customFormat="1" ht="12.2" customHeight="1" x14ac:dyDescent="0.2">
      <c r="A666" s="1" t="s">
        <v>131</v>
      </c>
      <c r="F666" s="245">
        <v>516.69000000000005</v>
      </c>
      <c r="G666" s="246"/>
      <c r="H666" s="246">
        <v>237.73</v>
      </c>
      <c r="I666" s="19">
        <f>SUM(F666:H666)</f>
        <v>754.42000000000007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19293.490000000002</v>
      </c>
      <c r="G668" s="19" t="e">
        <f>ROUND(G665/G666,2)</f>
        <v>#DIV/0!</v>
      </c>
      <c r="H668" s="19">
        <f>ROUND(H665/H666,2)</f>
        <v>18269.22</v>
      </c>
      <c r="I668" s="19">
        <f>ROUND(I665/I666,2)</f>
        <v>18970.72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-9.83</v>
      </c>
      <c r="I671" s="19">
        <f>SUM(F671:H671)</f>
        <v>-9.83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19293.490000000002</v>
      </c>
      <c r="G673" s="19" t="e">
        <f>ROUND((G665+G670)/(G666+G671),2)</f>
        <v>#DIV/0!</v>
      </c>
      <c r="H673" s="19">
        <f>ROUND((H665+H670)/(H666+H671),2)</f>
        <v>19057.23</v>
      </c>
      <c r="I673" s="19">
        <f>ROUND((I665+I670)/(I666+I671),2)</f>
        <v>19221.169999999998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1" sqref="E11"/>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33479.300000000003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25281.35</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8197.9500000000007</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Farmington</v>
      </c>
      <c r="C5" s="375"/>
      <c r="D5" s="375"/>
      <c r="E5" s="375"/>
      <c r="F5" s="375"/>
    </row>
    <row r="8" spans="1:9" ht="18" x14ac:dyDescent="0.25">
      <c r="A8" s="312" t="s">
        <v>1568</v>
      </c>
      <c r="F8" s="319" t="s">
        <v>1586</v>
      </c>
    </row>
    <row r="9" spans="1:9" ht="15" x14ac:dyDescent="0.2">
      <c r="A9" s="310" t="s">
        <v>1569</v>
      </c>
      <c r="B9" s="313">
        <f>'DOE25'!G97</f>
        <v>106797.1</v>
      </c>
      <c r="F9" s="310" t="s">
        <v>1582</v>
      </c>
    </row>
    <row r="10" spans="1:9" ht="15" x14ac:dyDescent="0.2">
      <c r="A10" s="310" t="s">
        <v>1570</v>
      </c>
      <c r="B10" s="313">
        <f>'DOE25'!G112-'DOE25'!G97</f>
        <v>0</v>
      </c>
      <c r="F10" s="310" t="s">
        <v>1583</v>
      </c>
    </row>
    <row r="11" spans="1:9" ht="15" x14ac:dyDescent="0.2">
      <c r="A11" s="310" t="s">
        <v>1571</v>
      </c>
      <c r="B11" s="313">
        <f>'DOE25'!G140</f>
        <v>1903.14</v>
      </c>
      <c r="F11" s="310" t="s">
        <v>1584</v>
      </c>
    </row>
    <row r="12" spans="1:9" ht="15" x14ac:dyDescent="0.2">
      <c r="A12" s="310" t="s">
        <v>1572</v>
      </c>
      <c r="B12" s="313">
        <f>'DOE25'!G170</f>
        <v>641969.41</v>
      </c>
      <c r="F12" s="310" t="s">
        <v>1585</v>
      </c>
    </row>
    <row r="13" spans="1:9" ht="15" x14ac:dyDescent="0.2">
      <c r="A13" s="310" t="s">
        <v>1573</v>
      </c>
      <c r="B13" s="313">
        <f>'DOE25'!G193-'DOE25'!G180</f>
        <v>0</v>
      </c>
      <c r="F13" s="310" t="s">
        <v>1595</v>
      </c>
    </row>
    <row r="14" spans="1:9" ht="18" x14ac:dyDescent="0.25">
      <c r="A14" s="312" t="s">
        <v>732</v>
      </c>
      <c r="B14" s="314">
        <f>SUM(B9:B13)</f>
        <v>750669.65</v>
      </c>
    </row>
    <row r="16" spans="1:9" ht="18" x14ac:dyDescent="0.25">
      <c r="A16" s="312" t="s">
        <v>786</v>
      </c>
      <c r="F16" s="319" t="s">
        <v>1587</v>
      </c>
    </row>
    <row r="17" spans="1:6" ht="15" x14ac:dyDescent="0.2">
      <c r="A17" s="310" t="s">
        <v>1574</v>
      </c>
      <c r="B17" s="313">
        <f>'DOE25'!L363-'DOE25'!L362</f>
        <v>555010</v>
      </c>
      <c r="F17" s="310" t="s">
        <v>1588</v>
      </c>
    </row>
    <row r="18" spans="1:6" ht="15" x14ac:dyDescent="0.2">
      <c r="A18" s="310" t="s">
        <v>1575</v>
      </c>
      <c r="B18" s="323"/>
      <c r="F18" s="319" t="s">
        <v>1612</v>
      </c>
    </row>
    <row r="19" spans="1:6" ht="18" x14ac:dyDescent="0.25">
      <c r="A19" s="312" t="s">
        <v>725</v>
      </c>
      <c r="B19" s="314">
        <f>SUM(B17:B18)</f>
        <v>555010</v>
      </c>
    </row>
    <row r="21" spans="1:6" ht="18.75" thickBot="1" x14ac:dyDescent="0.3">
      <c r="A21" s="312" t="s">
        <v>1576</v>
      </c>
    </row>
    <row r="22" spans="1:6" ht="18.75" thickTop="1" x14ac:dyDescent="0.25">
      <c r="A22" s="312" t="s">
        <v>1577</v>
      </c>
      <c r="B22" s="318">
        <f>B14-B19</f>
        <v>195659.65000000002</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5647</v>
      </c>
      <c r="F31" s="310" t="s">
        <v>1592</v>
      </c>
    </row>
    <row r="33" spans="1:6" ht="15" x14ac:dyDescent="0.2">
      <c r="A33" s="310" t="s">
        <v>1635</v>
      </c>
      <c r="B33" s="313">
        <f>'DOE25'!G477</f>
        <v>201306.65000000002</v>
      </c>
      <c r="F33" s="310" t="s">
        <v>1593</v>
      </c>
    </row>
    <row r="36" spans="1:6" ht="15" x14ac:dyDescent="0.2">
      <c r="A36" s="310" t="s">
        <v>1579</v>
      </c>
      <c r="B36" s="324">
        <v>36581.56</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9" sqref="B3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Farmington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3293681.2</v>
      </c>
      <c r="C9" s="228">
        <f>'DOE25'!G198+'DOE25'!G216+'DOE25'!G234+'DOE25'!G277+'DOE25'!G296+'DOE25'!G315</f>
        <v>1718536.4399999997</v>
      </c>
    </row>
    <row r="10" spans="1:3" x14ac:dyDescent="0.2">
      <c r="A10" t="s">
        <v>775</v>
      </c>
      <c r="B10" s="239">
        <v>3142182.52</v>
      </c>
      <c r="C10" s="239">
        <v>1716822.25</v>
      </c>
    </row>
    <row r="11" spans="1:3" x14ac:dyDescent="0.2">
      <c r="A11" t="s">
        <v>776</v>
      </c>
      <c r="B11" s="239">
        <v>37284.449999999997</v>
      </c>
      <c r="C11" s="239">
        <v>1714.19</v>
      </c>
    </row>
    <row r="12" spans="1:3" x14ac:dyDescent="0.2">
      <c r="A12" t="s">
        <v>777</v>
      </c>
      <c r="B12" s="239">
        <v>114214.23</v>
      </c>
      <c r="C12" s="239">
        <v>0</v>
      </c>
    </row>
    <row r="13" spans="1:3" x14ac:dyDescent="0.2">
      <c r="A13" t="str">
        <f>IF(B9=B13,IF(C9=C13,"Check Total OK","Check Total Error"),"Check Total Error")</f>
        <v>Check Total OK</v>
      </c>
      <c r="B13" s="230">
        <f>SUM(B10:B12)</f>
        <v>3293681.2</v>
      </c>
      <c r="C13" s="230">
        <f>SUM(C10:C12)</f>
        <v>1718536.44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1558682.49</v>
      </c>
      <c r="C18" s="228">
        <f>'DOE25'!G199+'DOE25'!G217+'DOE25'!G235+'DOE25'!G278+'DOE25'!G297+'DOE25'!G316</f>
        <v>540024.87</v>
      </c>
    </row>
    <row r="19" spans="1:3" x14ac:dyDescent="0.2">
      <c r="A19" t="s">
        <v>775</v>
      </c>
      <c r="B19" s="239">
        <v>762505.98</v>
      </c>
      <c r="C19" s="239">
        <v>383417.66</v>
      </c>
    </row>
    <row r="20" spans="1:3" x14ac:dyDescent="0.2">
      <c r="A20" t="s">
        <v>776</v>
      </c>
      <c r="B20" s="239">
        <v>734838.2</v>
      </c>
      <c r="C20" s="239">
        <v>135006.22</v>
      </c>
    </row>
    <row r="21" spans="1:3" x14ac:dyDescent="0.2">
      <c r="A21" t="s">
        <v>777</v>
      </c>
      <c r="B21" s="239">
        <v>61338.31</v>
      </c>
      <c r="C21" s="239">
        <v>21600.99</v>
      </c>
    </row>
    <row r="22" spans="1:3" x14ac:dyDescent="0.2">
      <c r="A22" t="str">
        <f>IF(B18=B22,IF(C18=C22,"Check Total OK","Check Total Error"),"Check Total Error")</f>
        <v>Check Total OK</v>
      </c>
      <c r="B22" s="230">
        <f>SUM(B19:B21)</f>
        <v>1558682.49</v>
      </c>
      <c r="C22" s="230">
        <f>SUM(C19:C21)</f>
        <v>540024.87</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132867.88999999998</v>
      </c>
      <c r="C36" s="234">
        <f>'DOE25'!G201+'DOE25'!G219+'DOE25'!G237+'DOE25'!G280+'DOE25'!G299+'DOE25'!G318</f>
        <v>56269.83</v>
      </c>
    </row>
    <row r="37" spans="1:3" x14ac:dyDescent="0.2">
      <c r="A37" t="s">
        <v>775</v>
      </c>
      <c r="B37" s="239">
        <v>97256.39</v>
      </c>
      <c r="C37" s="239">
        <v>56269.83</v>
      </c>
    </row>
    <row r="38" spans="1:3" x14ac:dyDescent="0.2">
      <c r="A38" t="s">
        <v>776</v>
      </c>
      <c r="B38" s="239">
        <v>0</v>
      </c>
      <c r="C38" s="239">
        <v>0</v>
      </c>
    </row>
    <row r="39" spans="1:3" x14ac:dyDescent="0.2">
      <c r="A39" t="s">
        <v>777</v>
      </c>
      <c r="B39" s="239">
        <v>35611.5</v>
      </c>
      <c r="C39" s="239">
        <v>0</v>
      </c>
    </row>
    <row r="40" spans="1:3" x14ac:dyDescent="0.2">
      <c r="A40" t="str">
        <f>IF(B36=B40,IF(C36=C40,"Check Total OK","Check Total Error"),"Check Total Error")</f>
        <v>Check Total OK</v>
      </c>
      <c r="B40" s="230">
        <f>SUM(B37:B39)</f>
        <v>132867.89000000001</v>
      </c>
      <c r="C40" s="230">
        <f>SUM(C37:C39)</f>
        <v>56269.83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Farmington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8206995.75</v>
      </c>
      <c r="D5" s="20">
        <f>SUM('DOE25'!L198:L201)+SUM('DOE25'!L216:L219)+SUM('DOE25'!L234:L237)-F5-G5-H5</f>
        <v>7268859.6900000004</v>
      </c>
      <c r="E5" s="242"/>
      <c r="F5" s="243">
        <v>912900.82</v>
      </c>
      <c r="G5" s="53">
        <f>SUM('DOE25'!J198:J201)+SUM('DOE25'!J216:J219)+SUM('DOE25'!J234:J237)</f>
        <v>13784.18</v>
      </c>
      <c r="H5" s="53">
        <f>SUM('DOE25'!K198:K201)+SUM('DOE25'!K216:K219)+SUM('DOE25'!K234:K237)</f>
        <v>11451.06</v>
      </c>
      <c r="I5" s="255"/>
    </row>
    <row r="6" spans="1:9" x14ac:dyDescent="0.2">
      <c r="A6" s="32">
        <v>2100</v>
      </c>
      <c r="B6" t="s">
        <v>796</v>
      </c>
      <c r="C6" s="274">
        <f t="shared" si="0"/>
        <v>1066436.44</v>
      </c>
      <c r="D6" s="20">
        <f>'DOE25'!L203+'DOE25'!L221+'DOE25'!L239-F6-G6-H6</f>
        <v>1066299.53</v>
      </c>
      <c r="E6" s="242"/>
      <c r="F6" s="243">
        <v>0</v>
      </c>
      <c r="G6" s="53">
        <f>'DOE25'!J203+'DOE25'!J221+'DOE25'!J239</f>
        <v>136.91</v>
      </c>
      <c r="H6" s="53">
        <f>'DOE25'!K203+'DOE25'!K221+'DOE25'!K239</f>
        <v>0</v>
      </c>
      <c r="I6" s="255"/>
    </row>
    <row r="7" spans="1:9" x14ac:dyDescent="0.2">
      <c r="A7" s="32">
        <v>2200</v>
      </c>
      <c r="B7" t="s">
        <v>821</v>
      </c>
      <c r="C7" s="274">
        <f t="shared" si="0"/>
        <v>448955.55999999994</v>
      </c>
      <c r="D7" s="20">
        <f>'DOE25'!L204+'DOE25'!L222+'DOE25'!L240-F7-G7-H7</f>
        <v>448678.67999999993</v>
      </c>
      <c r="E7" s="242"/>
      <c r="F7" s="243">
        <v>0</v>
      </c>
      <c r="G7" s="53">
        <f>'DOE25'!J204+'DOE25'!J222+'DOE25'!J240</f>
        <v>101.88</v>
      </c>
      <c r="H7" s="53">
        <f>'DOE25'!K204+'DOE25'!K222+'DOE25'!K240</f>
        <v>175</v>
      </c>
      <c r="I7" s="255"/>
    </row>
    <row r="8" spans="1:9" x14ac:dyDescent="0.2">
      <c r="A8" s="32">
        <v>2300</v>
      </c>
      <c r="B8" t="s">
        <v>797</v>
      </c>
      <c r="C8" s="274">
        <f t="shared" si="0"/>
        <v>22107.870000000054</v>
      </c>
      <c r="D8" s="242"/>
      <c r="E8" s="20">
        <f>'DOE25'!L205+'DOE25'!L223+'DOE25'!L241-F8-G8-H8-D9-D11</f>
        <v>13546.430000000051</v>
      </c>
      <c r="F8" s="243">
        <v>0</v>
      </c>
      <c r="G8" s="53">
        <f>'DOE25'!J205+'DOE25'!J223+'DOE25'!J241</f>
        <v>0</v>
      </c>
      <c r="H8" s="53">
        <f>'DOE25'!K205+'DOE25'!K223+'DOE25'!K241</f>
        <v>8561.44</v>
      </c>
      <c r="I8" s="255"/>
    </row>
    <row r="9" spans="1:9" ht="14.25" x14ac:dyDescent="0.2">
      <c r="A9" s="32">
        <v>2310</v>
      </c>
      <c r="B9" s="184" t="s">
        <v>888</v>
      </c>
      <c r="C9" s="274">
        <f t="shared" si="0"/>
        <v>24147.22</v>
      </c>
      <c r="D9" s="243">
        <v>24147.22</v>
      </c>
      <c r="E9" s="242"/>
      <c r="F9" s="252"/>
      <c r="G9" s="252"/>
      <c r="H9" s="252"/>
      <c r="I9" s="255"/>
    </row>
    <row r="10" spans="1:9" ht="14.25" x14ac:dyDescent="0.2">
      <c r="A10" s="32">
        <v>2317</v>
      </c>
      <c r="B10" s="184" t="s">
        <v>889</v>
      </c>
      <c r="C10" s="274">
        <f t="shared" si="0"/>
        <v>19525</v>
      </c>
      <c r="D10" s="242"/>
      <c r="E10" s="243">
        <v>19525</v>
      </c>
      <c r="F10" s="252"/>
      <c r="G10" s="252"/>
      <c r="H10" s="252"/>
      <c r="I10" s="255"/>
    </row>
    <row r="11" spans="1:9" ht="14.25" x14ac:dyDescent="0.2">
      <c r="A11" s="32">
        <v>2321</v>
      </c>
      <c r="B11" s="184" t="s">
        <v>890</v>
      </c>
      <c r="C11" s="274">
        <f t="shared" si="0"/>
        <v>675258.13</v>
      </c>
      <c r="D11" s="243">
        <v>675258.13</v>
      </c>
      <c r="E11" s="242"/>
      <c r="F11" s="252"/>
      <c r="G11" s="252"/>
      <c r="H11" s="252"/>
      <c r="I11" s="255"/>
    </row>
    <row r="12" spans="1:9" x14ac:dyDescent="0.2">
      <c r="A12" s="32">
        <v>2400</v>
      </c>
      <c r="B12" t="s">
        <v>711</v>
      </c>
      <c r="C12" s="274">
        <f t="shared" si="0"/>
        <v>1056924.2799999998</v>
      </c>
      <c r="D12" s="20">
        <f>'DOE25'!L206+'DOE25'!L224+'DOE25'!L242-F12-G12-H12</f>
        <v>1046240.2199999997</v>
      </c>
      <c r="E12" s="242"/>
      <c r="F12" s="243">
        <v>0</v>
      </c>
      <c r="G12" s="53">
        <f>'DOE25'!J206+'DOE25'!J224+'DOE25'!J242</f>
        <v>416.01</v>
      </c>
      <c r="H12" s="53">
        <f>'DOE25'!K206+'DOE25'!K224+'DOE25'!K242</f>
        <v>10268.049999999999</v>
      </c>
      <c r="I12" s="255"/>
    </row>
    <row r="13" spans="1:9" x14ac:dyDescent="0.2">
      <c r="A13" s="32">
        <v>2500</v>
      </c>
      <c r="B13" t="s">
        <v>798</v>
      </c>
      <c r="C13" s="274">
        <f t="shared" si="0"/>
        <v>319689.13</v>
      </c>
      <c r="D13" s="242"/>
      <c r="E13" s="20">
        <f>'DOE25'!L207+'DOE25'!L225+'DOE25'!L243-F13-G13-H13</f>
        <v>249986.28</v>
      </c>
      <c r="F13" s="243">
        <v>68520.350000000006</v>
      </c>
      <c r="G13" s="53">
        <f>'DOE25'!J207+'DOE25'!J225+'DOE25'!J243</f>
        <v>0</v>
      </c>
      <c r="H13" s="53">
        <f>'DOE25'!K207+'DOE25'!K225+'DOE25'!K243</f>
        <v>1182.5</v>
      </c>
      <c r="I13" s="255"/>
    </row>
    <row r="14" spans="1:9" x14ac:dyDescent="0.2">
      <c r="A14" s="32">
        <v>2600</v>
      </c>
      <c r="B14" t="s">
        <v>819</v>
      </c>
      <c r="C14" s="274">
        <f t="shared" si="0"/>
        <v>1678776.63</v>
      </c>
      <c r="D14" s="20">
        <f>'DOE25'!L208+'DOE25'!L226+'DOE25'!L244-F14-G14-H14</f>
        <v>1134461.46</v>
      </c>
      <c r="E14" s="242"/>
      <c r="F14" s="243">
        <v>510426.01</v>
      </c>
      <c r="G14" s="53">
        <f>'DOE25'!J208+'DOE25'!J226+'DOE25'!J244</f>
        <v>33889.160000000003</v>
      </c>
      <c r="H14" s="53">
        <f>'DOE25'!K208+'DOE25'!K226+'DOE25'!K244</f>
        <v>0</v>
      </c>
      <c r="I14" s="255"/>
    </row>
    <row r="15" spans="1:9" x14ac:dyDescent="0.2">
      <c r="A15" s="32">
        <v>2700</v>
      </c>
      <c r="B15" t="s">
        <v>799</v>
      </c>
      <c r="C15" s="274">
        <f t="shared" si="0"/>
        <v>507555.83000000007</v>
      </c>
      <c r="D15" s="20">
        <f>'DOE25'!L209+'DOE25'!L227+'DOE25'!L245-F15-G15-H15</f>
        <v>339980.34000000008</v>
      </c>
      <c r="E15" s="242"/>
      <c r="F15" s="243">
        <v>164136.48000000001</v>
      </c>
      <c r="G15" s="53">
        <f>'DOE25'!J209+'DOE25'!J227+'DOE25'!J245</f>
        <v>1540</v>
      </c>
      <c r="H15" s="53">
        <f>'DOE25'!K209+'DOE25'!K227+'DOE25'!K245</f>
        <v>1899.01</v>
      </c>
      <c r="I15" s="255"/>
    </row>
    <row r="16" spans="1:9" x14ac:dyDescent="0.2">
      <c r="A16" s="32">
        <v>2800</v>
      </c>
      <c r="B16" t="s">
        <v>800</v>
      </c>
      <c r="C16" s="274">
        <f t="shared" si="0"/>
        <v>197716.46</v>
      </c>
      <c r="D16" s="242"/>
      <c r="E16" s="20">
        <f>'DOE25'!L210+'DOE25'!L228+'DOE25'!L246-F16-G16-H16</f>
        <v>161302.07999999999</v>
      </c>
      <c r="F16" s="243">
        <v>26838.86</v>
      </c>
      <c r="G16" s="53">
        <f>'DOE25'!J210+'DOE25'!J228+'DOE25'!J246</f>
        <v>9575.52</v>
      </c>
      <c r="H16" s="53">
        <f>'DOE25'!K210+'DOE25'!K228+'DOE25'!K246</f>
        <v>0</v>
      </c>
      <c r="I16" s="255"/>
    </row>
    <row r="17" spans="1:9" x14ac:dyDescent="0.2">
      <c r="A17" s="32">
        <v>1600</v>
      </c>
      <c r="B17" t="s">
        <v>801</v>
      </c>
      <c r="C17" s="274">
        <f t="shared" si="0"/>
        <v>0</v>
      </c>
      <c r="D17" s="20">
        <f>'DOE25'!L252-F17-G17-H17</f>
        <v>0</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0</v>
      </c>
      <c r="D19" s="20">
        <f>'DOE25'!L254-F19-G19-H19</f>
        <v>0</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555010</v>
      </c>
      <c r="D29" s="282">
        <f>'DOE25'!L359+'DOE25'!L360+'DOE25'!L361-'DOE25'!I368-F29-G29-H29</f>
        <v>37000</v>
      </c>
      <c r="E29" s="242"/>
      <c r="F29" s="243">
        <v>518010</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1014177.8599999999</v>
      </c>
      <c r="D31" s="20">
        <f>'DOE25'!L291+'DOE25'!L310+'DOE25'!L329+'DOE25'!L334+'DOE25'!L335+'DOE25'!L336-F31-G31-H31</f>
        <v>589539.75999999989</v>
      </c>
      <c r="E31" s="242"/>
      <c r="F31" s="243">
        <v>413838.11</v>
      </c>
      <c r="G31" s="53">
        <f>'DOE25'!J291+'DOE25'!J310+'DOE25'!J329+'DOE25'!J334+'DOE25'!J335+'DOE25'!J336</f>
        <v>10799.99</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12630465.030000003</v>
      </c>
      <c r="E33" s="244">
        <f t="shared" si="1"/>
        <v>444359.79000000004</v>
      </c>
      <c r="F33" s="244">
        <f t="shared" si="1"/>
        <v>2614670.63</v>
      </c>
      <c r="G33" s="244">
        <f t="shared" si="1"/>
        <v>70243.650000000009</v>
      </c>
      <c r="H33" s="244">
        <f t="shared" si="1"/>
        <v>33537.06</v>
      </c>
      <c r="I33" s="244">
        <f t="shared" si="1"/>
        <v>0</v>
      </c>
    </row>
    <row r="35" spans="1:9" ht="12" thickBot="1" x14ac:dyDescent="0.25">
      <c r="B35" s="250" t="s">
        <v>831</v>
      </c>
      <c r="D35" s="251">
        <f>E33</f>
        <v>444359.79000000004</v>
      </c>
      <c r="E35" s="247"/>
      <c r="F35" s="328" t="s">
        <v>1617</v>
      </c>
      <c r="G35" s="329"/>
      <c r="H35" s="329"/>
      <c r="I35" s="329"/>
    </row>
    <row r="36" spans="1:9" ht="12" thickTop="1" x14ac:dyDescent="0.2">
      <c r="B36" t="s">
        <v>810</v>
      </c>
      <c r="D36" s="20">
        <f>D33</f>
        <v>12630465.030000003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A37" sqref="A37:XFD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Farmington</v>
      </c>
      <c r="B2" s="126">
        <f>'DOE25'!B2</f>
        <v>175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10309698.399999999</v>
      </c>
      <c r="G4" s="299">
        <f>'DOE25'!L212+'DOE25'!L291</f>
        <v>10309698.399999999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Henry Wilson Memorial School</v>
      </c>
      <c r="B6" s="300">
        <f>IFERROR(VLOOKUP(A6,'School Tables'!$C$3:$D$365,2,FALSE),"")</f>
        <v>22055</v>
      </c>
      <c r="C6" s="293" t="str">
        <f>IFERROR(INDEX('School Tables'!$B$3:$B$365,MATCH('School Level Expenditures'!B6,'School Tables'!$D$3:$D$365,0)),"")</f>
        <v>Farmington</v>
      </c>
      <c r="D6" s="290">
        <v>4319898.26</v>
      </c>
      <c r="E6" s="290">
        <v>405671.14</v>
      </c>
      <c r="F6" s="303">
        <f t="shared" ref="F6:F20" si="0">D6+E6</f>
        <v>4725569.3999999994</v>
      </c>
      <c r="G6" s="293"/>
      <c r="H6" s="293"/>
      <c r="I6" s="384"/>
      <c r="N6"/>
    </row>
    <row r="7" spans="1:18" x14ac:dyDescent="0.2">
      <c r="A7" s="126" t="str" cm="1">
        <f t="array" ref="A7">IFERROR(INDEX('School Tables'!$A$4:$G$325,'School Tables'!$J5,3),"")</f>
        <v>Valley View Community School</v>
      </c>
      <c r="B7" s="300">
        <f>IFERROR(VLOOKUP(A7,'School Tables'!$C$3:$D$365,2,FALSE),"")</f>
        <v>27980</v>
      </c>
      <c r="C7" s="293" t="str">
        <f>IFERROR(INDEX('School Tables'!$B$3:$B$365,MATCH('School Level Expenditures'!B7,'School Tables'!$D$3:$D$365,0)),"")</f>
        <v>Farmington</v>
      </c>
      <c r="D7" s="290">
        <v>5279875.6399999997</v>
      </c>
      <c r="E7" s="290">
        <v>304253.36</v>
      </c>
      <c r="F7" s="303">
        <f t="shared" si="0"/>
        <v>5584129</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9599773.8999999985</v>
      </c>
      <c r="E21" s="338">
        <f>SUM(E5:E20)</f>
        <v>709924.5</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4909042.7600000007</v>
      </c>
      <c r="G36" s="299">
        <f>'DOE25'!L248+'DOE25'!L329</f>
        <v>4909042.76</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Farmington Senior High School</v>
      </c>
      <c r="B38" s="300">
        <f>IFERROR(VLOOKUP(A38,'School Tables'!$Y$4:$Z$100,2,FALSE),"")</f>
        <v>22050</v>
      </c>
      <c r="C38" s="293" t="str">
        <f>IFERROR(INDEX('School Tables'!$X$4:$X$100,MATCH('School Level Expenditures'!A38,'School Tables'!$Y$4:$Y$100,0)),"")</f>
        <v>Farmington</v>
      </c>
      <c r="D38" s="290">
        <v>4604789.4000000004</v>
      </c>
      <c r="E38" s="290">
        <v>304253.36</v>
      </c>
      <c r="F38" s="303">
        <f t="shared" si="2"/>
        <v>4909042.7600000007</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4604789.4000000004</v>
      </c>
      <c r="E43" s="339">
        <f>SUM(E37:E42)</f>
        <v>304253.36</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E14" sqref="E1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Farmington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888818.4</v>
      </c>
      <c r="D8" s="95">
        <f>'DOE25'!G9</f>
        <v>38893.81</v>
      </c>
      <c r="E8" s="95">
        <f>'DOE25'!H9</f>
        <v>743984.44</v>
      </c>
      <c r="F8" s="95">
        <f>'DOE25'!I9</f>
        <v>0</v>
      </c>
      <c r="G8" s="95">
        <f>'DOE25'!J9</f>
        <v>0</v>
      </c>
      <c r="H8" s="124">
        <f>SUM(C8:G8)</f>
        <v>1671696.65</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281498.84999999998</v>
      </c>
      <c r="D11" s="95">
        <f>'DOE25'!G12</f>
        <v>166354.54</v>
      </c>
      <c r="E11" s="95">
        <f>'DOE25'!H12</f>
        <v>-808938.57</v>
      </c>
      <c r="F11" s="95">
        <f>'DOE25'!I12</f>
        <v>0</v>
      </c>
      <c r="G11" s="95">
        <f>'DOE25'!J12</f>
        <v>0</v>
      </c>
      <c r="H11" s="124">
        <f t="shared" si="0"/>
        <v>-361085.17999999993</v>
      </c>
      <c r="I11" s="124"/>
    </row>
    <row r="12" spans="1:9" x14ac:dyDescent="0.2">
      <c r="A12" s="1" t="s">
        <v>143</v>
      </c>
      <c r="B12" s="6">
        <v>140</v>
      </c>
      <c r="C12" s="95">
        <f>'DOE25'!F13</f>
        <v>15049.61</v>
      </c>
      <c r="D12" s="95">
        <f>'DOE25'!G13</f>
        <v>33301.11</v>
      </c>
      <c r="E12" s="95">
        <f>'DOE25'!H13</f>
        <v>730907.54</v>
      </c>
      <c r="F12" s="95">
        <f>'DOE25'!I13</f>
        <v>0</v>
      </c>
      <c r="G12" s="95">
        <f>'DOE25'!J13</f>
        <v>1252079.23</v>
      </c>
      <c r="H12" s="124">
        <f t="shared" si="0"/>
        <v>2031337.49</v>
      </c>
      <c r="I12" s="124"/>
    </row>
    <row r="13" spans="1:9" x14ac:dyDescent="0.2">
      <c r="A13" s="1" t="s">
        <v>144</v>
      </c>
      <c r="B13" s="6">
        <v>150</v>
      </c>
      <c r="C13" s="95">
        <f>'DOE25'!F14</f>
        <v>180527.62</v>
      </c>
      <c r="D13" s="95">
        <f>'DOE25'!G14</f>
        <v>84709.69</v>
      </c>
      <c r="E13" s="95">
        <f>'DOE25'!H14</f>
        <v>0</v>
      </c>
      <c r="F13" s="95">
        <f>'DOE25'!I14</f>
        <v>0</v>
      </c>
      <c r="G13" s="95">
        <f>'DOE25'!J14</f>
        <v>0</v>
      </c>
      <c r="H13" s="124">
        <f t="shared" si="0"/>
        <v>265237.31</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2075</v>
      </c>
      <c r="D17" s="95">
        <f>'DOE25'!G18</f>
        <v>0</v>
      </c>
      <c r="E17" s="95">
        <f>'DOE25'!H18</f>
        <v>0</v>
      </c>
      <c r="F17" s="95">
        <f>'DOE25'!I18</f>
        <v>0</v>
      </c>
      <c r="G17" s="95">
        <f>'DOE25'!J18</f>
        <v>0</v>
      </c>
      <c r="H17" s="124">
        <f t="shared" si="0"/>
        <v>2075</v>
      </c>
      <c r="I17" s="124"/>
    </row>
    <row r="18" spans="1:9" ht="12" thickTop="1" x14ac:dyDescent="0.2">
      <c r="A18" s="38" t="s">
        <v>149</v>
      </c>
      <c r="B18" s="39"/>
      <c r="C18" s="41">
        <f>SUM(C8:C17)</f>
        <v>1367969.48</v>
      </c>
      <c r="D18" s="41">
        <f>SUM(D8:D17)</f>
        <v>323259.15000000002</v>
      </c>
      <c r="E18" s="41">
        <f>SUM(E8:E17)</f>
        <v>665953.41</v>
      </c>
      <c r="F18" s="41">
        <f>SUM(F8:F17)</f>
        <v>0</v>
      </c>
      <c r="G18" s="41">
        <f>SUM(G8:G17)</f>
        <v>1252079.23</v>
      </c>
      <c r="H18" s="41">
        <f t="shared" si="0"/>
        <v>3609261.27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-1156.69</v>
      </c>
      <c r="D22" s="95">
        <f>'DOE25'!G23</f>
        <v>0</v>
      </c>
      <c r="E22" s="95">
        <f>'DOE25'!H23</f>
        <v>0</v>
      </c>
      <c r="F22" s="95">
        <f>'DOE25'!I23</f>
        <v>0</v>
      </c>
      <c r="G22" s="95">
        <f>'DOE25'!J23</f>
        <v>0</v>
      </c>
      <c r="H22" s="124">
        <f t="shared" si="1"/>
        <v>-1156.69</v>
      </c>
      <c r="I22" s="124"/>
    </row>
    <row r="23" spans="1:9" x14ac:dyDescent="0.2">
      <c r="A23" s="1" t="s">
        <v>152</v>
      </c>
      <c r="B23" s="6">
        <v>420</v>
      </c>
      <c r="C23" s="95">
        <f>'DOE25'!F24</f>
        <v>141302.49</v>
      </c>
      <c r="D23" s="95">
        <f>'DOE25'!G24</f>
        <v>121952.5</v>
      </c>
      <c r="E23" s="95">
        <f>'DOE25'!H24</f>
        <v>11035.93</v>
      </c>
      <c r="F23" s="95">
        <f>'DOE25'!I24</f>
        <v>0</v>
      </c>
      <c r="G23" s="95">
        <f>'DOE25'!J24</f>
        <v>0</v>
      </c>
      <c r="H23" s="124">
        <f t="shared" si="1"/>
        <v>274290.92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43848.63</v>
      </c>
      <c r="D27" s="95">
        <f>'DOE25'!G28</f>
        <v>0</v>
      </c>
      <c r="E27" s="95">
        <f>'DOE25'!H28</f>
        <v>35788.61</v>
      </c>
      <c r="F27" s="95">
        <f>'DOE25'!I28</f>
        <v>0</v>
      </c>
      <c r="G27" s="24" t="s">
        <v>288</v>
      </c>
      <c r="H27" s="124">
        <f t="shared" si="1"/>
        <v>79637.239999999991</v>
      </c>
      <c r="I27" s="124"/>
    </row>
    <row r="28" spans="1:9" x14ac:dyDescent="0.2">
      <c r="A28" s="1" t="s">
        <v>157</v>
      </c>
      <c r="B28" s="6">
        <v>470</v>
      </c>
      <c r="C28" s="95">
        <f>'DOE25'!F29</f>
        <v>199613.59</v>
      </c>
      <c r="D28" s="95">
        <f>'DOE25'!G29</f>
        <v>0</v>
      </c>
      <c r="E28" s="95">
        <f>'DOE25'!H29</f>
        <v>0</v>
      </c>
      <c r="F28" s="95">
        <f>'DOE25'!I29</f>
        <v>0</v>
      </c>
      <c r="G28" s="24" t="s">
        <v>288</v>
      </c>
      <c r="H28" s="124">
        <f t="shared" si="1"/>
        <v>199613.59</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383608.02</v>
      </c>
      <c r="D31" s="41">
        <f>SUM(D21:D30)</f>
        <v>121952.5</v>
      </c>
      <c r="E31" s="41">
        <f>SUM(E21:E30)</f>
        <v>46824.54</v>
      </c>
      <c r="F31" s="41">
        <f>SUM(F21:F30)</f>
        <v>0</v>
      </c>
      <c r="G31" s="41">
        <f>SUM(G21:G30)</f>
        <v>0</v>
      </c>
      <c r="H31" s="41">
        <f t="shared" si="1"/>
        <v>552385.06000000006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162917.14000000001</v>
      </c>
      <c r="E39" s="24" t="s">
        <v>288</v>
      </c>
      <c r="F39" s="24" t="s">
        <v>288</v>
      </c>
      <c r="G39" s="24" t="s">
        <v>288</v>
      </c>
      <c r="H39" s="124">
        <f t="shared" si="2"/>
        <v>162917.14000000001</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245000</v>
      </c>
      <c r="D43" s="95">
        <f>'DOE25'!G44</f>
        <v>0</v>
      </c>
      <c r="E43" s="95">
        <f>'DOE25'!H44</f>
        <v>0</v>
      </c>
      <c r="F43" s="95">
        <f>'DOE25'!I44</f>
        <v>0</v>
      </c>
      <c r="G43" s="24" t="s">
        <v>288</v>
      </c>
      <c r="H43" s="124">
        <f t="shared" si="2"/>
        <v>245000</v>
      </c>
      <c r="I43" s="124"/>
    </row>
    <row r="44" spans="1:9" x14ac:dyDescent="0.2">
      <c r="A44" s="1" t="s">
        <v>864</v>
      </c>
      <c r="B44" s="6">
        <v>753</v>
      </c>
      <c r="C44" s="95">
        <f>'DOE25'!F45</f>
        <v>0</v>
      </c>
      <c r="D44" s="95">
        <f>'DOE25'!G45</f>
        <v>0</v>
      </c>
      <c r="E44" s="95">
        <f>'DOE25'!H45</f>
        <v>4629.8599999999997</v>
      </c>
      <c r="F44" s="95">
        <f>'DOE25'!I45</f>
        <v>0</v>
      </c>
      <c r="G44" s="95">
        <f>'DOE25'!J45</f>
        <v>0</v>
      </c>
      <c r="H44" s="124">
        <f t="shared" si="2"/>
        <v>4629.8599999999997</v>
      </c>
      <c r="I44" s="124"/>
    </row>
    <row r="45" spans="1:9" x14ac:dyDescent="0.2">
      <c r="A45" s="1" t="s">
        <v>880</v>
      </c>
      <c r="B45" s="6"/>
      <c r="C45" s="95">
        <f>'DOE25'!F46</f>
        <v>100000</v>
      </c>
      <c r="D45" s="24" t="s">
        <v>288</v>
      </c>
      <c r="E45" s="24" t="s">
        <v>288</v>
      </c>
      <c r="F45" s="24" t="s">
        <v>288</v>
      </c>
      <c r="G45" s="24" t="s">
        <v>288</v>
      </c>
      <c r="H45" s="124">
        <f t="shared" si="2"/>
        <v>100000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1252079.23</v>
      </c>
      <c r="H47" s="124">
        <f t="shared" si="2"/>
        <v>1252079.23</v>
      </c>
      <c r="I47" s="124"/>
    </row>
    <row r="48" spans="1:9" x14ac:dyDescent="0.2">
      <c r="A48" s="1" t="s">
        <v>882</v>
      </c>
      <c r="B48" s="6">
        <v>753</v>
      </c>
      <c r="C48" s="95">
        <f>'DOE25'!F49</f>
        <v>0</v>
      </c>
      <c r="D48" s="95">
        <f>'DOE25'!G49</f>
        <v>38389.51</v>
      </c>
      <c r="E48" s="95">
        <f>'DOE25'!H49</f>
        <v>614499.01</v>
      </c>
      <c r="F48" s="95">
        <f>'DOE25'!I49</f>
        <v>0</v>
      </c>
      <c r="G48" s="95">
        <f>'DOE25'!J49</f>
        <v>0</v>
      </c>
      <c r="H48" s="124">
        <f t="shared" si="2"/>
        <v>652888.52</v>
      </c>
      <c r="I48" s="124"/>
    </row>
    <row r="49" spans="1:9" ht="12" thickBot="1" x14ac:dyDescent="0.25">
      <c r="A49" s="29" t="s">
        <v>883</v>
      </c>
      <c r="B49" s="71">
        <v>770</v>
      </c>
      <c r="C49" s="95">
        <f>'DOE25'!F50</f>
        <v>639361.46</v>
      </c>
      <c r="D49" s="24" t="s">
        <v>288</v>
      </c>
      <c r="E49" s="24" t="s">
        <v>288</v>
      </c>
      <c r="F49" s="24" t="s">
        <v>288</v>
      </c>
      <c r="G49" s="24" t="s">
        <v>288</v>
      </c>
      <c r="H49" s="124">
        <f t="shared" si="2"/>
        <v>639361.46</v>
      </c>
      <c r="I49" s="124"/>
    </row>
    <row r="50" spans="1:9" ht="12.75" thickTop="1" thickBot="1" x14ac:dyDescent="0.25">
      <c r="A50" s="38" t="s">
        <v>884</v>
      </c>
      <c r="B50" s="48"/>
      <c r="C50" s="41">
        <f>SUM(C34:C49)</f>
        <v>984361.46</v>
      </c>
      <c r="D50" s="41">
        <f>SUM(D34:D49)</f>
        <v>201306.65000000002</v>
      </c>
      <c r="E50" s="41">
        <f>SUM(E34:E49)</f>
        <v>619128.87</v>
      </c>
      <c r="F50" s="41">
        <f>SUM(F34:F49)</f>
        <v>0</v>
      </c>
      <c r="G50" s="41">
        <f>SUM(G34:G49)</f>
        <v>1252079.23</v>
      </c>
      <c r="H50" s="41">
        <f t="shared" si="2"/>
        <v>3056876.21</v>
      </c>
      <c r="I50" s="124"/>
    </row>
    <row r="51" spans="1:9" ht="12" thickTop="1" x14ac:dyDescent="0.2">
      <c r="A51" s="38" t="s">
        <v>885</v>
      </c>
      <c r="B51" s="2"/>
      <c r="C51" s="41">
        <f>C50+C31</f>
        <v>1367969.48</v>
      </c>
      <c r="D51" s="41">
        <f>D50+D31</f>
        <v>323259.15000000002</v>
      </c>
      <c r="E51" s="41">
        <f>E50+E31</f>
        <v>665953.41</v>
      </c>
      <c r="F51" s="41">
        <f>F50+F31</f>
        <v>0</v>
      </c>
      <c r="G51" s="41">
        <f>G50+G31</f>
        <v>1252079.23</v>
      </c>
      <c r="H51" s="41">
        <f t="shared" si="2"/>
        <v>3609261.27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7084557</v>
      </c>
      <c r="D56" s="95">
        <f>'DOE25'!G60</f>
        <v>0</v>
      </c>
      <c r="E56" s="95">
        <f>'DOE25'!H60</f>
        <v>0</v>
      </c>
      <c r="F56" s="95">
        <f>'DOE25'!I60</f>
        <v>0</v>
      </c>
      <c r="G56" s="95">
        <f>'DOE25'!J60</f>
        <v>0</v>
      </c>
      <c r="H56" s="124">
        <f t="shared" ref="H56:H63" si="3">SUM(C56:G56)</f>
        <v>7084557</v>
      </c>
      <c r="I56"/>
    </row>
    <row r="57" spans="1:9" x14ac:dyDescent="0.2">
      <c r="A57" s="1" t="s">
        <v>164</v>
      </c>
      <c r="B57" s="6" t="s">
        <v>165</v>
      </c>
      <c r="C57" s="95">
        <f>'DOE25'!F79</f>
        <v>13810</v>
      </c>
      <c r="D57" s="24" t="s">
        <v>288</v>
      </c>
      <c r="E57" s="95">
        <f>'DOE25'!H79</f>
        <v>0</v>
      </c>
      <c r="F57" s="24" t="s">
        <v>288</v>
      </c>
      <c r="G57" s="24" t="s">
        <v>288</v>
      </c>
      <c r="H57" s="124">
        <f t="shared" si="3"/>
        <v>13810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0</v>
      </c>
      <c r="G59" s="95">
        <f>'DOE25'!J96</f>
        <v>1203.03</v>
      </c>
      <c r="H59" s="124">
        <f t="shared" si="3"/>
        <v>1203.03</v>
      </c>
      <c r="I59"/>
    </row>
    <row r="60" spans="1:9" x14ac:dyDescent="0.2">
      <c r="A60" s="1" t="s">
        <v>170</v>
      </c>
      <c r="B60" s="118" t="s">
        <v>171</v>
      </c>
      <c r="C60" s="24" t="s">
        <v>288</v>
      </c>
      <c r="D60" s="95">
        <f>'DOE25'!G97</f>
        <v>106797.1</v>
      </c>
      <c r="E60" s="24" t="s">
        <v>288</v>
      </c>
      <c r="F60" s="24" t="s">
        <v>288</v>
      </c>
      <c r="G60" s="24" t="s">
        <v>288</v>
      </c>
      <c r="H60" s="124">
        <f t="shared" si="3"/>
        <v>106797.1</v>
      </c>
      <c r="I60"/>
    </row>
    <row r="61" spans="1:9" ht="12" thickBot="1" x14ac:dyDescent="0.25">
      <c r="A61" s="1" t="s">
        <v>172</v>
      </c>
      <c r="B61" s="118" t="s">
        <v>173</v>
      </c>
      <c r="C61" s="95">
        <f>SUM('DOE25'!F98:F110)</f>
        <v>18456.059999999998</v>
      </c>
      <c r="D61" s="95">
        <f>SUM('DOE25'!G98:G110)</f>
        <v>0</v>
      </c>
      <c r="E61" s="95">
        <f>SUM('DOE25'!H98:H110)</f>
        <v>0</v>
      </c>
      <c r="F61" s="95">
        <f>SUM('DOE25'!I98:I110)</f>
        <v>0</v>
      </c>
      <c r="G61" s="95">
        <f>SUM('DOE25'!J98:J110)</f>
        <v>0</v>
      </c>
      <c r="H61" s="124">
        <f t="shared" si="3"/>
        <v>18456.059999999998</v>
      </c>
      <c r="I61"/>
    </row>
    <row r="62" spans="1:9" ht="12.75" thickTop="1" thickBot="1" x14ac:dyDescent="0.25">
      <c r="A62" s="29" t="s">
        <v>174</v>
      </c>
      <c r="B62" s="6"/>
      <c r="C62" s="130">
        <f>SUM(C57:C61)</f>
        <v>32266.059999999998</v>
      </c>
      <c r="D62" s="130">
        <f>SUM(D57:D61)</f>
        <v>106797.1</v>
      </c>
      <c r="E62" s="130">
        <f>SUM(E57:E61)</f>
        <v>0</v>
      </c>
      <c r="F62" s="130">
        <f>SUM(F57:F61)</f>
        <v>0</v>
      </c>
      <c r="G62" s="130">
        <f>SUM(G57:G61)</f>
        <v>1203.03</v>
      </c>
      <c r="H62" s="124">
        <f t="shared" si="3"/>
        <v>140266.19</v>
      </c>
      <c r="I62"/>
    </row>
    <row r="63" spans="1:9" ht="12" thickTop="1" x14ac:dyDescent="0.2">
      <c r="A63" s="29" t="s">
        <v>175</v>
      </c>
      <c r="B63" s="6"/>
      <c r="C63" s="22">
        <f>C56+C62</f>
        <v>7116823.0599999996</v>
      </c>
      <c r="D63" s="22">
        <f>D56+D62</f>
        <v>106797.1</v>
      </c>
      <c r="E63" s="22">
        <f>E56+E62</f>
        <v>0</v>
      </c>
      <c r="F63" s="22">
        <f>F56+F62</f>
        <v>0</v>
      </c>
      <c r="G63" s="22">
        <f>G56+G62</f>
        <v>1203.03</v>
      </c>
      <c r="H63" s="124">
        <f t="shared" si="3"/>
        <v>7224823.1899999995</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6295433.5800000001</v>
      </c>
      <c r="D66" s="24" t="s">
        <v>288</v>
      </c>
      <c r="E66" s="24" t="s">
        <v>288</v>
      </c>
      <c r="F66" s="24" t="s">
        <v>288</v>
      </c>
      <c r="G66" s="24" t="s">
        <v>288</v>
      </c>
      <c r="H66" s="124">
        <f t="shared" ref="H66:H81" si="4">SUM(C66:G66)</f>
        <v>6295433.5800000001</v>
      </c>
      <c r="I66"/>
    </row>
    <row r="67" spans="1:9" x14ac:dyDescent="0.2">
      <c r="A67" s="1" t="s">
        <v>770</v>
      </c>
      <c r="B67" s="6">
        <v>3112</v>
      </c>
      <c r="C67" s="95">
        <f>'DOE25'!F118</f>
        <v>1016448</v>
      </c>
      <c r="D67" s="24"/>
      <c r="E67" s="24"/>
      <c r="F67" s="24"/>
      <c r="G67" s="24"/>
      <c r="H67" s="124">
        <f t="shared" si="4"/>
        <v>1016448</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3990.42</v>
      </c>
      <c r="D69" s="95">
        <f>'DOE25'!G120</f>
        <v>0</v>
      </c>
      <c r="E69" s="95">
        <f>'DOE25'!H120</f>
        <v>0</v>
      </c>
      <c r="F69" s="95">
        <f>'DOE25'!I120</f>
        <v>0</v>
      </c>
      <c r="G69" s="95">
        <f>'DOE25'!J120</f>
        <v>0</v>
      </c>
      <c r="H69" s="124">
        <f t="shared" si="4"/>
        <v>3990.42</v>
      </c>
      <c r="I69"/>
    </row>
    <row r="70" spans="1:9" ht="12" thickTop="1" x14ac:dyDescent="0.2">
      <c r="A70" s="29" t="s">
        <v>252</v>
      </c>
      <c r="B70" s="2"/>
      <c r="C70" s="139">
        <f>SUM(C66:C69)</f>
        <v>7315872</v>
      </c>
      <c r="D70" s="139">
        <f>D69</f>
        <v>0</v>
      </c>
      <c r="E70" s="139">
        <f>E69</f>
        <v>0</v>
      </c>
      <c r="F70" s="139">
        <f>F69</f>
        <v>0</v>
      </c>
      <c r="G70" s="139">
        <f>G69</f>
        <v>0</v>
      </c>
      <c r="H70" s="124">
        <f t="shared" si="4"/>
        <v>7315872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144262.51999999999</v>
      </c>
      <c r="D75" s="24" t="s">
        <v>288</v>
      </c>
      <c r="E75" s="24" t="s">
        <v>288</v>
      </c>
      <c r="F75" s="24" t="s">
        <v>288</v>
      </c>
      <c r="G75" s="24" t="s">
        <v>288</v>
      </c>
      <c r="H75" s="124">
        <f t="shared" si="4"/>
        <v>144262.51999999999</v>
      </c>
      <c r="I75"/>
    </row>
    <row r="76" spans="1:9" x14ac:dyDescent="0.2">
      <c r="A76" s="1" t="s">
        <v>257</v>
      </c>
      <c r="B76" s="6" t="s">
        <v>179</v>
      </c>
      <c r="C76" s="95">
        <f>SUM('DOE25'!F127:F130)</f>
        <v>8678.7999999999993</v>
      </c>
      <c r="D76" s="24" t="s">
        <v>288</v>
      </c>
      <c r="E76" s="95">
        <f>SUM('DOE25'!H127:H130)</f>
        <v>0</v>
      </c>
      <c r="F76" s="95">
        <f>SUM('DOE25'!I127:I130)</f>
        <v>0</v>
      </c>
      <c r="G76" s="24" t="s">
        <v>288</v>
      </c>
      <c r="H76" s="124">
        <f t="shared" si="4"/>
        <v>8678.7999999999993</v>
      </c>
      <c r="I76"/>
    </row>
    <row r="77" spans="1:9" ht="12" thickBot="1" x14ac:dyDescent="0.25">
      <c r="A77" s="1" t="s">
        <v>258</v>
      </c>
      <c r="B77" s="6" t="s">
        <v>180</v>
      </c>
      <c r="C77" s="95">
        <f>SUM('DOE25'!F131:F135)</f>
        <v>0</v>
      </c>
      <c r="D77" s="95">
        <f>SUM('DOE25'!G131:G135)</f>
        <v>1903.14</v>
      </c>
      <c r="E77" s="95">
        <f>SUM('DOE25'!H131:H135)</f>
        <v>4300</v>
      </c>
      <c r="F77" s="95">
        <f>SUM('DOE25'!I131:I135)</f>
        <v>0</v>
      </c>
      <c r="G77" s="95">
        <f>SUM('DOE25'!J131:J135)</f>
        <v>0</v>
      </c>
      <c r="H77" s="124">
        <f t="shared" si="4"/>
        <v>6203.14</v>
      </c>
      <c r="I77"/>
    </row>
    <row r="78" spans="1:9" ht="12.75" thickTop="1" thickBot="1" x14ac:dyDescent="0.25">
      <c r="A78" s="29" t="s">
        <v>259</v>
      </c>
      <c r="B78" s="6"/>
      <c r="C78" s="130">
        <f>SUM(C72:C77)</f>
        <v>152941.31999999998</v>
      </c>
      <c r="D78" s="130">
        <f>SUM(D72:D77)</f>
        <v>1903.14</v>
      </c>
      <c r="E78" s="130">
        <f>SUM(E72:E77)</f>
        <v>4300</v>
      </c>
      <c r="F78" s="130">
        <f>SUM(F72:F77)</f>
        <v>0</v>
      </c>
      <c r="G78" s="130">
        <f>SUM(G72:G77)</f>
        <v>0</v>
      </c>
      <c r="H78" s="124">
        <f t="shared" si="4"/>
        <v>159144.46</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7468813.3200000003</v>
      </c>
      <c r="D81" s="130">
        <f>SUM(D79:D80)+D78+D70</f>
        <v>1903.14</v>
      </c>
      <c r="E81" s="130">
        <f>SUM(E79:E80)+E78+E70</f>
        <v>4300</v>
      </c>
      <c r="F81" s="130">
        <f>SUM(F79:F80)+F78+F70</f>
        <v>0</v>
      </c>
      <c r="G81" s="130">
        <f>SUM(G79:G80)+G78+G70</f>
        <v>0</v>
      </c>
      <c r="H81" s="130">
        <f t="shared" si="4"/>
        <v>7475016.46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51481.36</v>
      </c>
      <c r="D88" s="326">
        <f>SUM('DOE25'!G153:G162)</f>
        <v>641969.41</v>
      </c>
      <c r="E88" s="326">
        <f>SUM('DOE25'!H153:H162)</f>
        <v>1629006.73</v>
      </c>
      <c r="F88" s="326">
        <f>SUM('DOE25'!I153:I162)</f>
        <v>0</v>
      </c>
      <c r="G88" s="24" t="s">
        <v>288</v>
      </c>
      <c r="H88" s="124">
        <f t="shared" si="5"/>
        <v>2322457.5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51481.36</v>
      </c>
      <c r="D91" s="131">
        <f>SUM(D85:D90)</f>
        <v>641969.41</v>
      </c>
      <c r="E91" s="131">
        <f>SUM(E85:E90)</f>
        <v>1629006.73</v>
      </c>
      <c r="F91" s="131">
        <f>SUM(F85:F90)</f>
        <v>0</v>
      </c>
      <c r="G91" s="24" t="s">
        <v>288</v>
      </c>
      <c r="H91" s="124">
        <f t="shared" si="5"/>
        <v>2322457.5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14637117.739999998</v>
      </c>
      <c r="D104" s="86">
        <f>D63+D81+D91+D103</f>
        <v>750669.65</v>
      </c>
      <c r="E104" s="86">
        <f>E63+E81+E91+E103</f>
        <v>1633306.73</v>
      </c>
      <c r="F104" s="86">
        <f>F63+F81+F91+F103</f>
        <v>0</v>
      </c>
      <c r="G104" s="86">
        <f>G63+G81+G103</f>
        <v>1203.03</v>
      </c>
      <c r="H104" s="86">
        <f t="shared" si="5"/>
        <v>17022297.149999999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4699836.55</v>
      </c>
      <c r="D109" s="24" t="s">
        <v>288</v>
      </c>
      <c r="E109" s="95">
        <f>('DOE25'!L277)+('DOE25'!L296)+('DOE25'!L315)</f>
        <v>626976.63</v>
      </c>
      <c r="F109" s="24" t="s">
        <v>288</v>
      </c>
      <c r="G109" s="24" t="s">
        <v>288</v>
      </c>
      <c r="H109" s="124">
        <f t="shared" ref="H109:H115" si="6">SUM(C109:G109)</f>
        <v>5326813.18</v>
      </c>
    </row>
    <row r="110" spans="1:8" x14ac:dyDescent="0.2">
      <c r="A110" t="s">
        <v>198</v>
      </c>
      <c r="B110" s="32" t="s">
        <v>199</v>
      </c>
      <c r="C110" s="95">
        <f>('DOE25'!L199)+('DOE25'!L217)+('DOE25'!L235)</f>
        <v>3216610.22</v>
      </c>
      <c r="D110" s="24" t="s">
        <v>288</v>
      </c>
      <c r="E110" s="95">
        <f>('DOE25'!L278)+('DOE25'!L297)+('DOE25'!L316)</f>
        <v>43858.559999999998</v>
      </c>
      <c r="F110" s="24" t="s">
        <v>288</v>
      </c>
      <c r="G110" s="24" t="s">
        <v>288</v>
      </c>
      <c r="H110" s="124">
        <f t="shared" si="6"/>
        <v>3260468.7800000003</v>
      </c>
    </row>
    <row r="111" spans="1:8" x14ac:dyDescent="0.2">
      <c r="A111" t="s">
        <v>200</v>
      </c>
      <c r="B111" s="32" t="s">
        <v>165</v>
      </c>
      <c r="C111" s="95">
        <f>('DOE25'!L200)+('DOE25'!L218)+('DOE25'!L236)</f>
        <v>56834.96</v>
      </c>
      <c r="D111" s="24" t="s">
        <v>288</v>
      </c>
      <c r="E111" s="95">
        <f>('DOE25'!L279)+('DOE25'!L298)+('DOE25'!L317)</f>
        <v>0</v>
      </c>
      <c r="F111" s="24" t="s">
        <v>288</v>
      </c>
      <c r="G111" s="24" t="s">
        <v>288</v>
      </c>
      <c r="H111" s="124">
        <f t="shared" si="6"/>
        <v>56834.96</v>
      </c>
    </row>
    <row r="112" spans="1:8" x14ac:dyDescent="0.2">
      <c r="A112" t="s">
        <v>201</v>
      </c>
      <c r="B112" s="32" t="s">
        <v>167</v>
      </c>
      <c r="C112" s="95">
        <f>('DOE25'!L201)+('DOE25'!L219)+('DOE25'!L237)</f>
        <v>233714.02</v>
      </c>
      <c r="D112" s="24" t="s">
        <v>288</v>
      </c>
      <c r="E112" s="95">
        <f>+('DOE25'!L280)+('DOE25'!L299)+('DOE25'!L318)</f>
        <v>0</v>
      </c>
      <c r="F112" s="24" t="s">
        <v>288</v>
      </c>
      <c r="G112" s="24" t="s">
        <v>288</v>
      </c>
      <c r="H112" s="124">
        <f t="shared" si="6"/>
        <v>233714.02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8206995.7499999991</v>
      </c>
      <c r="D115" s="86">
        <f>SUM(D109:D114)</f>
        <v>0</v>
      </c>
      <c r="E115" s="86">
        <f>SUM(E109:E114)</f>
        <v>670835.18999999994</v>
      </c>
      <c r="F115" s="86">
        <f>SUM(F109:F114)</f>
        <v>0</v>
      </c>
      <c r="G115" s="86">
        <f>SUM(G109:G114)</f>
        <v>0</v>
      </c>
      <c r="H115" s="86">
        <f t="shared" si="6"/>
        <v>8877830.9399999995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1066436.44</v>
      </c>
      <c r="D118" s="24" t="s">
        <v>288</v>
      </c>
      <c r="E118" s="95">
        <f>+('DOE25'!L282)+('DOE25'!L301)+('DOE25'!L320)</f>
        <v>132032.07999999999</v>
      </c>
      <c r="F118" s="24" t="s">
        <v>288</v>
      </c>
      <c r="G118" s="24" t="s">
        <v>288</v>
      </c>
      <c r="H118" s="124">
        <f t="shared" ref="H118:H145" si="7">SUM(C118:G118)</f>
        <v>1198468.52</v>
      </c>
    </row>
    <row r="119" spans="1:8" x14ac:dyDescent="0.2">
      <c r="A119" t="s">
        <v>208</v>
      </c>
      <c r="B119" s="32" t="s">
        <v>209</v>
      </c>
      <c r="C119" s="95">
        <f>('DOE25'!L204)+('DOE25'!L222)+('DOE25'!L240)</f>
        <v>448955.55999999994</v>
      </c>
      <c r="D119" s="24" t="s">
        <v>288</v>
      </c>
      <c r="E119" s="95">
        <f>+('DOE25'!L283)+('DOE25'!L302)+('DOE25'!L321)</f>
        <v>54434.950000000004</v>
      </c>
      <c r="F119" s="24" t="s">
        <v>288</v>
      </c>
      <c r="G119" s="24" t="s">
        <v>288</v>
      </c>
      <c r="H119" s="124">
        <f t="shared" si="7"/>
        <v>503390.50999999995</v>
      </c>
    </row>
    <row r="120" spans="1:8" x14ac:dyDescent="0.2">
      <c r="A120" t="s">
        <v>210</v>
      </c>
      <c r="B120" s="32" t="s">
        <v>211</v>
      </c>
      <c r="C120" s="95">
        <f>('DOE25'!L205)+('DOE25'!L223)+('DOE25'!L241)</f>
        <v>721513.22</v>
      </c>
      <c r="D120" s="24" t="s">
        <v>288</v>
      </c>
      <c r="E120" s="95">
        <f>+('DOE25'!L284)+('DOE25'!L303)+('DOE25'!L322)</f>
        <v>37894.47</v>
      </c>
      <c r="F120" s="24" t="s">
        <v>288</v>
      </c>
      <c r="G120" s="24" t="s">
        <v>288</v>
      </c>
      <c r="H120" s="124">
        <f t="shared" si="7"/>
        <v>759407.69</v>
      </c>
    </row>
    <row r="121" spans="1:8" x14ac:dyDescent="0.2">
      <c r="A121" t="s">
        <v>212</v>
      </c>
      <c r="B121" s="32" t="s">
        <v>213</v>
      </c>
      <c r="C121" s="95">
        <f>('DOE25'!L206)+('DOE25'!L224)+('DOE25'!L242)</f>
        <v>1056924.2799999998</v>
      </c>
      <c r="D121" s="24" t="s">
        <v>288</v>
      </c>
      <c r="E121" s="95">
        <f>+('DOE25'!L285)+('DOE25'!L304)+('DOE25'!L323)</f>
        <v>0</v>
      </c>
      <c r="F121" s="24" t="s">
        <v>288</v>
      </c>
      <c r="G121" s="24" t="s">
        <v>288</v>
      </c>
      <c r="H121" s="124">
        <f t="shared" si="7"/>
        <v>1056924.2799999998</v>
      </c>
    </row>
    <row r="122" spans="1:8" x14ac:dyDescent="0.2">
      <c r="A122" t="s">
        <v>214</v>
      </c>
      <c r="B122" s="32" t="s">
        <v>215</v>
      </c>
      <c r="C122" s="95">
        <f>('DOE25'!L207)+('DOE25'!L225)+('DOE25'!L243)</f>
        <v>319689.13</v>
      </c>
      <c r="D122" s="24" t="s">
        <v>288</v>
      </c>
      <c r="E122" s="95">
        <f>+('DOE25'!L286)+('DOE25'!L305)+('DOE25'!L324)</f>
        <v>0</v>
      </c>
      <c r="F122" s="24" t="s">
        <v>288</v>
      </c>
      <c r="G122" s="24" t="s">
        <v>288</v>
      </c>
      <c r="H122" s="124">
        <f t="shared" si="7"/>
        <v>319689.13</v>
      </c>
    </row>
    <row r="123" spans="1:8" x14ac:dyDescent="0.2">
      <c r="A123" t="s">
        <v>216</v>
      </c>
      <c r="B123" s="32" t="s">
        <v>217</v>
      </c>
      <c r="C123" s="95">
        <f>('DOE25'!L208)+('DOE25'!L226)+('DOE25'!L244)</f>
        <v>1678776.63</v>
      </c>
      <c r="D123" s="24" t="s">
        <v>288</v>
      </c>
      <c r="E123" s="95">
        <f>+('DOE25'!L287)+('DOE25'!L306)+('DOE25'!L325)</f>
        <v>118181.18</v>
      </c>
      <c r="F123" s="24" t="s">
        <v>288</v>
      </c>
      <c r="G123" s="24" t="s">
        <v>288</v>
      </c>
      <c r="H123" s="124">
        <f t="shared" si="7"/>
        <v>1796957.8099999998</v>
      </c>
    </row>
    <row r="124" spans="1:8" x14ac:dyDescent="0.2">
      <c r="A124" t="s">
        <v>218</v>
      </c>
      <c r="B124" s="32" t="s">
        <v>219</v>
      </c>
      <c r="C124" s="95">
        <f>('DOE25'!L209)+('DOE25'!L227)+('DOE25'!L245+'DOE25'!L255)</f>
        <v>507555.83000000007</v>
      </c>
      <c r="D124" s="24" t="s">
        <v>288</v>
      </c>
      <c r="E124" s="95">
        <f>+('DOE25'!L288)+('DOE25'!L307)+('DOE25'!L326)</f>
        <v>0</v>
      </c>
      <c r="F124" s="24" t="s">
        <v>288</v>
      </c>
      <c r="G124" s="24" t="s">
        <v>288</v>
      </c>
      <c r="H124" s="124">
        <f t="shared" si="7"/>
        <v>507555.83000000007</v>
      </c>
    </row>
    <row r="125" spans="1:8" x14ac:dyDescent="0.2">
      <c r="A125" t="s">
        <v>220</v>
      </c>
      <c r="B125" s="32" t="s">
        <v>221</v>
      </c>
      <c r="C125" s="95">
        <f>('DOE25'!L210)+('DOE25'!L228)+('DOE25'!L246)</f>
        <v>197716.46</v>
      </c>
      <c r="D125" s="24" t="s">
        <v>288</v>
      </c>
      <c r="E125" s="95">
        <f>+('DOE25'!L289)+('DOE25'!L308)+('DOE25'!L327)</f>
        <v>799.99</v>
      </c>
      <c r="F125" s="24" t="s">
        <v>288</v>
      </c>
      <c r="G125" s="24" t="s">
        <v>288</v>
      </c>
      <c r="H125" s="124">
        <f t="shared" si="7"/>
        <v>198516.44999999998</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555010</v>
      </c>
      <c r="E127" s="24" t="s">
        <v>288</v>
      </c>
      <c r="F127" s="24" t="s">
        <v>288</v>
      </c>
      <c r="G127" s="24" t="s">
        <v>288</v>
      </c>
      <c r="H127" s="124">
        <f t="shared" si="7"/>
        <v>555010</v>
      </c>
    </row>
    <row r="128" spans="1:8" ht="12.75" thickTop="1" thickBot="1" x14ac:dyDescent="0.25">
      <c r="A128" s="33" t="s">
        <v>226</v>
      </c>
      <c r="C128" s="86">
        <f>SUM(C118:C127)</f>
        <v>5997567.5499999998</v>
      </c>
      <c r="D128" s="86">
        <f>SUM(D118:D127)</f>
        <v>555010</v>
      </c>
      <c r="E128" s="86">
        <f>SUM(E118:E127)</f>
        <v>343342.67</v>
      </c>
      <c r="F128" s="86">
        <f>SUM(F118:F127)</f>
        <v>0</v>
      </c>
      <c r="G128" s="86">
        <f>SUM(G118:G127)</f>
        <v>0</v>
      </c>
      <c r="H128" s="86">
        <f t="shared" si="7"/>
        <v>6895920.2199999997</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1203.03</v>
      </c>
      <c r="H134" s="124">
        <f t="shared" si="7"/>
        <v>1203.03</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696.94</v>
      </c>
      <c r="D138" s="24" t="s">
        <v>288</v>
      </c>
      <c r="E138" s="24" t="s">
        <v>288</v>
      </c>
      <c r="F138" s="24" t="s">
        <v>288</v>
      </c>
      <c r="G138" s="24" t="s">
        <v>288</v>
      </c>
      <c r="H138" s="124">
        <f t="shared" si="7"/>
        <v>696.94</v>
      </c>
    </row>
    <row r="139" spans="1:8" x14ac:dyDescent="0.2">
      <c r="A139" t="s">
        <v>239</v>
      </c>
      <c r="B139" s="32">
        <v>5252</v>
      </c>
      <c r="C139" s="95">
        <f>'DOE25'!L402</f>
        <v>506.09000000000003</v>
      </c>
      <c r="D139" s="24" t="s">
        <v>288</v>
      </c>
      <c r="E139" s="24" t="s">
        <v>288</v>
      </c>
      <c r="F139" s="24" t="s">
        <v>288</v>
      </c>
      <c r="G139" s="24" t="s">
        <v>288</v>
      </c>
      <c r="H139" s="124">
        <f t="shared" si="7"/>
        <v>506.09000000000003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-1203.0300000000002</v>
      </c>
      <c r="D141" s="24" t="s">
        <v>288</v>
      </c>
      <c r="E141" s="24" t="s">
        <v>288</v>
      </c>
      <c r="F141" s="24" t="s">
        <v>288</v>
      </c>
      <c r="G141" s="24" t="s">
        <v>288</v>
      </c>
      <c r="H141" s="124">
        <f t="shared" si="7"/>
        <v>-1203.0300000000002</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0</v>
      </c>
      <c r="D144" s="141">
        <f>SUM(D130:D143)</f>
        <v>0</v>
      </c>
      <c r="E144" s="141">
        <f>SUM(E130:E143)</f>
        <v>0</v>
      </c>
      <c r="F144" s="141">
        <f>SUM(F130:F143)</f>
        <v>0</v>
      </c>
      <c r="G144" s="141">
        <f>SUM(G130:G143)</f>
        <v>1203.03</v>
      </c>
      <c r="H144" s="141">
        <f t="shared" si="7"/>
        <v>1203.03</v>
      </c>
    </row>
    <row r="145" spans="1:9" ht="12.75" thickTop="1" thickBot="1" x14ac:dyDescent="0.25">
      <c r="A145" s="33" t="s">
        <v>244</v>
      </c>
      <c r="C145" s="86">
        <f>(C115+C128+C144)</f>
        <v>14204563.299999999</v>
      </c>
      <c r="D145" s="86">
        <f>(D115+D128+D144)</f>
        <v>555010</v>
      </c>
      <c r="E145" s="86">
        <f>(E115+E128+E144)</f>
        <v>1014177.8599999999</v>
      </c>
      <c r="F145" s="86">
        <f>(F115+F128+F144)</f>
        <v>0</v>
      </c>
      <c r="G145" s="86">
        <f>(G115+G128+G144)</f>
        <v>1203.03</v>
      </c>
      <c r="H145" s="86">
        <f t="shared" si="7"/>
        <v>15774954.189999998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7" sqref="C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Farmington</v>
      </c>
    </row>
    <row r="3" spans="1:4" x14ac:dyDescent="0.2">
      <c r="B3" s="187" t="s">
        <v>1799</v>
      </c>
    </row>
    <row r="4" spans="1:4" x14ac:dyDescent="0.2">
      <c r="B4" t="s">
        <v>61</v>
      </c>
      <c r="C4" s="178">
        <f>IF('DOE25'!F666+'DOE25'!F671=0,0,ROUND('DOE25'!F673,0))</f>
        <v>19293</v>
      </c>
    </row>
    <row r="5" spans="1:4" x14ac:dyDescent="0.2">
      <c r="B5" t="s">
        <v>700</v>
      </c>
      <c r="C5" s="178">
        <f>IF('DOE25'!G666+'DOE25'!G671=0,0,ROUND('DOE25'!G673,0))</f>
        <v>0</v>
      </c>
    </row>
    <row r="6" spans="1:4" x14ac:dyDescent="0.2">
      <c r="B6" t="s">
        <v>62</v>
      </c>
      <c r="C6" s="178">
        <f>IF('DOE25'!H666+'DOE25'!H671=0,0,ROUND('DOE25'!H673,0))</f>
        <v>19057</v>
      </c>
    </row>
    <row r="7" spans="1:4" x14ac:dyDescent="0.2">
      <c r="B7" t="s">
        <v>701</v>
      </c>
      <c r="C7" s="178">
        <f>IF('DOE25'!I666+'DOE25'!I671=0,0,ROUND('DOE25'!I673,0))</f>
        <v>19221</v>
      </c>
    </row>
    <row r="9" spans="1:4" x14ac:dyDescent="0.2">
      <c r="A9" s="186" t="s">
        <v>94</v>
      </c>
      <c r="B9" s="187" t="s">
        <v>1800</v>
      </c>
      <c r="C9" s="180" t="s">
        <v>720</v>
      </c>
      <c r="D9" s="180" t="s">
        <v>721</v>
      </c>
    </row>
    <row r="10" spans="1:4" x14ac:dyDescent="0.2">
      <c r="A10">
        <v>1100</v>
      </c>
      <c r="B10" t="s">
        <v>702</v>
      </c>
      <c r="C10" s="178">
        <f>ROUND('DOE25'!L198+'DOE25'!L216+'DOE25'!L234+'DOE25'!L277+'DOE25'!L296+'DOE25'!L315,0)</f>
        <v>5326813</v>
      </c>
      <c r="D10" s="181">
        <f>ROUND((C10/$C$28)*100,1)</f>
        <v>34</v>
      </c>
    </row>
    <row r="11" spans="1:4" x14ac:dyDescent="0.2">
      <c r="A11">
        <v>1200</v>
      </c>
      <c r="B11" t="s">
        <v>703</v>
      </c>
      <c r="C11" s="178">
        <f>ROUND('DOE25'!L199+'DOE25'!L217+'DOE25'!L235+'DOE25'!L278+'DOE25'!L297+'DOE25'!L316,0)</f>
        <v>3260469</v>
      </c>
      <c r="D11" s="181">
        <f>ROUND((C11/$C$28)*100,1)</f>
        <v>20.8</v>
      </c>
    </row>
    <row r="12" spans="1:4" x14ac:dyDescent="0.2">
      <c r="A12">
        <v>1300</v>
      </c>
      <c r="B12" t="s">
        <v>704</v>
      </c>
      <c r="C12" s="178">
        <f>ROUND('DOE25'!L200+'DOE25'!L218+'DOE25'!L236+'DOE25'!L279+'DOE25'!L298+'DOE25'!L317,0)</f>
        <v>56835</v>
      </c>
      <c r="D12" s="181">
        <f>ROUND((C12/$C$28)*100,1)</f>
        <v>0.4</v>
      </c>
    </row>
    <row r="13" spans="1:4" x14ac:dyDescent="0.2">
      <c r="A13">
        <v>1400</v>
      </c>
      <c r="B13" t="s">
        <v>705</v>
      </c>
      <c r="C13" s="178">
        <f>ROUND('DOE25'!L201+'DOE25'!L219+'DOE25'!L237+'DOE25'!L280+'DOE25'!L299+'DOE25'!L318,0)</f>
        <v>233714</v>
      </c>
      <c r="D13" s="181">
        <f>ROUND((C13/$C$28)*100,1)</f>
        <v>1.5</v>
      </c>
    </row>
    <row r="14" spans="1:4" x14ac:dyDescent="0.2">
      <c r="D14" s="181"/>
    </row>
    <row r="15" spans="1:4" x14ac:dyDescent="0.2">
      <c r="A15">
        <v>2100</v>
      </c>
      <c r="B15" t="s">
        <v>706</v>
      </c>
      <c r="C15" s="178">
        <f>ROUND('DOE25'!L203+'DOE25'!L221+'DOE25'!L239+'DOE25'!L282+'DOE25'!L301+'DOE25'!L320,0)</f>
        <v>1198469</v>
      </c>
      <c r="D15" s="181">
        <f t="shared" ref="D15:D27" si="0">ROUND((C15/$C$28)*100,1)</f>
        <v>7.6</v>
      </c>
    </row>
    <row r="16" spans="1:4" x14ac:dyDescent="0.2">
      <c r="A16">
        <v>2200</v>
      </c>
      <c r="B16" t="s">
        <v>707</v>
      </c>
      <c r="C16" s="178">
        <f>ROUND('DOE25'!L204+'DOE25'!L222+'DOE25'!L240+'DOE25'!L283+'DOE25'!L302+'DOE25'!L321,0)</f>
        <v>503391</v>
      </c>
      <c r="D16" s="181">
        <f t="shared" si="0"/>
        <v>3.2</v>
      </c>
    </row>
    <row r="17" spans="1:4" x14ac:dyDescent="0.2">
      <c r="A17" s="182" t="s">
        <v>723</v>
      </c>
      <c r="B17" t="s">
        <v>738</v>
      </c>
      <c r="C17" s="178">
        <f>ROUND('DOE25'!L205+'DOE25'!L210+'DOE25'!L223+'DOE25'!L228+'DOE25'!L241+'DOE25'!L246+'DOE25'!L284+'DOE25'!L289+'DOE25'!L303+'DOE25'!L308+'DOE25'!L322+'DOE25'!L327,0)</f>
        <v>957924</v>
      </c>
      <c r="D17" s="181">
        <f t="shared" si="0"/>
        <v>6.1</v>
      </c>
    </row>
    <row r="18" spans="1:4" x14ac:dyDescent="0.2">
      <c r="A18">
        <v>2400</v>
      </c>
      <c r="B18" t="s">
        <v>711</v>
      </c>
      <c r="C18" s="178">
        <f>ROUND('DOE25'!L206+'DOE25'!L224+'DOE25'!L242+'DOE25'!L285+'DOE25'!L304+'DOE25'!L323,0)</f>
        <v>1056924</v>
      </c>
      <c r="D18" s="181">
        <f t="shared" si="0"/>
        <v>6.7</v>
      </c>
    </row>
    <row r="19" spans="1:4" x14ac:dyDescent="0.2">
      <c r="A19">
        <v>2500</v>
      </c>
      <c r="B19" t="s">
        <v>708</v>
      </c>
      <c r="C19" s="178">
        <f>ROUND('DOE25'!L207+'DOE25'!L225+'DOE25'!L243+'DOE25'!L286+'DOE25'!L305+'DOE25'!L324,0)</f>
        <v>319689</v>
      </c>
      <c r="D19" s="181">
        <f t="shared" si="0"/>
        <v>2</v>
      </c>
    </row>
    <row r="20" spans="1:4" x14ac:dyDescent="0.2">
      <c r="A20">
        <v>2600</v>
      </c>
      <c r="B20" t="s">
        <v>709</v>
      </c>
      <c r="C20" s="178">
        <f>ROUND('DOE25'!L208+'DOE25'!L226+'DOE25'!L244+'DOE25'!L287+'DOE25'!L306+'DOE25'!L325,0)</f>
        <v>1796958</v>
      </c>
      <c r="D20" s="181">
        <f t="shared" si="0"/>
        <v>11.5</v>
      </c>
    </row>
    <row r="21" spans="1:4" x14ac:dyDescent="0.2">
      <c r="A21">
        <v>2700</v>
      </c>
      <c r="B21" t="s">
        <v>710</v>
      </c>
      <c r="C21" s="178">
        <f>ROUND('DOE25'!L209+'DOE25'!L227+'DOE25'!L245+'DOE25'!L288+'DOE25'!L307+'DOE25'!L326,0)</f>
        <v>507556</v>
      </c>
      <c r="D21" s="181">
        <f t="shared" si="0"/>
        <v>3.2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448212.9</v>
      </c>
      <c r="D27" s="181">
        <f t="shared" si="0"/>
        <v>2.9</v>
      </c>
    </row>
    <row r="28" spans="1:4" x14ac:dyDescent="0.2">
      <c r="B28" s="186" t="s">
        <v>719</v>
      </c>
      <c r="C28" s="179">
        <f>SUM(C10:C27)</f>
        <v>15666954.9</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15666954.9</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7084557</v>
      </c>
      <c r="D35" s="181">
        <f t="shared" ref="D35:D40" si="1">ROUND((C35/$C$41)*100,1)</f>
        <v>41.9</v>
      </c>
    </row>
    <row r="36" spans="1:4" x14ac:dyDescent="0.2">
      <c r="B36" s="184" t="s">
        <v>739</v>
      </c>
      <c r="C36" s="178">
        <f>SUM('DOE25'!F112:J112)-SUM('DOE25'!G97:G110)+('DOE25'!F175+'DOE25'!F176+'DOE25'!I175+'DOE25'!I176)-C35</f>
        <v>33469.089999999851</v>
      </c>
      <c r="D36" s="181">
        <f t="shared" si="1"/>
        <v>0.2</v>
      </c>
    </row>
    <row r="37" spans="1:4" x14ac:dyDescent="0.2">
      <c r="A37" s="182" t="s">
        <v>835</v>
      </c>
      <c r="B37" s="184" t="s">
        <v>728</v>
      </c>
      <c r="C37" s="178">
        <f>ROUND('DOE25'!F117+'DOE25'!F118,0)</f>
        <v>7311882</v>
      </c>
      <c r="D37" s="181">
        <f t="shared" si="1"/>
        <v>43.2</v>
      </c>
    </row>
    <row r="38" spans="1:4" x14ac:dyDescent="0.2">
      <c r="A38" s="182" t="s">
        <v>734</v>
      </c>
      <c r="B38" s="184" t="s">
        <v>729</v>
      </c>
      <c r="C38" s="178">
        <f>ROUND(SUM('DOE25'!F140:J140)-SUM('DOE25'!F117:F119),0)</f>
        <v>163135</v>
      </c>
      <c r="D38" s="181">
        <f t="shared" si="1"/>
        <v>1</v>
      </c>
    </row>
    <row r="39" spans="1:4" x14ac:dyDescent="0.2">
      <c r="A39">
        <v>4000</v>
      </c>
      <c r="B39" s="184" t="s">
        <v>730</v>
      </c>
      <c r="C39" s="178">
        <f>ROUND('DOE25'!F170+'DOE25'!G170+'DOE25'!H170+'DOE25'!I170,0)</f>
        <v>2322458</v>
      </c>
      <c r="D39" s="181">
        <f t="shared" si="1"/>
        <v>13.7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16915501.09</v>
      </c>
      <c r="D41" s="183">
        <f>SUM(D35:D40)</f>
        <v>100.00000000000001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Farmington</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v>19</v>
      </c>
      <c r="B4" s="218">
        <v>1</v>
      </c>
      <c r="C4" s="388" t="s">
        <v>1802</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120</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20</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298</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f>IF('School Level Expenditures'!$B$2='School Tables'!W23,'School Tables'!AD23,"")</f>
        <v>20</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f>IF('School Level Expenditures'!$B$2=A123,'School Tables'!H123,"")</f>
        <v>120</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f>IF('School Level Expenditures'!$B$2=A301,'School Tables'!H301,"")</f>
        <v>298</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2022-12-19T15:13:01Z</dcterms:modified>
</cp:coreProperties>
</file>