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627B0D25-7D8C-4D11-9324-F8BEAFE8BA5D}"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1" i="13" l="1"/>
  <c r="C20" i="12"/>
  <c r="C19" i="12"/>
  <c r="B11" i="12" l="1"/>
  <c r="E13" i="17"/>
  <c r="E17" i="17"/>
  <c r="E9" i="17"/>
  <c r="I612" i="1"/>
  <c r="I614" i="1"/>
  <c r="G614" i="1"/>
  <c r="G612" i="1"/>
  <c r="F614" i="1"/>
  <c r="F612" i="1"/>
  <c r="F583" i="1"/>
  <c r="H583" i="1"/>
  <c r="I563" i="1"/>
  <c r="I565" i="1" s="1"/>
  <c r="H565" i="1"/>
  <c r="H563" i="1"/>
  <c r="G563" i="1"/>
  <c r="G565" i="1" s="1"/>
  <c r="G499" i="1" l="1"/>
  <c r="F498" i="1"/>
  <c r="F499" i="1" s="1"/>
  <c r="F320" i="1"/>
  <c r="F318" i="1"/>
  <c r="F280" i="1"/>
  <c r="F316" i="1" l="1"/>
  <c r="J605" i="1"/>
  <c r="H605" i="1"/>
  <c r="J325" i="1" l="1"/>
  <c r="J287" i="1"/>
  <c r="J322" i="1"/>
  <c r="J284" i="1"/>
  <c r="J316" i="1"/>
  <c r="J278" i="1"/>
  <c r="J315" i="1"/>
  <c r="J277" i="1"/>
  <c r="J283" i="1"/>
  <c r="H155" i="1"/>
  <c r="K322" i="1"/>
  <c r="K321" i="1"/>
  <c r="K320" i="1"/>
  <c r="K284" i="1"/>
  <c r="K283" i="1"/>
  <c r="K282" i="1"/>
  <c r="I315" i="1"/>
  <c r="I277" i="1"/>
  <c r="H315" i="1"/>
  <c r="H277" i="1"/>
  <c r="I325" i="1"/>
  <c r="I287" i="1"/>
  <c r="I322" i="1"/>
  <c r="I284" i="1"/>
  <c r="I321" i="1"/>
  <c r="I283" i="1"/>
  <c r="I320" i="1"/>
  <c r="I282" i="1"/>
  <c r="I318" i="1"/>
  <c r="I280" i="1"/>
  <c r="I316" i="1"/>
  <c r="I278" i="1"/>
  <c r="H326" i="1"/>
  <c r="H288" i="1"/>
  <c r="H325" i="1"/>
  <c r="H287" i="1"/>
  <c r="H322" i="1"/>
  <c r="H284" i="1"/>
  <c r="H321" i="1"/>
  <c r="H283" i="1"/>
  <c r="H320" i="1"/>
  <c r="H282" i="1"/>
  <c r="H318" i="1"/>
  <c r="H280" i="1"/>
  <c r="H316" i="1"/>
  <c r="H278" i="1"/>
  <c r="G322" i="1"/>
  <c r="G284" i="1"/>
  <c r="G321" i="1"/>
  <c r="G283" i="1"/>
  <c r="G320" i="1"/>
  <c r="G282" i="1"/>
  <c r="G318" i="1"/>
  <c r="G280" i="1"/>
  <c r="G316" i="1"/>
  <c r="G278" i="1"/>
  <c r="G315" i="1"/>
  <c r="G277" i="1"/>
  <c r="F327" i="1"/>
  <c r="F289" i="1"/>
  <c r="F322" i="1"/>
  <c r="F284" i="1"/>
  <c r="F321" i="1"/>
  <c r="F283" i="1"/>
  <c r="F282" i="1"/>
  <c r="F278" i="1"/>
  <c r="F315" i="1"/>
  <c r="F277" i="1"/>
  <c r="F287" i="1"/>
  <c r="G334" i="1"/>
  <c r="F334" i="1"/>
  <c r="J598" i="1"/>
  <c r="H598" i="1"/>
  <c r="H596" i="1"/>
  <c r="J593" i="1"/>
  <c r="H593" i="1"/>
  <c r="H592" i="1"/>
  <c r="J592" i="1" s="1"/>
  <c r="F110" i="1"/>
  <c r="H473" i="1"/>
  <c r="H469" i="1"/>
  <c r="H102" i="1"/>
  <c r="H162" i="1"/>
  <c r="H161" i="1"/>
  <c r="H159" i="1"/>
  <c r="H154" i="1"/>
  <c r="H135" i="1"/>
  <c r="H130" i="1"/>
  <c r="H110" i="1"/>
  <c r="H24" i="1"/>
  <c r="H30" i="1"/>
  <c r="H22" i="1"/>
  <c r="F23" i="1" l="1"/>
  <c r="F29" i="1" l="1"/>
  <c r="F28" i="1"/>
  <c r="F24" i="1"/>
  <c r="F13" i="1"/>
  <c r="F9" i="1"/>
  <c r="H240" i="1"/>
  <c r="H239" i="1"/>
  <c r="H244" i="1"/>
  <c r="K241" i="1"/>
  <c r="K242" i="1"/>
  <c r="K239" i="1"/>
  <c r="K237" i="1"/>
  <c r="J244" i="1"/>
  <c r="I244" i="1"/>
  <c r="I240" i="1"/>
  <c r="I239" i="1"/>
  <c r="I235" i="1"/>
  <c r="I234" i="1"/>
  <c r="H245" i="1"/>
  <c r="H237" i="1"/>
  <c r="H235" i="1"/>
  <c r="H234" i="1"/>
  <c r="G208" i="1"/>
  <c r="G244" i="1"/>
  <c r="G240" i="1"/>
  <c r="G239" i="1"/>
  <c r="G237" i="1"/>
  <c r="G235" i="1"/>
  <c r="G234" i="1"/>
  <c r="F244" i="1"/>
  <c r="F241" i="1"/>
  <c r="F240" i="1"/>
  <c r="F239" i="1"/>
  <c r="F237" i="1"/>
  <c r="F235" i="1"/>
  <c r="F234" i="1"/>
  <c r="K205" i="1"/>
  <c r="K206" i="1"/>
  <c r="K203" i="1"/>
  <c r="K201" i="1"/>
  <c r="J199" i="1"/>
  <c r="I208" i="1"/>
  <c r="I241" i="1"/>
  <c r="I205" i="1"/>
  <c r="I204" i="1"/>
  <c r="I203" i="1"/>
  <c r="I199" i="1"/>
  <c r="H209" i="1"/>
  <c r="H208" i="1"/>
  <c r="H241" i="1"/>
  <c r="H205" i="1"/>
  <c r="H204" i="1"/>
  <c r="H203" i="1"/>
  <c r="H199" i="1"/>
  <c r="H198" i="1"/>
  <c r="G241" i="1"/>
  <c r="G205" i="1"/>
  <c r="G204" i="1"/>
  <c r="G203" i="1"/>
  <c r="G201" i="1"/>
  <c r="G199" i="1"/>
  <c r="G198" i="1"/>
  <c r="F208" i="1"/>
  <c r="F205" i="1"/>
  <c r="F204" i="1"/>
  <c r="F203" i="1"/>
  <c r="F201" i="1"/>
  <c r="F199" i="1"/>
  <c r="F198" i="1"/>
  <c r="J96" i="1" l="1"/>
  <c r="J469" i="1"/>
  <c r="F443" i="1"/>
  <c r="H369" i="1"/>
  <c r="F369" i="1"/>
  <c r="H368" i="1"/>
  <c r="F368" i="1"/>
  <c r="F361" i="1"/>
  <c r="I361" i="1"/>
  <c r="I359" i="1"/>
  <c r="H361" i="1"/>
  <c r="H359" i="1"/>
  <c r="G361" i="1"/>
  <c r="G359" i="1"/>
  <c r="F359" i="1"/>
  <c r="G158" i="1" l="1"/>
  <c r="G132" i="1"/>
  <c r="G97" i="1"/>
  <c r="G24" i="1"/>
  <c r="G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E125" i="2" s="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H76" i="2" s="1"/>
  <c r="F76" i="2"/>
  <c r="C77" i="2"/>
  <c r="D77" i="2"/>
  <c r="E77" i="2"/>
  <c r="F77" i="2"/>
  <c r="G77" i="2"/>
  <c r="G78" i="2" s="1"/>
  <c r="C79" i="2"/>
  <c r="D79" i="2"/>
  <c r="E79" i="2"/>
  <c r="C80" i="2"/>
  <c r="H80" i="2" s="1"/>
  <c r="E80" i="2"/>
  <c r="C85" i="2"/>
  <c r="F85" i="2"/>
  <c r="C87" i="2"/>
  <c r="H87" i="2" s="1"/>
  <c r="E87" i="2"/>
  <c r="F87" i="2"/>
  <c r="C89" i="2"/>
  <c r="D89" i="2"/>
  <c r="E89" i="2"/>
  <c r="F89" i="2"/>
  <c r="C90" i="2"/>
  <c r="H90" i="2" s="1"/>
  <c r="C93" i="2"/>
  <c r="H93" i="2" s="1"/>
  <c r="F93" i="2"/>
  <c r="C94" i="2"/>
  <c r="H94" i="2" s="1"/>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E120" i="2"/>
  <c r="E124" i="2"/>
  <c r="C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69" i="2" l="1"/>
  <c r="H61" i="2"/>
  <c r="H28" i="2"/>
  <c r="H27" i="2"/>
  <c r="H24" i="2"/>
  <c r="H23" i="2"/>
  <c r="H17" i="2"/>
  <c r="H15" i="2"/>
  <c r="A40" i="12"/>
  <c r="C32" i="10"/>
  <c r="D18" i="13"/>
  <c r="C18" i="13" s="1"/>
  <c r="D15" i="13"/>
  <c r="C15" i="13" s="1"/>
  <c r="D6" i="13"/>
  <c r="C6" i="13" s="1"/>
  <c r="E13" i="13"/>
  <c r="C13" i="13" s="1"/>
  <c r="C120" i="2"/>
  <c r="H102" i="2"/>
  <c r="H101" i="2"/>
  <c r="H100" i="2"/>
  <c r="H99" i="2"/>
  <c r="H98" i="2"/>
  <c r="H79" i="2"/>
  <c r="H73" i="2"/>
  <c r="H58" i="2"/>
  <c r="H11" i="2"/>
  <c r="H132" i="2"/>
  <c r="G662" i="1"/>
  <c r="C119" i="2"/>
  <c r="H36" i="2"/>
  <c r="H38" i="2"/>
  <c r="H43" i="2"/>
  <c r="H44" i="2"/>
  <c r="H48" i="2"/>
  <c r="H97" i="2"/>
  <c r="H22" i="2"/>
  <c r="E121" i="2"/>
  <c r="I409" i="1"/>
  <c r="H89" i="2"/>
  <c r="H72" i="2"/>
  <c r="H35" i="2"/>
  <c r="H34" i="2"/>
  <c r="H30" i="2"/>
  <c r="H9" i="2"/>
  <c r="G409" i="1"/>
  <c r="H646" i="1" s="1"/>
  <c r="H120" i="2"/>
  <c r="H112" i="2"/>
  <c r="H125" i="2"/>
  <c r="J652" i="1"/>
  <c r="H59" i="2"/>
  <c r="H13" i="2"/>
  <c r="H29" i="2"/>
  <c r="H8" i="2"/>
  <c r="C12" i="10"/>
  <c r="C13" i="10"/>
  <c r="C121" i="2"/>
  <c r="H121" i="2" s="1"/>
  <c r="H12" i="2"/>
  <c r="G477" i="1"/>
  <c r="H624" i="1" s="1"/>
  <c r="J624" i="1" s="1"/>
  <c r="D78" i="2"/>
  <c r="H77" i="2"/>
  <c r="E119" i="2"/>
  <c r="H119" i="2" s="1"/>
  <c r="H409" i="1"/>
  <c r="H645" i="1" s="1"/>
  <c r="G339" i="1"/>
  <c r="G353" i="1" s="1"/>
  <c r="J258" i="1"/>
  <c r="J272" i="1" s="1"/>
  <c r="E123" i="2"/>
  <c r="E110" i="2"/>
  <c r="H110" i="2" s="1"/>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G24" i="14" l="1"/>
  <c r="H24" i="14" s="1"/>
  <c r="I24" i="14" s="1"/>
  <c r="H42" i="2"/>
  <c r="H103" i="2"/>
  <c r="H57" i="2"/>
  <c r="H134" i="2"/>
  <c r="H16" i="2"/>
  <c r="H85" i="2"/>
  <c r="L572" i="1"/>
  <c r="H123" i="2"/>
  <c r="E128" i="2"/>
  <c r="E115" i="2"/>
  <c r="H118" i="2"/>
  <c r="F661" i="1"/>
  <c r="F665" i="1" s="1"/>
  <c r="F668" i="1" s="1"/>
  <c r="C81" i="2"/>
  <c r="F194" i="1"/>
  <c r="H91" i="2"/>
  <c r="H81" i="2"/>
  <c r="H78" i="2"/>
  <c r="H109" i="2"/>
  <c r="H114" i="2"/>
  <c r="H18" i="2"/>
  <c r="I663" i="1"/>
  <c r="H50" i="2"/>
  <c r="H21" i="2"/>
  <c r="D128" i="2"/>
  <c r="H127" i="2"/>
  <c r="D63" i="2"/>
  <c r="H62" i="2"/>
  <c r="D51" i="2"/>
  <c r="H31"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115" i="2"/>
  <c r="C104" i="2"/>
  <c r="H104" i="2" s="1"/>
  <c r="H63" i="2"/>
  <c r="C144" i="2"/>
  <c r="H141" i="2"/>
  <c r="H51" i="2"/>
  <c r="D145" i="2"/>
  <c r="H128" i="2"/>
  <c r="H673" i="1"/>
  <c r="C6" i="10" s="1"/>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<sst xmlns="http://schemas.openxmlformats.org/spreadsheetml/2006/main" count="6536" uniqueCount="1808">
  <si>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</si>
  <si>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</si>
  <si>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</si>
  <si>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</si>
  <si>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</si>
  <si>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</si>
  <si>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</si>
  <si>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</si>
  <si>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</si>
  <si>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</si>
  <si>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</si>
  <si>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</si>
  <si>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</si>
  <si>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</si>
  <si>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</si>
  <si>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</si>
  <si>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</si>
  <si>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</si>
  <si>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</si>
  <si>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</si>
  <si>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</si>
  <si>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</si>
  <si>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</si>
  <si>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</si>
  <si>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</si>
  <si>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</si>
  <si>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</si>
  <si>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</si>
  <si>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</si>
  <si>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</si>
  <si>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</si>
  <si>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</si>
  <si>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</si>
  <si>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</si>
  <si>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</si>
  <si>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</si>
  <si>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</si>
  <si>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</si>
  <si>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</si>
  <si>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</si>
  <si>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</si>
  <si>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</si>
  <si>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</si>
  <si>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</si>
  <si>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</si>
  <si>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</si>
  <si>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</si>
  <si>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</si>
  <si>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</si>
  <si>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</si>
  <si>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</si>
  <si>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</si>
  <si>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</si>
  <si>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</si>
  <si>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</si>
  <si>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</si>
  <si>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</si>
  <si>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</si>
  <si>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</si>
  <si>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</si>
  <si>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</si>
  <si>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</si>
  <si>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</si>
  <si>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</si>
  <si>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</si>
  <si>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</si>
  <si>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</si>
  <si>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</si>
  <si>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</si>
  <si>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</si>
  <si>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</si>
  <si>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</si>
  <si>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</si>
  <si>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</si>
  <si>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</si>
  <si>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</si>
  <si>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</si>
  <si>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</si>
  <si>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</si>
  <si>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</si>
  <si>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</si>
  <si>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</si>
  <si>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</si>
  <si>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</si>
  <si>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</si>
  <si>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</si>
  <si>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</si>
  <si>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</si>
  <si>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</si>
  <si>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</si>
  <si>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</si>
  <si>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</si>
  <si>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</si>
  <si>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</si>
  <si>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</si>
  <si>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</si>
  <si>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</si>
  <si>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</si>
  <si>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</si>
  <si>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</si>
  <si>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</si>
  <si>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</si>
  <si>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</si>
  <si>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</si>
  <si>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</si>
  <si>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</si>
  <si>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</si>
  <si>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</si>
  <si>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</si>
  <si>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</si>
  <si>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</si>
  <si>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</si>
  <si>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</si>
  <si>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</si>
  <si>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</si>
  <si>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</si>
  <si>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</si>
  <si>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</si>
  <si>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</si>
  <si>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</si>
  <si>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</si>
  <si>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</si>
  <si>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</si>
  <si>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</si>
  <si>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</si>
  <si>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</si>
  <si>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</si>
  <si>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</si>
  <si>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</si>
  <si>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</si>
  <si>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</si>
  <si>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</si>
  <si>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</si>
  <si>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</si>
  <si>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</si>
  <si>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</si>
  <si>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</si>
  <si>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</si>
  <si>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</si>
  <si>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</si>
  <si>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</si>
  <si>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</si>
  <si>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</si>
  <si>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</si>
  <si>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</si>
  <si>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</si>
  <si>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</si>
  <si>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</si>
  <si>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</si>
  <si>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</si>
  <si>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</si>
  <si>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</si>
  <si>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</si>
  <si>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</si>
  <si>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</si>
  <si>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</si>
  <si>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</si>
  <si>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</si>
  <si>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</si>
  <si>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</si>
  <si>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</si>
  <si>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</si>
  <si>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</si>
  <si>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</si>
  <si>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</si>
  <si>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</si>
  <si>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</si>
  <si>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</si>
  <si>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</si>
  <si>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</si>
  <si>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</si>
  <si>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</si>
  <si>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</si>
  <si>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</si>
  <si>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</si>
  <si>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</si>
  <si>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</si>
  <si>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</si>
  <si>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</si>
  <si>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</si>
  <si>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</si>
  <si>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</si>
  <si>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</si>
  <si>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</si>
  <si>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</si>
  <si>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</si>
  <si>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</si>
  <si>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</si>
  <si>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</si>
  <si>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</si>
  <si>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</si>
  <si>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</si>
  <si>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</si>
  <si>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</si>
  <si>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</si>
  <si>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</si>
  <si>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</si>
  <si>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</si>
  <si>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</si>
  <si>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</si>
  <si>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</si>
  <si>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</si>
  <si>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</si>
  <si>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</si>
  <si>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</si>
  <si>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</si>
  <si>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</si>
  <si>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</si>
  <si>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</si>
  <si>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</si>
  <si>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</si>
  <si>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</si>
  <si>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</si>
  <si>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</si>
  <si>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</si>
  <si>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</si>
  <si>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</si>
  <si>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</si>
  <si>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</si>
  <si>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</si>
  <si>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</si>
  <si>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</si>
  <si>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</si>
  <si>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</si>
  <si>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</si>
  <si>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</si>
  <si>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</si>
  <si>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</si>
  <si>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</si>
  <si>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</si>
  <si>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</si>
  <si>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</si>
  <si>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</si>
  <si>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</si>
  <si>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</si>
  <si>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</si>
  <si>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</si>
  <si>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</si>
  <si>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</si>
  <si>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</si>
  <si>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</si>
  <si>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</si>
  <si>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</si>
  <si>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</si>
  <si>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</si>
  <si>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</si>
  <si>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</si>
  <si>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</si>
  <si>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</si>
  <si>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</si>
  <si>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</si>
  <si>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</si>
  <si>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</si>
  <si>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</si>
  <si>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</si>
  <si>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</si>
  <si>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</si>
  <si>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</si>
  <si>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</si>
  <si>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</si>
  <si>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</si>
  <si>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</si>
  <si>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</si>
  <si>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</si>
  <si>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</si>
  <si>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</si>
  <si>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</si>
  <si>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</si>
  <si>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</si>
  <si>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</si>
  <si>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</si>
  <si>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</si>
  <si>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</si>
  <si>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</si>
  <si>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</si>
  <si>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</si>
  <si>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</si>
  <si>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</si>
  <si>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</si>
  <si>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</si>
  <si>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</si>
  <si>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</si>
  <si>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</si>
  <si>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</si>
  <si>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</si>
  <si>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</si>
  <si>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</si>
  <si>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</si>
  <si>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</si>
  <si>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</si>
  <si>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</si>
  <si>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</si>
  <si>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</si>
  <si>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</si>
  <si>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</si>
  <si>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</si>
  <si>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</si>
  <si>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</si>
  <si>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</si>
  <si>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</si>
  <si>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</si>
  <si>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</si>
  <si>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</si>
  <si>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</si>
  <si>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</si>
  <si>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</si>
  <si>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</si>
  <si>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</si>
  <si>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</si>
  <si>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</si>
  <si>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</si>
  <si>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</si>
  <si>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</si>
  <si>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</si>
  <si>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</si>
  <si>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</si>
  <si>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</si>
  <si>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</si>
  <si>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</si>
  <si>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</si>
  <si>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</si>
  <si>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</si>
  <si>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</si>
  <si>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</si>
  <si>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</si>
  <si>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</si>
  <si>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</si>
  <si>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</si>
  <si>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</si>
  <si>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</si>
  <si>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</si>
  <si>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</si>
  <si>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</si>
  <si>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</si>
  <si>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</si>
  <si>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</si>
  <si>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</si>
  <si>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</si>
  <si>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</si>
  <si>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</si>
  <si>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</si>
  <si>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</si>
  <si>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</si>
  <si>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</si>
  <si>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</si>
  <si>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</si>
  <si>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</si>
  <si>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</si>
  <si>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</si>
  <si>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</si>
  <si>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</si>
  <si>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</si>
  <si>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</si>
  <si>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</si>
  <si>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</si>
  <si>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</si>
  <si>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</si>
  <si>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</si>
  <si>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</si>
  <si>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</si>
  <si>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</si>
  <si>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</si>
  <si>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</si>
  <si>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</si>
  <si>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</si>
  <si>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</si>
  <si>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</si>
  <si>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</si>
  <si>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</si>
  <si>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</si>
  <si>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</si>
  <si>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</si>
  <si>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</si>
  <si>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</si>
  <si>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</si>
  <si>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</si>
  <si>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</si>
  <si>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</si>
  <si>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</si>
  <si>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</si>
  <si>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</si>
  <si>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</si>
  <si>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</si>
  <si>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</si>
  <si>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</si>
  <si>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</si>
  <si>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</si>
  <si>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</si>
  <si>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</si>
  <si>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</si>
  <si>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</si>
  <si>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</si>
  <si>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</si>
  <si>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</si>
  <si>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</si>
  <si>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</si>
  <si>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</si>
  <si>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</si>
  <si>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</si>
  <si>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</si>
  <si>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</si>
  <si>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</si>
  <si>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</si>
  <si>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</si>
  <si>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</si>
  <si>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</si>
  <si>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</si>
  <si>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</si>
  <si>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</si>
  <si>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</si>
  <si>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</si>
  <si>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</si>
  <si>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</si>
  <si>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</si>
  <si>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</si>
  <si>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</si>
  <si>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</si>
  <si>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</si>
  <si>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</si>
  <si>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</si>
  <si>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</si>
  <si>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</si>
  <si>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</si>
  <si>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</si>
  <si>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</si>
  <si>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</si>
  <si>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</si>
  <si>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</si>
  <si>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</si>
  <si>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</si>
  <si>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</si>
  <si>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</si>
  <si>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</si>
  <si>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</si>
  <si>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</si>
  <si>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</si>
  <si>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</si>
  <si>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</si>
  <si>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</si>
  <si>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</si>
  <si>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</si>
  <si>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</si>
  <si>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</si>
  <si>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</si>
  <si>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</si>
  <si>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</si>
  <si>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</si>
  <si>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</si>
  <si>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</si>
  <si>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</si>
  <si>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</si>
  <si>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</si>
  <si>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</si>
  <si>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</si>
  <si>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</si>
  <si>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</si>
  <si>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</si>
  <si>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</si>
  <si>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</si>
  <si>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</si>
  <si>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</si>
  <si>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</si>
  <si>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</si>
  <si>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</si>
  <si>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</si>
  <si>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</si>
  <si>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</si>
  <si>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</si>
  <si>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</si>
  <si>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</si>
  <si>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</si>
  <si>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</si>
  <si>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</si>
  <si>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</si>
  <si>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</si>
  <si>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</si>
  <si>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</si>
  <si>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</si>
  <si>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</si>
  <si>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</si>
  <si>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</si>
  <si>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</si>
  <si>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</si>
  <si>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</si>
  <si>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</si>
  <si>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</si>
  <si>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</si>
  <si>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</si>
  <si>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</si>
  <si>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</si>
  <si>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</si>
  <si>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</si>
  <si>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</si>
  <si>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</si>
  <si>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</si>
  <si>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</si>
  <si>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</si>
  <si>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</si>
  <si>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</si>
  <si>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</si>
  <si>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</si>
  <si>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</si>
  <si>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</si>
  <si>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</si>
  <si>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</si>
  <si>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</si>
  <si>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</si>
  <si>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</si>
  <si>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</si>
  <si>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</si>
  <si>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</si>
  <si>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</si>
  <si>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</si>
  <si>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</si>
  <si>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</si>
  <si>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</si>
  <si>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</si>
  <si>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</si>
  <si>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</si>
  <si>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</si>
  <si>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</si>
  <si>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</si>
  <si>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</si>
  <si>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</si>
  <si>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</si>
  <si>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</si>
  <si>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</si>
  <si>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</si>
  <si>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</si>
  <si>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</si>
  <si>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</si>
  <si>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</si>
  <si>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</si>
  <si>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</si>
  <si>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</si>
  <si>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</si>
  <si>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</si>
  <si>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</si>
  <si>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</si>
  <si>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</si>
  <si>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</si>
  <si>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</si>
  <si>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</si>
  <si>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</si>
  <si>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</si>
  <si>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</si>
  <si>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</si>
  <si>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</si>
  <si>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</si>
  <si>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</si>
  <si>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</si>
  <si>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</si>
  <si>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</si>
  <si>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</si>
  <si>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</si>
  <si>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</si>
  <si>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</si>
  <si>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</si>
  <si>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</si>
  <si>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</si>
  <si>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</si>
  <si>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</si>
  <si>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</si>
  <si>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</si>
  <si>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</si>
  <si>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</si>
  <si>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</si>
  <si>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</si>
  <si>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</si>
  <si>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</si>
  <si>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</si>
  <si>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</si>
  <si>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</si>
  <si>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</si>
  <si>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</si>
  <si>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</si>
  <si>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</si>
  <si>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</si>
  <si>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</si>
  <si>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</si>
  <si>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</si>
  <si>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</si>
  <si>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</si>
  <si>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</si>
  <si>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</si>
  <si>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</si>
  <si>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</si>
  <si>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</si>
  <si>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</si>
  <si>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</si>
  <si>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</si>
  <si>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</si>
  <si>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</si>
  <si>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</si>
  <si>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</si>
  <si>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</si>
  <si>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</si>
  <si>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</si>
  <si>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</si>
  <si>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</si>
  <si>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</si>
  <si>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</si>
  <si>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</si>
  <si>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</si>
  <si>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</si>
  <si>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</si>
  <si>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</si>
  <si>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</si>
  <si>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</si>
  <si>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</si>
  <si>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</si>
  <si>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</si>
  <si>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</si>
  <si>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</si>
  <si>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</si>
  <si>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</si>
  <si>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</si>
  <si>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</si>
  <si>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</si>
  <si>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</si>
  <si>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</si>
  <si>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</si>
  <si>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</si>
  <si>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</si>
  <si>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</si>
  <si>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</si>
  <si>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</si>
  <si>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</si>
  <si>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</si>
  <si>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</si>
  <si>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</si>
  <si>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</si>
  <si>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</si>
  <si>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</si>
  <si>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</si>
  <si>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</si>
  <si>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</si>
  <si>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</si>
  <si>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</si>
  <si>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</si>
  <si>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</si>
  <si>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</si>
  <si>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</si>
  <si>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</si>
  <si>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</si>
  <si>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</si>
  <si>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</si>
  <si>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</si>
  <si>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</si>
  <si>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</si>
  <si>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</si>
  <si>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</si>
  <si>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</si>
  <si>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</si>
  <si>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</si>
  <si>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</si>
  <si>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</si>
  <si>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</si>
  <si>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</si>
  <si>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</si>
  <si>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</si>
  <si>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</si>
  <si>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</si>
  <si>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</si>
  <si>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</si>
  <si>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</si>
  <si>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</si>
  <si>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</si>
  <si>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</si>
  <si>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</si>
  <si>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</si>
  <si>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</si>
  <si>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</si>
  <si>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</si>
  <si>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</si>
  <si>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</si>
  <si>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</si>
  <si>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</si>
  <si>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</si>
  <si>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</si>
  <si>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</si>
  <si>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</si>
  <si>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</si>
  <si>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</si>
  <si>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</si>
  <si>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</si>
  <si>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</si>
  <si>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</si>
  <si>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</si>
  <si>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</si>
  <si>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</si>
  <si>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</si>
  <si>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</si>
  <si>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</si>
  <si>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</si>
  <si>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</si>
  <si>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</si>
  <si>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</si>
  <si>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</si>
  <si>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</si>
  <si>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</si>
  <si>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</si>
  <si>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</si>
  <si>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</si>
  <si>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</si>
  <si>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</si>
  <si>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</si>
  <si>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</si>
  <si>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</si>
  <si>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</si>
  <si>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</si>
  <si>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</si>
  <si>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</si>
  <si>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</si>
  <si>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</si>
  <si>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</si>
  <si>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</si>
  <si>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</si>
  <si>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</si>
  <si>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</si>
  <si>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</si>
  <si>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</si>
  <si>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</si>
  <si>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</si>
  <si>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</si>
  <si>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</si>
  <si>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</si>
  <si>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</si>
  <si>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</si>
  <si>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</si>
  <si>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</si>
  <si>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</si>
  <si>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</si>
  <si>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</si>
  <si>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</si>
  <si>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</si>
  <si>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</si>
  <si>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</si>
  <si>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</si>
  <si>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</si>
  <si>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</si>
  <si>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</si>
  <si>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</si>
  <si>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</si>
  <si>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</si>
  <si>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</si>
  <si>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</si>
  <si>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</si>
  <si>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</si>
  <si>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</si>
  <si>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</si>
  <si>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</si>
  <si>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</si>
  <si>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</si>
  <si>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</si>
  <si>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</si>
  <si>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</si>
  <si>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</si>
  <si>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</si>
  <si>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</si>
  <si>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</si>
  <si>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</si>
  <si>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</si>
  <si>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</si>
  <si>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</si>
  <si>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</si>
  <si>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</si>
  <si>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</si>
  <si>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</si>
  <si>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</si>
  <si>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</si>
  <si>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</si>
  <si>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</si>
  <si>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</si>
  <si>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</si>
  <si>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</si>
  <si>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</si>
  <si>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</si>
  <si>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</si>
  <si>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</si>
  <si>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</si>
  <si>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</si>
  <si>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</si>
  <si>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</si>
  <si>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</si>
  <si>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</si>
  <si>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</si>
  <si>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</si>
  <si>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</si>
  <si>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</si>
  <si>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</si>
  <si>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</si>
  <si>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</si>
  <si>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</si>
  <si>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</si>
  <si>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</si>
  <si>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</si>
  <si>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</si>
  <si>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</si>
  <si>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</si>
  <si>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</si>
  <si>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</si>
  <si>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</si>
  <si>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</si>
  <si>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</si>
  <si>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</si>
  <si>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</si>
  <si>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</si>
  <si>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</si>
  <si>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</si>
  <si>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</si>
  <si>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</si>
  <si>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</si>
  <si>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</si>
  <si>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</si>
  <si>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</si>
  <si>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</si>
  <si>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</si>
  <si>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</si>
  <si>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</si>
  <si>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</si>
  <si>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</si>
  <si>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</si>
  <si>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</si>
  <si>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</si>
  <si>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</si>
  <si>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</si>
  <si>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</si>
  <si>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</si>
  <si>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</si>
  <si>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</si>
  <si>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</si>
  <si>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</si>
  <si>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</si>
  <si>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</si>
  <si>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</si>
  <si>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</si>
  <si>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</si>
  <si>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</si>
  <si>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</si>
  <si>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</si>
  <si>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</si>
  <si>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</si>
  <si>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</si>
  <si>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</si>
  <si>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</si>
  <si>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</si>
  <si>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</si>
  <si>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</si>
  <si>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</si>
  <si>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</si>
  <si>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</si>
  <si>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</si>
  <si>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</si>
  <si>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</si>
  <si>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</si>
  <si>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</si>
  <si>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</si>
  <si>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</si>
  <si>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</si>
  <si>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</si>
  <si>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</si>
  <si>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</si>
  <si>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</si>
  <si>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</si>
  <si>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</si>
  <si>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</si>
  <si>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</si>
  <si>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</si>
  <si>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</si>
  <si>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</si>
  <si>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</si>
  <si>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</si>
  <si>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</si>
  <si>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</si>
  <si>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</si>
  <si>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</si>
  <si>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</si>
  <si>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</si>
  <si>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</si>
  <si>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</si>
  <si>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</si>
  <si>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</si>
  <si>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</si>
  <si>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</si>
  <si>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</si>
  <si>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</si>
  <si>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</si>
  <si>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</si>
  <si>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</si>
  <si>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</si>
  <si>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</si>
  <si>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</si>
  <si>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</si>
  <si>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</si>
  <si>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</si>
  <si>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</si>
  <si>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</si>
  <si>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</si>
  <si>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</si>
  <si>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</si>
  <si>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</si>
  <si>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</si>
  <si>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</si>
  <si>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</si>
  <si>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</si>
  <si>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</si>
  <si>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</si>
  <si>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</si>
  <si>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</si>
  <si>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</si>
  <si>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</si>
  <si>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</si>
  <si>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</si>
  <si>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</si>
  <si>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</si>
  <si>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</si>
  <si>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</si>
  <si>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</si>
  <si>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</si>
  <si>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</si>
  <si>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</si>
  <si>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</si>
  <si>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</si>
  <si>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</si>
  <si>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</si>
  <si>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</si>
  <si>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</si>
  <si>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</si>
  <si>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</si>
  <si>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</si>
  <si>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</si>
  <si>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</si>
  <si>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</si>
  <si>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</si>
  <si>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</si>
  <si>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</si>
  <si>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</si>
  <si>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</si>
  <si>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</si>
  <si>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</si>
  <si>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</si>
  <si>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</si>
  <si>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</si>
  <si>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</si>
  <si>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</si>
  <si>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</si>
  <si>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</si>
  <si>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</si>
  <si>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</si>
  <si>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</si>
  <si>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</si>
  <si>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</si>
  <si>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</si>
  <si>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</si>
  <si>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</si>
  <si>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</si>
  <si>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</si>
  <si>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</si>
  <si>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</si>
  <si>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</si>
  <si>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</si>
  <si>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</si>
  <si>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</si>
  <si>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</si>
  <si>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</si>
  <si>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</si>
  <si>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</si>
  <si>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</si>
  <si>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</si>
  <si>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</si>
  <si>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</si>
  <si>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</si>
  <si>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</si>
  <si>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</si>
  <si>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</si>
  <si>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</si>
  <si>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</si>
  <si>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</si>
  <si>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</si>
  <si>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</si>
  <si>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</si>
  <si>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</si>
  <si>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</si>
  <si>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</si>
  <si>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</si>
  <si>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</si>
  <si>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</si>
  <si>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</si>
  <si>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</si>
  <si>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</si>
  <si>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</si>
  <si>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</si>
  <si>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</si>
  <si>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</si>
  <si>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</si>
  <si>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</si>
  <si>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</si>
  <si>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</si>
  <si>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</si>
  <si>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</si>
  <si>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</si>
  <si>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</si>
  <si>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</si>
  <si>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</si>
  <si>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</si>
  <si>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</si>
  <si>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</si>
  <si>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</si>
  <si>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</si>
  <si>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</si>
  <si>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</si>
  <si>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</si>
  <si>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</si>
  <si>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</si>
  <si>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</si>
  <si>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</si>
  <si>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</si>
  <si>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</si>
  <si>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</si>
  <si>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</si>
  <si>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</si>
  <si>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</si>
  <si>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</si>
  <si>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</si>
  <si>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</si>
  <si>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</si>
  <si>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</si>
  <si>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</si>
  <si>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</si>
  <si>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</si>
  <si>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</si>
  <si>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</si>
  <si>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</si>
  <si>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</si>
  <si>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</si>
  <si>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</si>
  <si>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</si>
  <si>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</si>
  <si>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</si>
  <si>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</si>
  <si>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</si>
  <si>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</si>
  <si>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</si>
  <si>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</si>
  <si>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</si>
  <si>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</si>
  <si>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</si>
  <si>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</si>
  <si>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</si>
  <si>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</si>
  <si>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</si>
  <si>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</si>
  <si>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</si>
  <si>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</si>
  <si>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</si>
  <si>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</si>
  <si>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</si>
  <si>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</si>
  <si>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</si>
  <si>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</si>
  <si>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</si>
  <si>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</si>
  <si>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</si>
  <si>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</si>
  <si>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</si>
  <si>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</si>
  <si>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</si>
  <si>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</si>
  <si>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</si>
  <si>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</si>
  <si>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</si>
  <si>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</si>
  <si>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</si>
  <si>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</si>
  <si>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</si>
  <si>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</si>
  <si>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</si>
  <si>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</si>
  <si>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</si>
  <si>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</si>
  <si>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</si>
  <si>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</si>
  <si>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</si>
  <si>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</si>
  <si>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</si>
  <si>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</si>
  <si>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</si>
  <si>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</si>
  <si>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</si>
  <si>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</si>
  <si>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</si>
  <si>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</si>
  <si>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</si>
  <si>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</si>
  <si>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</si>
  <si>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</si>
  <si>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</si>
  <si>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</si>
  <si>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</si>
  <si>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</si>
  <si>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</si>
  <si>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</si>
  <si>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</si>
  <si>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</si>
  <si>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</si>
  <si>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</si>
  <si>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</si>
  <si>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</si>
  <si>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</si>
  <si>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</si>
  <si>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</si>
  <si>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</si>
  <si>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</si>
  <si>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</si>
  <si>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</si>
  <si>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</si>
  <si>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</si>
  <si>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</si>
  <si>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</si>
  <si>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</si>
  <si>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</si>
  <si>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</si>
  <si>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</si>
  <si>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</si>
  <si>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</si>
  <si>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</si>
  <si>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</si>
  <si>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</si>
  <si>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</si>
  <si>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</si>
  <si>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</si>
  <si>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</si>
  <si>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</si>
  <si>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</si>
  <si>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</si>
  <si>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</si>
  <si>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</si>
  <si>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</si>
  <si>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</si>
  <si>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</si>
  <si>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</si>
  <si>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</si>
  <si>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</si>
  <si>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</si>
  <si>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</si>
  <si>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</si>
  <si>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</si>
  <si>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</si>
  <si>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</si>
  <si>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</si>
  <si>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</si>
  <si>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</si>
  <si>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</si>
  <si>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</si>
  <si>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</si>
  <si>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</si>
  <si>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</si>
  <si>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</si>
  <si>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</si>
  <si>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</si>
  <si>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</si>
  <si>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</si>
  <si>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</si>
  <si>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</si>
  <si>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</si>
  <si>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</si>
  <si>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</si>
  <si>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</si>
  <si>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</si>
  <si>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</si>
  <si>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</si>
  <si>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</si>
  <si>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</si>
  <si>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</si>
  <si>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</si>
  <si>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</si>
  <si>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</si>
  <si>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</si>
  <si>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</si>
  <si>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</si>
  <si>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</si>
  <si>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</si>
  <si>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</si>
  <si>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</si>
  <si>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</si>
  <si>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</si>
  <si>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</si>
  <si>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</si>
  <si>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</si>
  <si>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</si>
  <si>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</si>
  <si>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</si>
  <si>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</si>
  <si>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</si>
  <si>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</si>
  <si>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</si>
  <si>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</si>
  <si>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</si>
  <si>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</si>
  <si>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</si>
  <si>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</si>
  <si>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</si>
  <si>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</si>
  <si>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</si>
  <si>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</si>
  <si>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</si>
  <si>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</si>
  <si>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</si>
  <si>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</si>
  <si>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</si>
  <si>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</si>
  <si>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</si>
  <si>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</si>
  <si>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</si>
  <si>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</si>
  <si>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</si>
  <si>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</si>
  <si>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</si>
  <si>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</si>
  <si>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</si>
  <si>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</si>
  <si>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</si>
  <si>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</si>
  <si>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</si>
  <si>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</si>
  <si>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</si>
  <si>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</si>
  <si>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</si>
  <si>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</si>
  <si>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</si>
  <si>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</si>
  <si>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</si>
  <si>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</si>
  <si>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</si>
  <si>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</si>
  <si>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</si>
  <si>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</si>
  <si>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</si>
  <si>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</si>
  <si>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</si>
  <si>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</si>
  <si>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</si>
  <si>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</si>
  <si>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</si>
  <si>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</si>
  <si>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</si>
  <si>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</si>
  <si>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</si>
  <si>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</si>
  <si>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</si>
  <si>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</si>
  <si>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</si>
  <si>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</si>
  <si>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</si>
  <si>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</si>
  <si>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</si>
  <si>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</si>
  <si>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</si>
  <si>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</si>
  <si>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</si>
  <si>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</si>
  <si>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</si>
  <si>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</si>
  <si>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</si>
  <si>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</si>
  <si>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</si>
  <si>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</si>
  <si>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</si>
  <si>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</si>
  <si>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</si>
  <si>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</si>
  <si>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</si>
  <si>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</si>
  <si>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</si>
  <si>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</si>
  <si>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</si>
  <si>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</si>
  <si>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</si>
  <si>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</si>
  <si>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</si>
  <si>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</si>
  <si>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</si>
  <si>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</si>
  <si>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</si>
  <si>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</si>
  <si>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</si>
  <si>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</si>
  <si>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</si>
  <si>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</si>
  <si>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</si>
  <si>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</si>
  <si>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</si>
  <si>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</si>
  <si>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</si>
  <si>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</si>
  <si>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</si>
  <si>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</si>
  <si>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</si>
  <si>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</si>
  <si>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</si>
  <si>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</si>
  <si>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</si>
  <si>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</si>
  <si>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</si>
  <si>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</si>
  <si>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</si>
  <si>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</si>
  <si>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</si>
  <si>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</si>
  <si>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</si>
  <si>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</si>
  <si>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</si>
  <si>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</si>
  <si>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</si>
  <si>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</si>
  <si>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</si>
  <si>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</si>
  <si>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</si>
  <si>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</si>
  <si>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</si>
  <si>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</si>
  <si>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</si>
  <si>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</si>
  <si>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</si>
  <si>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</si>
  <si>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</si>
  <si>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</si>
  <si>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</si>
  <si>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</si>
  <si>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</si>
  <si>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</si>
  <si>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</si>
  <si>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</si>
  <si>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</si>
  <si>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</si>
  <si>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</si>
  <si>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</si>
  <si>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</si>
  <si>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</si>
  <si>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</si>
  <si>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</si>
  <si>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</si>
  <si>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</si>
  <si>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</si>
  <si>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</si>
  <si>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</si>
  <si>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</si>
  <si>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</si>
  <si>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</si>
  <si>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</si>
  <si>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</si>
  <si>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</si>
  <si>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</si>
  <si>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</si>
  <si>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</si>
  <si>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</si>
  <si>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</si>
  <si>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</si>
  <si>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</si>
  <si>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</si>
  <si>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</si>
  <si>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</si>
  <si>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</si>
  <si>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</si>
  <si>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</si>
  <si>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</si>
  <si>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</si>
  <si>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</si>
  <si>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</si>
  <si>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</si>
  <si>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</si>
  <si>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</si>
  <si>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</si>
  <si>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</si>
  <si>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</si>
  <si>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</si>
  <si>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</si>
  <si>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</si>
  <si>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</si>
  <si>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</si>
  <si>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</si>
  <si>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</si>
  <si>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</si>
  <si>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</si>
  <si>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</si>
  <si>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</si>
  <si>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</si>
  <si>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</si>
  <si>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</si>
  <si>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</si>
  <si>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</si>
  <si>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</si>
  <si>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</si>
  <si>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</si>
  <si>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</si>
  <si>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</si>
  <si>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</si>
  <si>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</si>
  <si>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</si>
  <si>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</si>
  <si>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</si>
  <si>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</si>
  <si>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</si>
  <si>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</si>
  <si>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</si>
  <si>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</si>
  <si>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</si>
  <si>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</si>
  <si>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</si>
  <si>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</si>
  <si>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</si>
  <si>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</si>
  <si>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</si>
  <si>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</si>
  <si>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</si>
  <si>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</si>
  <si>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</si>
  <si>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</si>
  <si>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</si>
  <si>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</si>
  <si>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</si>
  <si>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</si>
  <si>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</si>
  <si>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</si>
  <si>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</si>
  <si>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</si>
  <si>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</si>
  <si>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</si>
  <si>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</si>
  <si>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</si>
  <si>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</si>
  <si>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</si>
  <si>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</si>
  <si>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</si>
  <si>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</si>
  <si>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</si>
  <si>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</si>
  <si>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</si>
  <si>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</si>
  <si>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</si>
  <si>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</si>
  <si>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</si>
  <si>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</si>
  <si>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</si>
  <si>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</si>
  <si>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</si>
  <si>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</si>
  <si>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</si>
  <si>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</si>
  <si>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</si>
  <si>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</si>
  <si>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</si>
  <si>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</si>
  <si>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</si>
  <si>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</si>
  <si>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</si>
  <si>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</si>
  <si>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</si>
  <si>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</si>
  <si>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</si>
  <si>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</si>
  <si>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</si>
  <si>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</si>
  <si>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</si>
  <si>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</si>
  <si>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</si>
  <si>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</si>
  <si>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</si>
  <si>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</si>
  <si>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</si>
  <si>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</si>
  <si>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</si>
  <si>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</si>
  <si>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</si>
  <si>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</si>
  <si>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</si>
  <si>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</si>
  <si>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</si>
  <si>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</si>
  <si>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</si>
  <si>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</si>
  <si>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</si>
  <si>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</si>
  <si>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</si>
  <si>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</si>
  <si>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</si>
  <si>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</si>
  <si>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</si>
  <si>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</si>
  <si>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</si>
  <si>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</si>
  <si>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</si>
  <si>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</si>
  <si>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</si>
  <si>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</si>
  <si>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</si>
  <si>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</si>
  <si>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</si>
  <si>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</si>
  <si>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</si>
  <si>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</si>
  <si>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</si>
  <si>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</si>
  <si>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</si>
  <si>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</si>
  <si>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</si>
  <si>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</si>
  <si>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</si>
  <si>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</si>
  <si>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</si>
  <si>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</si>
  <si>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</si>
  <si>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</si>
  <si>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</si>
  <si>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</si>
  <si>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</si>
  <si>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</si>
  <si>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</si>
  <si>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</si>
  <si>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</si>
  <si>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</si>
  <si>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</si>
  <si>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</si>
  <si>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</si>
  <si>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</si>
  <si>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</si>
  <si>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</si>
  <si>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</si>
  <si>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</si>
  <si>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</si>
  <si>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</si>
  <si>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</si>
  <si>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</si>
  <si>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</si>
  <si>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</si>
  <si>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</si>
  <si>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</si>
  <si>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</si>
  <si>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</si>
  <si>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</si>
  <si>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</si>
  <si>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</si>
  <si>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</si>
  <si>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</si>
  <si>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</si>
  <si>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</si>
  <si>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</si>
  <si>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</si>
  <si>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</si>
  <si>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</si>
  <si>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</si>
  <si>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</si>
  <si>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</si>
  <si>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</si>
  <si>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</si>
  <si>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</si>
  <si>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</si>
  <si>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</si>
  <si>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</si>
  <si>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</si>
  <si>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</si>
  <si>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</si>
  <si>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</si>
  <si>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</si>
  <si>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</si>
  <si>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</si>
  <si>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</si>
  <si>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</si>
  <si>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</si>
  <si>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</si>
  <si>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</si>
  <si>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</si>
  <si>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</si>
  <si>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</si>
  <si>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</si>
  <si>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</si>
  <si>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</si>
  <si>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</si>
  <si>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</si>
  <si>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</si>
  <si>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</si>
  <si>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</si>
  <si>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</si>
  <si>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</si>
  <si>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</si>
  <si>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</si>
  <si>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</si>
  <si>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</si>
  <si>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</si>
  <si>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</si>
  <si>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</si>
  <si>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</si>
  <si>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</si>
  <si>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</si>
  <si>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</si>
  <si>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</si>
  <si>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</si>
  <si>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</si>
  <si>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</si>
  <si>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</si>
  <si>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</si>
  <si>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</si>
  <si>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</si>
  <si>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</si>
  <si>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</si>
  <si>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</si>
  <si>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</si>
  <si>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</si>
  <si>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</si>
  <si>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</si>
  <si>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</si>
  <si>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</si>
  <si>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</si>
  <si>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</si>
  <si>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</si>
  <si>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</si>
  <si>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</si>
  <si>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</si>
  <si>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</si>
  <si>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</si>
  <si>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</si>
  <si>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</si>
  <si>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</si>
  <si>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</si>
  <si>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</si>
  <si>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</si>
  <si>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</si>
  <si>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</si>
  <si>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</si>
  <si>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</si>
  <si>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</si>
  <si>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</si>
  <si>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</si>
  <si>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</si>
  <si>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</si>
  <si>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</si>
  <si>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</si>
  <si>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</si>
  <si>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</si>
  <si>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</si>
  <si>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</si>
  <si>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</si>
  <si>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</si>
  <si>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</si>
  <si>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</si>
  <si>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</si>
  <si>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</si>
  <si>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</si>
  <si>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</si>
  <si>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</si>
  <si>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</si>
  <si>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</si>
  <si>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</si>
  <si>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</si>
  <si>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</si>
  <si>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</si>
  <si>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</si>
  <si>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</si>
  <si>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</si>
  <si>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</si>
  <si>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</si>
  <si>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</si>
  <si>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</si>
  <si>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</si>
  <si>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</si>
  <si>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</si>
  <si>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</si>
  <si>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</si>
  <si>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</si>
  <si>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</si>
  <si>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</si>
  <si>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</si>
  <si>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</si>
  <si>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</si>
  <si>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</si>
  <si>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</si>
  <si>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</si>
  <si>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</si>
  <si>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</si>
  <si>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</si>
  <si>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</si>
  <si>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</si>
  <si>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</si>
  <si>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</si>
  <si>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</si>
  <si>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</si>
  <si>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</si>
  <si>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</si>
  <si>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</si>
  <si>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</si>
  <si>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</si>
  <si>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</si>
  <si>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</si>
  <si>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</si>
  <si>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</si>
  <si>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</si>
  <si>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</si>
  <si>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</si>
  <si>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</si>
  <si>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</si>
  <si>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</si>
  <si>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</si>
  <si>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</si>
  <si>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</si>
  <si>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</si>
  <si>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</si>
  <si>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</si>
  <si>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</si>
  <si>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</si>
  <si>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</si>
  <si>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</si>
  <si>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</si>
  <si>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</si>
  <si>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</si>
  <si>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</si>
  <si>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</si>
  <si>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</si>
  <si>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</si>
  <si>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</si>
  <si>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</si>
  <si>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</si>
  <si>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</si>
  <si>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</si>
  <si>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</si>
  <si>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</si>
  <si>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</si>
  <si>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</si>
  <si>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</si>
  <si>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</si>
  <si>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</si>
  <si>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</si>
  <si>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</si>
  <si>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</si>
  <si>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</si>
  <si>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</si>
  <si>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</si>
  <si>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</si>
  <si>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</si>
  <si>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</si>
  <si>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</si>
  <si>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</si>
  <si>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</si>
  <si>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</si>
  <si>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</si>
  <si>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</si>
  <si>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</si>
  <si>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</si>
  <si>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</si>
  <si>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</si>
  <si>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</si>
  <si>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</si>
  <si>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</si>
  <si>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</si>
  <si>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</si>
  <si>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</si>
  <si>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</si>
  <si>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</si>
  <si>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</si>
  <si>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</si>
  <si>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</si>
  <si>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</si>
  <si>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</si>
  <si>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</si>
  <si>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</si>
  <si>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</si>
  <si>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</si>
  <si>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</si>
  <si>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</si>
  <si>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</si>
  <si>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</si>
  <si>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</si>
  <si>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</si>
  <si>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</si>
  <si>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</si>
  <si>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</si>
  <si>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</si>
  <si>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</si>
  <si>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</si>
  <si>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</si>
  <si>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</si>
  <si>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</si>
  <si>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</si>
  <si>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</si>
  <si>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</si>
  <si>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</si>
  <si>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</si>
  <si>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</si>
  <si>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</si>
  <si>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</si>
  <si>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</si>
  <si>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</si>
  <si>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</si>
  <si>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</si>
  <si>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</si>
  <si>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</si>
  <si>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</si>
  <si>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</si>
  <si>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</si>
  <si>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</si>
  <si>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</si>
  <si>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</si>
  <si>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05/06</t>
  </si>
  <si>
    <t>08/19</t>
  </si>
  <si>
    <t>05/26</t>
  </si>
  <si>
    <t>08/39</t>
  </si>
  <si>
    <t>Refund of Prior Year Expenditures, Insurance Premium Holidays, FSA Forfeits, Royalties, Jury Duty Reimbursement</t>
  </si>
  <si>
    <t>STOP Violence in Schools Grant $67,053.45, Student Assistance Program DHHS and Mayor's Drug Task Force - $62,361.73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</si>
</sst>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1"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2" fillId="0" borderId="28" applyNumberFormat="0" applyFill="0" applyAlignment="0" applyProtection="0"/>
    <xf numFmtId="0" fontId="53" fillId="0" borderId="29" applyNumberFormat="0" applyFill="0" applyAlignment="0" applyProtection="0"/>
    <xf numFmtId="0" fontId="54" fillId="0" borderId="30" applyNumberFormat="0" applyFill="0" applyAlignment="0" applyProtection="0"/>
    <xf numFmtId="0" fontId="54" fillId="0" borderId="0" applyNumberFormat="0" applyFill="0" applyBorder="0" applyAlignment="0" applyProtection="0"/>
    <xf numFmtId="0" fontId="55" fillId="9" borderId="0" applyNumberFormat="0" applyBorder="0" applyAlignment="0" applyProtection="0"/>
    <xf numFmtId="0" fontId="56" fillId="10" borderId="0" applyNumberFormat="0" applyBorder="0" applyAlignment="0" applyProtection="0"/>
    <xf numFmtId="0" fontId="57" fillId="11" borderId="0" applyNumberFormat="0" applyBorder="0" applyAlignment="0" applyProtection="0"/>
    <xf numFmtId="0" fontId="58" fillId="12" borderId="31" applyNumberFormat="0" applyAlignment="0" applyProtection="0"/>
    <xf numFmtId="0" fontId="59" fillId="13" borderId="32" applyNumberFormat="0" applyAlignment="0" applyProtection="0"/>
    <xf numFmtId="0" fontId="60" fillId="13" borderId="31" applyNumberFormat="0" applyAlignment="0" applyProtection="0"/>
    <xf numFmtId="0" fontId="61" fillId="0" borderId="33" applyNumberFormat="0" applyFill="0" applyAlignment="0" applyProtection="0"/>
    <xf numFmtId="0" fontId="62" fillId="14" borderId="34" applyNumberFormat="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5" fillId="0" borderId="36" applyNumberFormat="0" applyFill="0" applyAlignment="0" applyProtection="0"/>
    <xf numFmtId="0" fontId="6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6" fillId="19" borderId="0" applyNumberFormat="0" applyBorder="0" applyAlignment="0" applyProtection="0"/>
    <xf numFmtId="0" fontId="6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6" fillId="23" borderId="0" applyNumberFormat="0" applyBorder="0" applyAlignment="0" applyProtection="0"/>
    <xf numFmtId="0" fontId="6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6" fillId="27" borderId="0" applyNumberFormat="0" applyBorder="0" applyAlignment="0" applyProtection="0"/>
    <xf numFmtId="0" fontId="6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6" fillId="31" borderId="0" applyNumberFormat="0" applyBorder="0" applyAlignment="0" applyProtection="0"/>
    <xf numFmtId="0" fontId="6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6" fillId="35" borderId="0" applyNumberFormat="0" applyBorder="0" applyAlignment="0" applyProtection="0"/>
    <xf numFmtId="0" fontId="6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6" fillId="39" borderId="0" applyNumberFormat="0" applyBorder="0" applyAlignment="0" applyProtection="0"/>
    <xf numFmtId="0" fontId="6" fillId="0" borderId="0"/>
    <xf numFmtId="0" fontId="67" fillId="0" borderId="0" applyNumberFormat="0" applyFill="0" applyBorder="0" applyAlignment="0" applyProtection="0"/>
    <xf numFmtId="0" fontId="6" fillId="15" borderId="35" applyNumberFormat="0" applyFont="0" applyAlignment="0" applyProtection="0"/>
    <xf numFmtId="0" fontId="5" fillId="0" borderId="0"/>
  </cellStyleXfs>
  <cellXfs count="405">
    <xf numFmtId="0" fontId="0" fillId="0" borderId="0" xfId="0"/>
    <xf numFmtId="164" fontId="7" fillId="0" borderId="0" xfId="0" applyNumberFormat="1" applyFont="1" applyAlignment="1" applyProtection="1">
      <alignment horizontal="left"/>
    </xf>
    <xf numFmtId="165" fontId="7" fillId="0" borderId="0" xfId="0" applyNumberFormat="1" applyFont="1" applyAlignment="1" applyProtection="1">
      <alignment horizontal="left"/>
    </xf>
    <xf numFmtId="0" fontId="7" fillId="0" borderId="0" xfId="0" applyFont="1"/>
    <xf numFmtId="0" fontId="7" fillId="0" borderId="0" xfId="0" applyFont="1" applyProtection="1">
      <protection locked="0"/>
    </xf>
    <xf numFmtId="164" fontId="7" fillId="0" borderId="0" xfId="0" applyNumberFormat="1" applyFont="1" applyAlignment="1" applyProtection="1">
      <alignment horizontal="center"/>
    </xf>
    <xf numFmtId="165" fontId="7" fillId="0" borderId="0" xfId="0" applyNumberFormat="1" applyFont="1" applyAlignment="1" applyProtection="1">
      <alignment horizontal="center"/>
    </xf>
    <xf numFmtId="165" fontId="7" fillId="0" borderId="0" xfId="0" applyNumberFormat="1" applyFont="1" applyProtection="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pplyProtection="1">
      <alignment horizontal="left"/>
    </xf>
    <xf numFmtId="40" fontId="7" fillId="0" borderId="0" xfId="0" quotePrefix="1" applyNumberFormat="1" applyFont="1" applyAlignment="1" applyProtection="1">
      <alignment horizontal="center"/>
    </xf>
    <xf numFmtId="40" fontId="7" fillId="0" borderId="0" xfId="0" applyNumberFormat="1" applyFont="1" applyAlignment="1" applyProtection="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7" fillId="0" borderId="0" xfId="0" applyNumberFormat="1" applyFont="1" applyProtection="1"/>
    <xf numFmtId="40" fontId="0" fillId="0" borderId="0" xfId="0" applyNumberFormat="1"/>
    <xf numFmtId="0" fontId="0" fillId="0" borderId="0" xfId="0" applyProtection="1">
      <protection locked="0"/>
    </xf>
    <xf numFmtId="40" fontId="9" fillId="0" borderId="0" xfId="0" applyNumberFormat="1" applyFont="1" applyProtection="1"/>
    <xf numFmtId="0" fontId="7" fillId="0" borderId="0" xfId="0" applyFont="1" applyAlignment="1">
      <alignment horizontal="center"/>
    </xf>
    <xf numFmtId="40" fontId="7" fillId="2" borderId="0" xfId="0" applyNumberFormat="1" applyFont="1" applyFill="1" applyAlignment="1" applyProtection="1">
      <alignment horizontal="left"/>
    </xf>
    <xf numFmtId="40" fontId="11" fillId="0" borderId="0" xfId="0" applyNumberFormat="1" applyFont="1" applyAlignment="1" applyProtection="1">
      <alignment horizontal="center"/>
    </xf>
    <xf numFmtId="40" fontId="11" fillId="0" borderId="0" xfId="0" applyNumberFormat="1" applyFont="1" applyAlignment="1" applyProtection="1">
      <alignment horizontal="left"/>
    </xf>
    <xf numFmtId="0" fontId="12" fillId="0" borderId="0" xfId="0" applyFont="1"/>
    <xf numFmtId="0" fontId="13" fillId="0" borderId="0" xfId="0" applyFont="1"/>
    <xf numFmtId="164" fontId="11" fillId="0" borderId="0" xfId="0" applyNumberFormat="1" applyFont="1" applyAlignment="1" applyProtection="1">
      <alignment horizontal="left"/>
    </xf>
    <xf numFmtId="164" fontId="12" fillId="0" borderId="0" xfId="0" applyNumberFormat="1" applyFont="1" applyAlignment="1" applyProtection="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5" fontId="7" fillId="0" borderId="0" xfId="0" applyNumberFormat="1" applyFont="1" applyBorder="1" applyAlignment="1" applyProtection="1">
      <alignment horizontal="left"/>
    </xf>
    <xf numFmtId="165" fontId="7" fillId="0" borderId="0" xfId="0" applyNumberFormat="1" applyFont="1" applyBorder="1" applyAlignment="1" applyProtection="1">
      <alignment horizontal="center"/>
    </xf>
    <xf numFmtId="164" fontId="11" fillId="0" borderId="3" xfId="0" applyNumberFormat="1" applyFont="1" applyBorder="1" applyAlignment="1" applyProtection="1">
      <alignment horizontal="left"/>
    </xf>
    <xf numFmtId="165" fontId="7" fillId="0" borderId="3" xfId="0" applyNumberFormat="1" applyFont="1" applyBorder="1" applyAlignment="1" applyProtection="1">
      <alignment horizontal="left"/>
    </xf>
    <xf numFmtId="165" fontId="7" fillId="0" borderId="3" xfId="0" applyNumberFormat="1" applyFont="1" applyBorder="1" applyAlignment="1" applyProtection="1">
      <alignment horizontal="center"/>
    </xf>
    <xf numFmtId="40" fontId="7" fillId="0" borderId="3" xfId="0" applyNumberFormat="1" applyFont="1" applyBorder="1" applyProtection="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pplyProtection="1">
      <alignment horizontal="left"/>
    </xf>
    <xf numFmtId="0" fontId="11" fillId="0" borderId="3" xfId="0" applyFont="1" applyBorder="1"/>
    <xf numFmtId="40" fontId="7" fillId="0" borderId="3" xfId="0" applyNumberFormat="1" applyFont="1" applyBorder="1"/>
    <xf numFmtId="165" fontId="7" fillId="0" borderId="4" xfId="0" applyNumberFormat="1" applyFont="1" applyBorder="1" applyAlignment="1" applyProtection="1">
      <alignment horizontal="left"/>
    </xf>
    <xf numFmtId="40" fontId="7" fillId="2" borderId="4" xfId="0" applyNumberFormat="1" applyFont="1" applyFill="1" applyBorder="1" applyAlignment="1" applyProtection="1">
      <alignment horizontal="left"/>
    </xf>
    <xf numFmtId="164" fontId="11" fillId="0" borderId="4" xfId="0" applyNumberFormat="1" applyFont="1" applyBorder="1" applyAlignment="1" applyProtection="1">
      <alignment horizontal="left"/>
    </xf>
    <xf numFmtId="165" fontId="7"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5" fillId="0" borderId="0" xfId="0" applyFont="1" applyBorder="1"/>
    <xf numFmtId="0" fontId="11" fillId="0" borderId="0" xfId="0" applyFont="1" applyBorder="1"/>
    <xf numFmtId="40" fontId="7" fillId="0" borderId="0" xfId="0" applyNumberFormat="1" applyFont="1" applyBorder="1"/>
    <xf numFmtId="49" fontId="7" fillId="0" borderId="0" xfId="0" applyNumberFormat="1" applyFont="1" applyBorder="1" applyAlignment="1">
      <alignment horizontal="center"/>
    </xf>
    <xf numFmtId="0" fontId="7" fillId="0" borderId="0" xfId="0" applyFont="1" applyBorder="1"/>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pplyProtection="1">
      <alignment horizontal="left"/>
    </xf>
    <xf numFmtId="40" fontId="8" fillId="0" borderId="6" xfId="0" applyNumberFormat="1" applyFont="1" applyBorder="1" applyProtection="1">
      <protection locked="0"/>
    </xf>
    <xf numFmtId="40" fontId="8" fillId="0" borderId="0"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Border="1" applyProtection="1">
      <protection locked="0"/>
    </xf>
    <xf numFmtId="40" fontId="7" fillId="0" borderId="0" xfId="0" applyNumberFormat="1" applyFont="1" applyBorder="1" applyProtection="1"/>
    <xf numFmtId="165" fontId="8" fillId="0" borderId="0" xfId="0" applyNumberFormat="1" applyFont="1" applyBorder="1" applyProtection="1">
      <protection locked="0"/>
    </xf>
    <xf numFmtId="164" fontId="7" fillId="0" borderId="0" xfId="0" applyNumberFormat="1" applyFont="1" applyBorder="1" applyAlignment="1" applyProtection="1">
      <alignment horizontal="left"/>
    </xf>
    <xf numFmtId="164" fontId="11" fillId="0" borderId="0" xfId="0" applyNumberFormat="1" applyFont="1" applyBorder="1" applyAlignment="1" applyProtection="1">
      <alignment horizontal="left"/>
    </xf>
    <xf numFmtId="165" fontId="7" fillId="0" borderId="6" xfId="0" applyNumberFormat="1" applyFont="1" applyBorder="1" applyAlignment="1" applyProtection="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pplyProtection="1">
      <alignment horizontal="left"/>
    </xf>
    <xf numFmtId="0" fontId="7" fillId="0" borderId="0" xfId="0" applyFont="1" applyBorder="1" applyAlignment="1">
      <alignment horizontal="center"/>
    </xf>
    <xf numFmtId="165" fontId="11" fillId="0" borderId="0" xfId="0" applyNumberFormat="1" applyFont="1" applyAlignment="1" applyProtection="1">
      <alignment horizontal="left"/>
    </xf>
    <xf numFmtId="40" fontId="7" fillId="0" borderId="0" xfId="0" applyNumberFormat="1" applyFont="1" applyBorder="1" applyAlignment="1">
      <alignment horizontal="center"/>
    </xf>
    <xf numFmtId="49" fontId="11" fillId="0" borderId="0" xfId="0" applyNumberFormat="1" applyFont="1" applyAlignment="1" applyProtection="1">
      <alignment horizontal="left"/>
    </xf>
    <xf numFmtId="49" fontId="7" fillId="0" borderId="0" xfId="0" applyNumberFormat="1" applyFont="1" applyAlignment="1" applyProtection="1">
      <alignment horizontal="left"/>
    </xf>
    <xf numFmtId="0" fontId="0" fillId="0" borderId="0" xfId="0" applyBorder="1" applyAlignment="1">
      <alignment horizontal="center"/>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Border="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Border="1" applyAlignment="1" applyProtection="1">
      <alignment horizontal="right"/>
    </xf>
    <xf numFmtId="40" fontId="9" fillId="0" borderId="0" xfId="0" applyNumberFormat="1" applyFont="1" applyAlignment="1" applyProtection="1">
      <alignment horizontal="right"/>
    </xf>
    <xf numFmtId="40" fontId="9" fillId="0" borderId="3" xfId="0" applyNumberFormat="1" applyFont="1" applyBorder="1" applyAlignment="1" applyProtection="1">
      <alignment horizontal="right"/>
    </xf>
    <xf numFmtId="0" fontId="11" fillId="0" borderId="0" xfId="0" applyFont="1" applyBorder="1" applyProtection="1"/>
    <xf numFmtId="0" fontId="15" fillId="0" borderId="3" xfId="0" applyFont="1" applyBorder="1" applyProtection="1"/>
    <xf numFmtId="0" fontId="15" fillId="0" borderId="0" xfId="0" applyFont="1" applyBorder="1" applyProtection="1"/>
    <xf numFmtId="0" fontId="16" fillId="0" borderId="0" xfId="0" applyFont="1" applyBorder="1" applyProtection="1"/>
    <xf numFmtId="0" fontId="18" fillId="0" borderId="0" xfId="0" applyFont="1" applyBorder="1" applyProtection="1"/>
    <xf numFmtId="40" fontId="8" fillId="0" borderId="0" xfId="0" applyNumberFormat="1" applyFont="1" applyProtection="1"/>
    <xf numFmtId="40" fontId="19" fillId="0" borderId="0" xfId="0" applyNumberFormat="1" applyFont="1" applyProtection="1"/>
    <xf numFmtId="40" fontId="19" fillId="0" borderId="0" xfId="0" applyNumberFormat="1" applyFont="1" applyBorder="1" applyProtection="1"/>
    <xf numFmtId="40" fontId="19" fillId="0" borderId="3" xfId="0" applyNumberFormat="1" applyFont="1" applyBorder="1" applyProtection="1"/>
    <xf numFmtId="40" fontId="9" fillId="0" borderId="0" xfId="0" applyNumberFormat="1" applyFont="1" applyBorder="1" applyProtection="1"/>
    <xf numFmtId="40" fontId="19" fillId="0" borderId="0" xfId="0" applyNumberFormat="1" applyFont="1" applyBorder="1" applyAlignment="1" applyProtection="1">
      <alignment horizontal="center"/>
    </xf>
    <xf numFmtId="40" fontId="9" fillId="0" borderId="0" xfId="0" applyNumberFormat="1" applyFont="1" applyBorder="1" applyAlignment="1" applyProtection="1">
      <alignment horizontal="center"/>
    </xf>
    <xf numFmtId="0" fontId="9" fillId="0" borderId="0" xfId="0" applyNumberFormat="1" applyFont="1" applyAlignment="1" applyProtection="1">
      <alignment horizontal="center" vertical="justify"/>
    </xf>
    <xf numFmtId="40" fontId="9" fillId="0" borderId="0" xfId="0" applyNumberFormat="1" applyFont="1" applyAlignment="1" applyProtection="1">
      <alignment horizontal="center" vertical="justify"/>
    </xf>
    <xf numFmtId="40" fontId="9" fillId="0" borderId="0" xfId="0" applyNumberFormat="1" applyFont="1" applyAlignment="1" applyProtection="1">
      <alignment horizontal="right" vertical="justify"/>
    </xf>
    <xf numFmtId="0" fontId="7" fillId="0" borderId="0" xfId="0" applyFont="1" applyBorder="1" applyAlignment="1" applyProtection="1">
      <alignment horizontal="center"/>
    </xf>
    <xf numFmtId="40" fontId="9" fillId="0" borderId="0" xfId="0" applyNumberFormat="1" applyFont="1" applyAlignment="1" applyProtection="1">
      <alignment horizontal="center"/>
    </xf>
    <xf numFmtId="0" fontId="7" fillId="0" borderId="3" xfId="0" applyFont="1" applyBorder="1" applyAlignment="1" applyProtection="1">
      <alignment horizontal="center"/>
    </xf>
    <xf numFmtId="40" fontId="9" fillId="0" borderId="3" xfId="0" applyNumberFormat="1" applyFont="1" applyBorder="1" applyAlignment="1" applyProtection="1">
      <alignment horizontal="right" vertical="justify"/>
    </xf>
    <xf numFmtId="40" fontId="9" fillId="0" borderId="0" xfId="0" applyNumberFormat="1" applyFont="1" applyBorder="1" applyAlignment="1" applyProtection="1">
      <alignment horizontal="right" vertical="justify"/>
    </xf>
    <xf numFmtId="49" fontId="7" fillId="0" borderId="0" xfId="0" applyNumberFormat="1" applyFont="1" applyAlignment="1" applyProtection="1">
      <alignment horizontal="left"/>
      <protection locked="0"/>
    </xf>
    <xf numFmtId="0" fontId="0" fillId="0" borderId="0" xfId="0" applyBorder="1" applyAlignment="1" applyProtection="1">
      <alignment horizontal="center"/>
    </xf>
    <xf numFmtId="40" fontId="8" fillId="0" borderId="0" xfId="0" applyNumberFormat="1" applyFont="1" applyAlignment="1" applyProtection="1"/>
    <xf numFmtId="40" fontId="19" fillId="0" borderId="0" xfId="0" applyNumberFormat="1" applyFont="1" applyAlignment="1" applyProtection="1">
      <alignment horizontal="center" vertical="justify"/>
    </xf>
    <xf numFmtId="40" fontId="19" fillId="0" borderId="0" xfId="0" applyNumberFormat="1" applyFont="1" applyAlignment="1" applyProtection="1">
      <alignment horizontal="center"/>
    </xf>
    <xf numFmtId="0" fontId="7" fillId="0" borderId="0" xfId="0" applyNumberFormat="1" applyFont="1" applyAlignment="1" applyProtection="1">
      <alignment horizontal="center"/>
    </xf>
    <xf numFmtId="40" fontId="0" fillId="0" borderId="0" xfId="0" applyNumberFormat="1" applyBorder="1" applyProtection="1"/>
    <xf numFmtId="40" fontId="15" fillId="0" borderId="0" xfId="0" applyNumberFormat="1" applyFont="1" applyBorder="1" applyAlignment="1" applyProtection="1">
      <alignment horizontal="center"/>
    </xf>
    <xf numFmtId="0" fontId="7" fillId="0" borderId="0" xfId="0" applyFont="1" applyAlignment="1" applyProtection="1">
      <alignment horizontal="center"/>
    </xf>
    <xf numFmtId="0" fontId="7" fillId="0" borderId="0" xfId="0" quotePrefix="1" applyNumberFormat="1" applyFont="1" applyAlignment="1" applyProtection="1">
      <alignment horizontal="left"/>
    </xf>
    <xf numFmtId="14" fontId="7" fillId="0" borderId="0" xfId="0" quotePrefix="1" applyNumberFormat="1" applyFont="1" applyAlignment="1" applyProtection="1">
      <alignment horizontal="left"/>
    </xf>
    <xf numFmtId="40" fontId="9" fillId="0" borderId="0" xfId="0" quotePrefix="1" applyNumberFormat="1" applyFont="1" applyBorder="1" applyAlignment="1" applyProtection="1">
      <alignment horizontal="left" vertical="justify"/>
    </xf>
    <xf numFmtId="40" fontId="19" fillId="0" borderId="0" xfId="0" applyNumberFormat="1" applyFont="1" applyAlignment="1" applyProtection="1">
      <alignment horizontal="centerContinuous" vertical="justify"/>
    </xf>
    <xf numFmtId="40" fontId="19" fillId="0" borderId="0" xfId="0" applyNumberFormat="1" applyFont="1" applyAlignment="1" applyProtection="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0" fontId="0" fillId="0" borderId="0" xfId="0" applyProtection="1"/>
    <xf numFmtId="0" fontId="7" fillId="0" borderId="0" xfId="0" applyFont="1" applyProtection="1"/>
    <xf numFmtId="0" fontId="11" fillId="0" borderId="0" xfId="0" applyFont="1" applyProtection="1"/>
    <xf numFmtId="40" fontId="20" fillId="0" borderId="0" xfId="0" applyNumberFormat="1" applyFont="1"/>
    <xf numFmtId="40" fontId="9" fillId="0" borderId="4" xfId="0" applyNumberFormat="1" applyFont="1" applyBorder="1" applyProtection="1"/>
    <xf numFmtId="40" fontId="21" fillId="0" borderId="4" xfId="0" applyNumberFormat="1" applyFont="1" applyBorder="1"/>
    <xf numFmtId="0" fontId="0" fillId="0" borderId="0" xfId="0" applyAlignment="1"/>
    <xf numFmtId="0" fontId="7" fillId="0" borderId="0" xfId="0" applyNumberFormat="1" applyFont="1" applyAlignment="1" applyProtection="1">
      <alignment horizontal="left"/>
    </xf>
    <xf numFmtId="0" fontId="7" fillId="0" borderId="0" xfId="0" applyNumberFormat="1" applyFont="1" applyProtection="1">
      <protection locked="0"/>
    </xf>
    <xf numFmtId="40" fontId="19" fillId="0" borderId="0" xfId="0" applyNumberFormat="1" applyFont="1" applyAlignment="1" applyProtection="1"/>
    <xf numFmtId="40" fontId="9" fillId="0" borderId="0" xfId="0" applyNumberFormat="1" applyFont="1" applyAlignment="1" applyProtection="1"/>
    <xf numFmtId="40" fontId="0" fillId="0" borderId="0" xfId="0" applyNumberFormat="1" applyAlignment="1"/>
    <xf numFmtId="2" fontId="0" fillId="0" borderId="0" xfId="0" applyNumberFormat="1" applyAlignment="1"/>
    <xf numFmtId="40" fontId="9" fillId="0" borderId="3" xfId="0" applyNumberFormat="1" applyFont="1" applyBorder="1" applyProtection="1"/>
    <xf numFmtId="40" fontId="9" fillId="0" borderId="0" xfId="0" quotePrefix="1" applyNumberFormat="1" applyFont="1" applyAlignment="1" applyProtection="1">
      <alignment horizontal="left" vertical="justify"/>
    </xf>
    <xf numFmtId="40" fontId="0" fillId="0" borderId="7" xfId="0" applyNumberFormat="1" applyBorder="1"/>
    <xf numFmtId="14" fontId="7" fillId="0" borderId="0" xfId="0" applyNumberFormat="1" applyFont="1" applyAlignment="1" applyProtection="1">
      <alignment horizontal="left"/>
    </xf>
    <xf numFmtId="40" fontId="9" fillId="0" borderId="0" xfId="0" applyNumberFormat="1" applyFont="1" applyAlignment="1" applyProtection="1">
      <alignment horizontal="left" vertical="justify"/>
    </xf>
    <xf numFmtId="40" fontId="0" fillId="0" borderId="0" xfId="0" applyNumberFormat="1" applyBorder="1" applyProtection="1">
      <protection locked="0"/>
    </xf>
    <xf numFmtId="0" fontId="8" fillId="0" borderId="0" xfId="0" applyNumberFormat="1" applyFont="1" applyProtection="1">
      <protection locked="0"/>
    </xf>
    <xf numFmtId="40" fontId="9" fillId="0" borderId="0" xfId="0" applyNumberFormat="1" applyFont="1" applyBorder="1" applyAlignment="1" applyProtection="1">
      <alignment horizontal="left"/>
    </xf>
    <xf numFmtId="40" fontId="19" fillId="0" borderId="0" xfId="0" quotePrefix="1" applyNumberFormat="1" applyFont="1" applyAlignment="1" applyProtection="1">
      <alignment horizontal="left"/>
    </xf>
    <xf numFmtId="0" fontId="9" fillId="0" borderId="3" xfId="0" applyNumberFormat="1" applyFont="1" applyBorder="1" applyAlignment="1" applyProtection="1">
      <alignment horizontal="center" vertical="justify"/>
    </xf>
    <xf numFmtId="40" fontId="9" fillId="0" borderId="3" xfId="0" applyNumberFormat="1" applyFont="1" applyBorder="1" applyAlignment="1" applyProtection="1">
      <alignment horizontal="center" vertical="justify"/>
    </xf>
    <xf numFmtId="40" fontId="22" fillId="0" borderId="0" xfId="0" quotePrefix="1" applyNumberFormat="1" applyFont="1" applyBorder="1" applyAlignment="1" applyProtection="1">
      <alignment horizontal="center" vertical="justify"/>
    </xf>
    <xf numFmtId="40" fontId="22"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pplyProtection="1">
      <alignment horizontal="left"/>
    </xf>
    <xf numFmtId="0" fontId="7" fillId="0" borderId="0" xfId="0" applyFont="1" applyAlignment="1">
      <alignment horizontal="left"/>
    </xf>
    <xf numFmtId="49" fontId="25" fillId="0" borderId="0" xfId="0" applyNumberFormat="1" applyFont="1" applyAlignment="1" applyProtection="1">
      <alignment horizontal="left"/>
    </xf>
    <xf numFmtId="40" fontId="22" fillId="0" borderId="0" xfId="0" applyNumberFormat="1" applyFont="1" applyProtection="1"/>
    <xf numFmtId="0" fontId="26" fillId="0" borderId="0" xfId="0" applyFont="1" applyBorder="1" applyAlignment="1" applyProtection="1">
      <alignment horizontal="center"/>
    </xf>
    <xf numFmtId="14" fontId="26" fillId="0" borderId="0" xfId="0" quotePrefix="1" applyNumberFormat="1" applyFont="1" applyAlignment="1" applyProtection="1">
      <alignment horizontal="left"/>
    </xf>
    <xf numFmtId="40" fontId="22" fillId="0" borderId="0" xfId="0" applyNumberFormat="1" applyFont="1" applyAlignment="1" applyProtection="1">
      <alignment horizontal="right" vertical="justify"/>
    </xf>
    <xf numFmtId="40" fontId="22" fillId="0" borderId="0" xfId="0" quotePrefix="1" applyNumberFormat="1" applyFont="1" applyAlignment="1" applyProtection="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pplyProtection="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pplyProtection="1">
      <alignment horizontal="left"/>
    </xf>
    <xf numFmtId="40" fontId="9" fillId="0" borderId="0" xfId="0" applyNumberFormat="1" applyFont="1" applyAlignment="1" applyProtection="1">
      <alignment horizontal="left"/>
    </xf>
    <xf numFmtId="40" fontId="24" fillId="0" borderId="3" xfId="0" applyNumberFormat="1" applyFont="1" applyBorder="1" applyProtection="1"/>
    <xf numFmtId="40" fontId="24" fillId="0" borderId="0" xfId="0" applyNumberFormat="1" applyFont="1" applyProtection="1"/>
    <xf numFmtId="40" fontId="9" fillId="0" borderId="0" xfId="0" applyNumberFormat="1" applyFont="1" applyProtection="1">
      <protection locked="0"/>
    </xf>
    <xf numFmtId="0" fontId="0" fillId="0" borderId="0" xfId="0" applyBorder="1" applyProtection="1">
      <protection locked="0"/>
    </xf>
    <xf numFmtId="40" fontId="7" fillId="0" borderId="0" xfId="0" quotePrefix="1" applyNumberFormat="1" applyFont="1" applyBorder="1" applyAlignment="1">
      <alignment horizontal="center"/>
    </xf>
    <xf numFmtId="40" fontId="19" fillId="0" borderId="0" xfId="0" quotePrefix="1" applyNumberFormat="1" applyFont="1" applyProtection="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0" fontId="16" fillId="0" borderId="0" xfId="0"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Border="1" applyAlignment="1" applyProtection="1">
      <alignment horizontal="left"/>
    </xf>
    <xf numFmtId="40" fontId="9" fillId="0" borderId="0" xfId="0" quotePrefix="1" applyNumberFormat="1" applyFont="1" applyAlignment="1" applyProtection="1">
      <alignment horizontal="left"/>
    </xf>
    <xf numFmtId="0" fontId="7" fillId="0" borderId="4" xfId="0" applyFont="1" applyBorder="1" applyAlignment="1" applyProtection="1">
      <alignment horizontal="center"/>
    </xf>
    <xf numFmtId="0" fontId="7" fillId="0" borderId="4" xfId="0" applyFont="1" applyBorder="1" applyAlignment="1" applyProtection="1">
      <alignment horizontal="left"/>
    </xf>
    <xf numFmtId="40" fontId="9" fillId="0" borderId="4" xfId="0" applyNumberFormat="1" applyFont="1" applyBorder="1" applyAlignment="1" applyProtection="1">
      <alignment horizontal="right"/>
    </xf>
    <xf numFmtId="40" fontId="7" fillId="2" borderId="0" xfId="0" applyNumberFormat="1" applyFont="1" applyFill="1" applyBorder="1" applyAlignment="1" applyProtection="1">
      <alignment horizontal="left"/>
    </xf>
    <xf numFmtId="0" fontId="7" fillId="0" borderId="3" xfId="0" applyNumberFormat="1" applyFont="1" applyBorder="1" applyAlignment="1" applyProtection="1">
      <alignment horizontal="center"/>
    </xf>
    <xf numFmtId="0" fontId="7" fillId="0" borderId="3" xfId="0" applyNumberFormat="1" applyFont="1" applyBorder="1" applyAlignment="1" applyProtection="1">
      <alignment horizontal="left"/>
    </xf>
    <xf numFmtId="0" fontId="7" fillId="0" borderId="4" xfId="0" applyNumberFormat="1" applyFont="1" applyBorder="1" applyAlignment="1" applyProtection="1">
      <alignment horizontal="left"/>
    </xf>
    <xf numFmtId="164" fontId="26" fillId="0" borderId="0" xfId="0" applyNumberFormat="1" applyFont="1" applyAlignment="1" applyProtection="1">
      <alignment horizontal="left"/>
    </xf>
    <xf numFmtId="40" fontId="26" fillId="0" borderId="0" xfId="0" applyNumberFormat="1" applyFont="1" applyProtection="1"/>
    <xf numFmtId="40" fontId="9" fillId="0" borderId="5" xfId="0" applyNumberFormat="1" applyFont="1" applyBorder="1" applyProtection="1"/>
    <xf numFmtId="0" fontId="7" fillId="0" borderId="5" xfId="0" applyFont="1" applyBorder="1" applyAlignment="1">
      <alignment horizontal="center"/>
    </xf>
    <xf numFmtId="0" fontId="7" fillId="0" borderId="5" xfId="0" applyNumberFormat="1" applyFont="1" applyBorder="1" applyAlignment="1" applyProtection="1">
      <alignment horizontal="center"/>
    </xf>
    <xf numFmtId="165" fontId="7" fillId="0" borderId="5" xfId="0" applyNumberFormat="1" applyFont="1" applyBorder="1" applyAlignment="1" applyProtection="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0" fontId="15" fillId="0" borderId="0" xfId="0" applyFont="1" applyAlignment="1" applyProtection="1">
      <alignment horizontal="center"/>
    </xf>
    <xf numFmtId="1" fontId="0" fillId="0" borderId="0" xfId="0" applyNumberFormat="1" applyAlignment="1" applyProtection="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0" fontId="15"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pplyProtection="1">
      <alignment horizontal="left"/>
    </xf>
    <xf numFmtId="1" fontId="0" fillId="0" borderId="0" xfId="0" applyNumberFormat="1" applyBorder="1" applyAlignment="1" applyProtection="1">
      <alignment horizontal="right"/>
    </xf>
    <xf numFmtId="40" fontId="7" fillId="4" borderId="0" xfId="0" applyNumberFormat="1" applyFont="1" applyFill="1" applyAlignment="1" applyProtection="1">
      <alignment horizontal="center"/>
    </xf>
    <xf numFmtId="40" fontId="26" fillId="0" borderId="0" xfId="0" applyNumberFormat="1" applyFont="1" applyAlignment="1" applyProtection="1">
      <alignment horizontal="center"/>
    </xf>
    <xf numFmtId="40" fontId="26" fillId="0" borderId="0" xfId="0" applyNumberFormat="1" applyFont="1"/>
    <xf numFmtId="0" fontId="11" fillId="0" borderId="0" xfId="0" applyFont="1" applyBorder="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applyBorder="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40" fontId="11" fillId="0" borderId="0" xfId="0" applyNumberFormat="1" applyFont="1" applyBorder="1" applyAlignment="1">
      <alignment horizontal="center"/>
    </xf>
    <xf numFmtId="0" fontId="37" fillId="0" borderId="0" xfId="0" applyFont="1" applyAlignment="1">
      <alignment horizontal="center"/>
    </xf>
    <xf numFmtId="164" fontId="29" fillId="0" borderId="0" xfId="0" applyNumberFormat="1" applyFont="1" applyAlignment="1" applyProtection="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40" fillId="0" borderId="0" xfId="0" applyFont="1"/>
    <xf numFmtId="0" fontId="31" fillId="0" borderId="0" xfId="0" applyFont="1"/>
    <xf numFmtId="0" fontId="15" fillId="0" borderId="0" xfId="0" applyFont="1" applyAlignment="1">
      <alignment horizontal="center"/>
    </xf>
    <xf numFmtId="0" fontId="15" fillId="0" borderId="0" xfId="0" applyFont="1" applyBorder="1" applyAlignment="1">
      <alignment horizontal="center"/>
    </xf>
    <xf numFmtId="0" fontId="11" fillId="0" borderId="0" xfId="0" applyFont="1" applyAlignment="1">
      <alignment horizontal="center"/>
    </xf>
    <xf numFmtId="0" fontId="13" fillId="0" borderId="0" xfId="0" applyFont="1" applyAlignment="1">
      <alignment horizontal="center"/>
    </xf>
    <xf numFmtId="0" fontId="15" fillId="0" borderId="5" xfId="0" applyFont="1" applyBorder="1" applyAlignment="1">
      <alignment horizontal="center"/>
    </xf>
    <xf numFmtId="0" fontId="15" fillId="0" borderId="0" xfId="0" applyFont="1" applyBorder="1" applyAlignment="1">
      <alignment horizontal="center"/>
    </xf>
    <xf numFmtId="0" fontId="0" fillId="0" borderId="15" xfId="0" applyFill="1"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2" fillId="0" borderId="0" xfId="0" applyFont="1" applyAlignment="1">
      <alignment horizontal="center"/>
    </xf>
    <xf numFmtId="0" fontId="15" fillId="0" borderId="0" xfId="0" applyFont="1" applyAlignment="1">
      <alignment horizontal="center"/>
    </xf>
    <xf numFmtId="40" fontId="42" fillId="6" borderId="0" xfId="0" applyNumberFormat="1" applyFont="1" applyFill="1"/>
    <xf numFmtId="0" fontId="0" fillId="0" borderId="0" xfId="0" applyFill="1"/>
    <xf numFmtId="0" fontId="46" fillId="0" borderId="0" xfId="0" applyFont="1"/>
    <xf numFmtId="0" fontId="47"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3" fillId="8" borderId="0" xfId="0" applyFont="1" applyFill="1" applyProtection="1"/>
    <xf numFmtId="0" fontId="0" fillId="8" borderId="0" xfId="0" applyFill="1" applyProtection="1"/>
    <xf numFmtId="0" fontId="15" fillId="8" borderId="0" xfId="0" applyFont="1" applyFill="1" applyProtection="1"/>
    <xf numFmtId="0" fontId="15" fillId="8" borderId="26" xfId="0" applyFont="1" applyFill="1" applyBorder="1" applyAlignment="1" applyProtection="1">
      <alignment horizontal="center"/>
    </xf>
    <xf numFmtId="0" fontId="15" fillId="8" borderId="26" xfId="0" applyFont="1" applyFill="1" applyBorder="1" applyAlignment="1" applyProtection="1">
      <alignment horizontal="center" wrapText="1"/>
    </xf>
    <xf numFmtId="0" fontId="15" fillId="8" borderId="26" xfId="0" applyFont="1" applyFill="1" applyBorder="1" applyProtection="1"/>
    <xf numFmtId="2" fontId="15"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15" fillId="0" borderId="0" xfId="0" applyFont="1" applyProtection="1"/>
    <xf numFmtId="0" fontId="69" fillId="0" borderId="0" xfId="0" applyFont="1"/>
    <xf numFmtId="0" fontId="33" fillId="0" borderId="0" xfId="0" applyFont="1"/>
    <xf numFmtId="0" fontId="68" fillId="0" borderId="0" xfId="0" applyFont="1"/>
    <xf numFmtId="4" fontId="69" fillId="0" borderId="0" xfId="0" applyNumberFormat="1" applyFont="1" applyAlignment="1"/>
    <xf numFmtId="4" fontId="69" fillId="0" borderId="5" xfId="0" applyNumberFormat="1" applyFont="1" applyBorder="1" applyAlignment="1"/>
    <xf numFmtId="0" fontId="69" fillId="0" borderId="0" xfId="0" applyFont="1" applyAlignment="1">
      <alignment horizontal="center"/>
    </xf>
    <xf numFmtId="0" fontId="71" fillId="0" borderId="0" xfId="0" applyFont="1" applyAlignment="1">
      <alignment horizontal="right"/>
    </xf>
    <xf numFmtId="0" fontId="69" fillId="40" borderId="0" xfId="0" applyFont="1" applyFill="1" applyAlignment="1" applyProtection="1">
      <alignment horizontal="center"/>
      <protection locked="0"/>
    </xf>
    <xf numFmtId="40" fontId="69" fillId="0" borderId="3" xfId="0" applyNumberFormat="1" applyFont="1" applyBorder="1"/>
    <xf numFmtId="0" fontId="70" fillId="0" borderId="0" xfId="0" applyFont="1"/>
    <xf numFmtId="165" fontId="72" fillId="0" borderId="0" xfId="0" applyNumberFormat="1" applyFont="1" applyAlignment="1" applyProtection="1">
      <alignment horizontal="center"/>
    </xf>
    <xf numFmtId="165" fontId="72" fillId="0" borderId="0" xfId="0" applyNumberFormat="1" applyFont="1" applyAlignment="1" applyProtection="1">
      <alignment horizontal="left"/>
    </xf>
    <xf numFmtId="164" fontId="41"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8" fillId="7" borderId="0" xfId="0" applyNumberFormat="1" applyFont="1" applyFill="1" applyProtection="1"/>
    <xf numFmtId="49" fontId="41" fillId="0" borderId="0" xfId="0" applyNumberFormat="1" applyFont="1"/>
    <xf numFmtId="0" fontId="15" fillId="40" borderId="0" xfId="0" applyFont="1" applyFill="1"/>
    <xf numFmtId="0" fontId="0" fillId="40" borderId="0" xfId="0" applyFill="1"/>
    <xf numFmtId="0" fontId="42"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1"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applyProtection="1"/>
    <xf numFmtId="0" fontId="0" fillId="0" borderId="0" xfId="0" applyAlignment="1">
      <alignment wrapText="1"/>
    </xf>
    <xf numFmtId="0" fontId="4" fillId="0" borderId="0" xfId="43" applyFont="1"/>
    <xf numFmtId="0" fontId="63" fillId="0" borderId="0" xfId="43" applyFont="1" applyAlignment="1">
      <alignment horizontal="center" vertical="center"/>
    </xf>
    <xf numFmtId="0" fontId="63" fillId="0" borderId="0" xfId="43" applyFont="1" applyAlignment="1">
      <alignment horizontal="left" vertical="center"/>
    </xf>
    <xf numFmtId="0" fontId="73" fillId="0" borderId="0" xfId="43" applyFont="1"/>
    <xf numFmtId="0" fontId="65" fillId="43" borderId="0" xfId="43" applyFont="1" applyFill="1"/>
    <xf numFmtId="0" fontId="65"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applyProtection="1"/>
    <xf numFmtId="0" fontId="2" fillId="43" borderId="0" xfId="43" applyFont="1" applyFill="1"/>
    <xf numFmtId="49" fontId="7" fillId="43" borderId="0" xfId="0" applyNumberFormat="1" applyFont="1" applyFill="1" applyBorder="1" applyProtection="1">
      <protection locked="0"/>
    </xf>
    <xf numFmtId="0" fontId="77" fillId="0" borderId="40" xfId="0" applyFont="1" applyBorder="1" applyAlignment="1" applyProtection="1">
      <alignment vertical="top" wrapText="1" readingOrder="1"/>
      <protection locked="0"/>
    </xf>
    <xf numFmtId="0" fontId="78" fillId="45" borderId="41" xfId="0" applyFont="1" applyFill="1" applyBorder="1" applyAlignment="1" applyProtection="1">
      <alignment horizontal="right" vertical="top" wrapText="1" readingOrder="1"/>
      <protection locked="0"/>
    </xf>
    <xf numFmtId="0" fontId="78" fillId="45" borderId="41" xfId="0" applyFont="1" applyFill="1" applyBorder="1" applyAlignment="1" applyProtection="1">
      <alignment vertical="top" wrapText="1" readingOrder="1"/>
      <protection locked="0"/>
    </xf>
    <xf numFmtId="0" fontId="79" fillId="0" borderId="41" xfId="0" applyFont="1" applyBorder="1" applyAlignment="1" applyProtection="1">
      <alignment vertical="top" wrapText="1" readingOrder="1"/>
      <protection locked="0"/>
    </xf>
    <xf numFmtId="0" fontId="78" fillId="45" borderId="0" xfId="0" applyFont="1" applyFill="1" applyBorder="1" applyAlignment="1" applyProtection="1">
      <alignment vertical="top" wrapText="1" readingOrder="1"/>
      <protection locked="0"/>
    </xf>
    <xf numFmtId="0" fontId="79" fillId="0" borderId="0" xfId="0" applyFont="1" applyBorder="1" applyAlignment="1" applyProtection="1">
      <alignment vertical="top" wrapText="1" readingOrder="1"/>
      <protection locked="0"/>
    </xf>
    <xf numFmtId="0" fontId="77" fillId="0" borderId="0" xfId="0" applyFont="1" applyBorder="1" applyAlignment="1" applyProtection="1">
      <alignment vertical="top" wrapText="1" readingOrder="1"/>
      <protection locked="0"/>
    </xf>
    <xf numFmtId="0" fontId="0" fillId="0" borderId="40" xfId="0" applyBorder="1"/>
    <xf numFmtId="0" fontId="76" fillId="43" borderId="0" xfId="0" applyFont="1" applyFill="1"/>
    <xf numFmtId="0" fontId="36" fillId="43" borderId="0" xfId="0" applyFont="1" applyFill="1"/>
    <xf numFmtId="0" fontId="0" fillId="43" borderId="0" xfId="0" applyFill="1"/>
    <xf numFmtId="0" fontId="76" fillId="46" borderId="0" xfId="0" applyFont="1" applyFill="1"/>
    <xf numFmtId="0" fontId="36" fillId="46" borderId="0" xfId="0" applyFont="1" applyFill="1"/>
    <xf numFmtId="0" fontId="0" fillId="46" borderId="0" xfId="0" applyFill="1"/>
    <xf numFmtId="0" fontId="76" fillId="47" borderId="0" xfId="0" applyFont="1" applyFill="1"/>
    <xf numFmtId="0" fontId="36" fillId="47" borderId="0" xfId="0" applyFont="1" applyFill="1"/>
    <xf numFmtId="0" fontId="0" fillId="47" borderId="0" xfId="0" applyFill="1"/>
    <xf numFmtId="0" fontId="80" fillId="0" borderId="0" xfId="43" applyFont="1" applyAlignment="1">
      <alignment horizontal="center" vertical="center"/>
    </xf>
    <xf numFmtId="0" fontId="1" fillId="40" borderId="0" xfId="43" applyFont="1" applyFill="1" applyProtection="1">
      <protection locked="0"/>
    </xf>
    <xf numFmtId="49" fontId="15" fillId="0" borderId="0" xfId="0" applyNumberFormat="1" applyFont="1" applyAlignment="1">
      <alignment horizontal="center"/>
    </xf>
    <xf numFmtId="0" fontId="69" fillId="0" borderId="0" xfId="0" applyFont="1" applyAlignment="1">
      <alignment horizontal="center"/>
    </xf>
    <xf numFmtId="49" fontId="69" fillId="7" borderId="0" xfId="0" applyNumberFormat="1" applyFont="1" applyFill="1" applyAlignment="1"/>
    <xf numFmtId="0" fontId="69" fillId="7" borderId="0" xfId="0" applyFont="1" applyFill="1" applyAlignment="1"/>
    <xf numFmtId="0" fontId="32" fillId="0" borderId="0" xfId="0" applyFont="1" applyAlignment="1">
      <alignment horizontal="center"/>
    </xf>
    <xf numFmtId="0" fontId="32" fillId="0" borderId="0" xfId="0" applyFont="1" applyAlignme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applyAlignment="1"/>
    <xf numFmtId="0" fontId="46" fillId="0" borderId="0" xfId="0" applyFont="1" applyAlignment="1">
      <alignment horizontal="left" vertical="top" wrapText="1"/>
    </xf>
    <xf numFmtId="4" fontId="42" fillId="0" borderId="0" xfId="0" applyNumberFormat="1" applyFont="1" applyBorder="1" applyAlignment="1" applyProtection="1">
      <alignment wrapText="1"/>
    </xf>
    <xf numFmtId="0" fontId="0" fillId="0" borderId="0" xfId="0" applyAlignment="1">
      <alignment wrapText="1"/>
    </xf>
    <xf numFmtId="0" fontId="30" fillId="0" borderId="0" xfId="0" applyFont="1" applyAlignment="1">
      <alignment horizontal="center"/>
    </xf>
    <xf numFmtId="49" fontId="15" fillId="0" borderId="0" xfId="0" applyNumberFormat="1" applyFont="1" applyAlignment="1" applyProtection="1">
      <alignment horizontal="center"/>
    </xf>
    <xf numFmtId="49" fontId="16" fillId="0" borderId="0" xfId="0" applyNumberFormat="1" applyFont="1" applyBorder="1" applyAlignment="1" applyProtection="1">
      <alignment horizontal="left"/>
      <protection locked="0"/>
    </xf>
    <xf numFmtId="49" fontId="16" fillId="0" borderId="10" xfId="0" applyNumberFormat="1" applyFont="1" applyBorder="1" applyAlignment="1" applyProtection="1">
      <alignment horizontal="left"/>
      <protection locked="0"/>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pplyProtection="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pplyProtection="1">
      <alignment horizontal="left"/>
    </xf>
    <xf numFmtId="49" fontId="16" fillId="0" borderId="0" xfId="0" applyNumberFormat="1" applyFont="1" applyBorder="1" applyAlignment="1" applyProtection="1">
      <alignment horizontal="left"/>
    </xf>
    <xf numFmtId="49" fontId="16" fillId="0" borderId="10" xfId="0" applyNumberFormat="1" applyFont="1" applyBorder="1" applyAlignment="1" applyProtection="1">
      <alignment horizontal="left"/>
    </xf>
    <xf numFmtId="0" fontId="33" fillId="0" borderId="20" xfId="0" applyFont="1" applyBorder="1" applyAlignment="1">
      <alignment horizontal="center"/>
    </xf>
    <xf numFmtId="0" fontId="33" fillId="0" borderId="8" xfId="0" applyFont="1" applyBorder="1" applyAlignment="1">
      <alignment horizontal="center"/>
    </xf>
    <xf numFmtId="0" fontId="15" fillId="0" borderId="0" xfId="0" applyFont="1" applyBorder="1" applyAlignment="1">
      <alignment horizontal="center"/>
    </xf>
    <xf numFmtId="0" fontId="15" fillId="0" borderId="10" xfId="0" applyFont="1" applyBorder="1" applyAlignment="1">
      <alignment horizontal="center"/>
    </xf>
    <xf numFmtId="49" fontId="36" fillId="0" borderId="0" xfId="0" applyNumberFormat="1" applyFont="1" applyBorder="1" applyAlignment="1"/>
    <xf numFmtId="0" fontId="36" fillId="0" borderId="0" xfId="0" applyFont="1" applyBorder="1" applyAlignment="1"/>
    <xf numFmtId="0" fontId="35" fillId="0" borderId="11" xfId="0" applyFont="1" applyBorder="1" applyAlignment="1">
      <alignment horizontal="center"/>
    </xf>
    <xf numFmtId="0" fontId="35"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28"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1049</v>
      </c>
      <c r="B2" s="126">
        <f>INDEX('School Tables'!$AH$3:$AH$208,MATCH('DOE25'!A2,'School Tables'!$AJ$3:$AJ$208,0))</f>
        <v>185</v>
      </c>
      <c r="C2" s="126">
        <f>INDEX('School Tables'!$AI$3:$AI$208,MATCH('DOE25'!A2,'School Tables'!$AJ$3:$AJ$208,0))</f>
        <v>185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100+150+200+1276908.57</f>
        <v>1277358.57</v>
      </c>
      <c r="G9" s="18">
        <f>74470.94+317</f>
        <v>74787.94</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664.23</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f>27815.37+240303.31</f>
        <v>268118.68</v>
      </c>
      <c r="G13" s="18">
        <v>248499.56</v>
      </c>
      <c r="H13" s="18">
        <v>653699.39</v>
      </c>
      <c r="I13" s="18"/>
      <c r="J13" s="67">
        <f>SUM(I443)</f>
        <v>325503.45</v>
      </c>
      <c r="K13" s="24" t="s">
        <v>288</v>
      </c>
      <c r="L13" s="24" t="s">
        <v>288</v>
      </c>
      <c r="M13" s="8"/>
      <c r="N13" s="265"/>
    </row>
    <row r="14" spans="1:14" s="3" customFormat="1" ht="12.2" customHeight="1" x14ac:dyDescent="0.15">
      <c r="A14" s="1" t="s">
        <v>565</v>
      </c>
      <c r="B14" s="2" t="s">
        <v>289</v>
      </c>
      <c r="C14" s="6">
        <v>6</v>
      </c>
      <c r="D14" s="2" t="s">
        <v>428</v>
      </c>
      <c r="E14" s="6">
        <v>150</v>
      </c>
      <c r="F14" s="18">
        <v>24788.49</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23909.86</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18711.73</v>
      </c>
      <c r="G17" s="18">
        <v>2187.87</v>
      </c>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1589641.7</v>
      </c>
      <c r="G19" s="41">
        <f>SUM(G9:G18)</f>
        <v>349385.23</v>
      </c>
      <c r="H19" s="41">
        <f>SUM(H9:H18)</f>
        <v>653699.39</v>
      </c>
      <c r="I19" s="41">
        <f>SUM(I9:I18)</f>
        <v>0</v>
      </c>
      <c r="J19" s="41">
        <f>SUM(J9:J18)</f>
        <v>325503.45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-483510.45</v>
      </c>
      <c r="G22" s="18">
        <v>91337.42</v>
      </c>
      <c r="H22" s="18">
        <f>-3000-12410.29+491670.74-5597.29-45582.5-878.18-4923.41-22000-3645.03-31.47-1310.51</f>
        <v>392292.06000000006</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f>-18.39</f>
        <v>-18.39</v>
      </c>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246492.1+77790.55</f>
        <v>324282.65000000002</v>
      </c>
      <c r="G24" s="18">
        <f>11048.48+3712.68</f>
        <v>14761.16</v>
      </c>
      <c r="H24" s="18">
        <f>60579.88+5186.53+379.99</f>
        <v>66146.400000000009</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f>-338.46+50.65</f>
        <v>-287.81</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f>-1338+235.95</f>
        <v>-1102.05</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22701.200000000001</v>
      </c>
      <c r="G30" s="18">
        <v>8210.7900000000009</v>
      </c>
      <c r="H30" s="18">
        <f>10079.63+83546.86+1351.62+139.63+1144.5</f>
        <v>96262.24</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v>59958.400000000001</v>
      </c>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-137934.84999999998</v>
      </c>
      <c r="G32" s="41">
        <f>SUM(G22:G31)</f>
        <v>174267.77</v>
      </c>
      <c r="H32" s="41">
        <f>SUM(H22:H31)</f>
        <v>554700.70000000007</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175117.46</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1281869.58</v>
      </c>
      <c r="G48" s="18"/>
      <c r="H48" s="18">
        <v>98998.689999999944</v>
      </c>
      <c r="I48" s="18"/>
      <c r="J48" s="13">
        <f>SUM(I460)</f>
        <v>325503.45</v>
      </c>
      <c r="K48" s="24" t="s">
        <v>288</v>
      </c>
      <c r="L48" s="24" t="s">
        <v>288</v>
      </c>
      <c r="M48" s="8"/>
      <c r="N48" s="265"/>
    </row>
    <row r="49" spans="1:14" s="3" customFormat="1" ht="12.2" customHeight="1" x14ac:dyDescent="0.15">
      <c r="A49" s="1" t="s">
        <v>859</v>
      </c>
      <c r="B49" s="2" t="s">
        <v>289</v>
      </c>
      <c r="C49" s="6">
        <v>34</v>
      </c>
      <c r="D49" s="2"/>
      <c r="E49" s="6">
        <v>753</v>
      </c>
      <c r="F49" s="18">
        <v>445706.97</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1727576.55</v>
      </c>
      <c r="G51" s="41">
        <f>SUM(G35:G50)</f>
        <v>175117.46</v>
      </c>
      <c r="H51" s="41">
        <f>SUM(H35:H50)</f>
        <v>98998.689999999944</v>
      </c>
      <c r="I51" s="41">
        <f>SUM(I35:I50)</f>
        <v>0</v>
      </c>
      <c r="J51" s="41">
        <f>SUM(J35:J50)</f>
        <v>325503.45</v>
      </c>
      <c r="K51" s="45" t="s">
        <v>288</v>
      </c>
      <c r="L51" s="45" t="s">
        <v>288</v>
      </c>
      <c r="N51" s="263"/>
    </row>
    <row r="52" spans="1:14" s="3" customFormat="1" ht="12.2" customHeight="1" thickTop="1" x14ac:dyDescent="0.15">
      <c r="A52" s="38" t="s">
        <v>455</v>
      </c>
      <c r="B52" s="39" t="s">
        <v>289</v>
      </c>
      <c r="C52" s="6">
        <v>37</v>
      </c>
      <c r="D52" s="39" t="s">
        <v>653</v>
      </c>
      <c r="E52" s="39"/>
      <c r="F52" s="41">
        <f>F51+F32</f>
        <v>1589641.7000000002</v>
      </c>
      <c r="G52" s="41">
        <f>G51+G32</f>
        <v>349385.23</v>
      </c>
      <c r="H52" s="41">
        <f>H51+H32</f>
        <v>653699.39</v>
      </c>
      <c r="I52" s="41">
        <f>I51+I32</f>
        <v>0</v>
      </c>
      <c r="J52" s="41">
        <f>J51+J32</f>
        <v>325503.45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4595004</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4595004</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17908.21</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17908.21</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2052.5</v>
      </c>
      <c r="G96" s="18">
        <v>25.46</v>
      </c>
      <c r="H96" s="18"/>
      <c r="I96" s="18"/>
      <c r="J96" s="18">
        <f>2386.66+1718.79</f>
        <v>4105.45</v>
      </c>
      <c r="K96" s="24" t="s">
        <v>288</v>
      </c>
      <c r="L96" s="24" t="s">
        <v>288</v>
      </c>
      <c r="M96" s="8"/>
      <c r="N96" s="265"/>
    </row>
    <row r="97" spans="1:14" s="3" customFormat="1" ht="12.2" customHeight="1" x14ac:dyDescent="0.15">
      <c r="A97" s="1" t="s">
        <v>503</v>
      </c>
      <c r="B97" s="2" t="s">
        <v>315</v>
      </c>
      <c r="C97" s="6">
        <v>12</v>
      </c>
      <c r="D97" s="2" t="s">
        <v>430</v>
      </c>
      <c r="E97" s="6">
        <v>1600</v>
      </c>
      <c r="F97" s="24" t="s">
        <v>288</v>
      </c>
      <c r="G97" s="18">
        <f>2.5+91.5+6531.21+1052.55+891+2532.42</f>
        <v>11101.18</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2677.72</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f>7889.66+500+5200+5933.85+218222.59+2042.06+2855.5</f>
        <v>242643.66</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9988.19</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5225.21+155578.92</f>
        <v>160804.13</v>
      </c>
      <c r="G110" s="18"/>
      <c r="H110" s="18">
        <f>300+5500+55694.66</f>
        <v>61494.66</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175522.54</v>
      </c>
      <c r="G111" s="41">
        <f>SUM(G96:G110)</f>
        <v>11126.64</v>
      </c>
      <c r="H111" s="41">
        <f>SUM(H96:H110)</f>
        <v>304138.32</v>
      </c>
      <c r="I111" s="41">
        <f>SUM(I96:I110)</f>
        <v>0</v>
      </c>
      <c r="J111" s="41">
        <f>SUM(J96:J110)</f>
        <v>4105.45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4788434.75</v>
      </c>
      <c r="G112" s="41">
        <f>G60+G111</f>
        <v>11126.64</v>
      </c>
      <c r="H112" s="41">
        <f>H60+H79+H94+H111</f>
        <v>304138.32</v>
      </c>
      <c r="I112" s="41">
        <f>I60+I111</f>
        <v>0</v>
      </c>
      <c r="J112" s="41">
        <f>J60+J111</f>
        <v>4105.45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8269482.6600000001</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1190971</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55296.05</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9515749.7100000009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81944.160000000003</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191886.18</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5181.8</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f>12867.08+6715.53</f>
        <v>19582.61</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v>29253.53</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11686+2615.33</f>
        <v>14301.33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f>37029.58+173.65</f>
        <v>37203.230000000003</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279012.13999999996</v>
      </c>
      <c r="G136" s="41">
        <f>SUM(G123:G135)</f>
        <v>14301.33</v>
      </c>
      <c r="H136" s="41">
        <f>SUM(H123:H135)</f>
        <v>86039.37</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9794761.8500000015</v>
      </c>
      <c r="G140" s="41">
        <f>G121+SUM(G136:G137)</f>
        <v>14301.33</v>
      </c>
      <c r="H140" s="41">
        <f>H121+SUM(H136:H139)</f>
        <v>86039.37</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93927.08+587031.13</f>
        <v>680958.21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358.37+5758.95+32187.02+93505.51+324.76+179634.66+5501.63+4084.71</f>
        <v>321355.61000000004</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970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694427.86+221061.28+18117.12+21278.81</f>
        <v>954885.07000000007</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9765.58+12825.5+43822.24+214326.36+4826.02</f>
        <v>285565.7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149347.64000000001</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62361.73+67053.45</f>
        <v>129415.18</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1379436.53+248879.82</f>
        <v>1628316.35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149347.64000000001</v>
      </c>
      <c r="G163" s="41">
        <f>SUM(G150:G162)</f>
        <v>954885.07000000007</v>
      </c>
      <c r="H163" s="41">
        <f>SUM(H150:H162)</f>
        <v>3046581.05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30632.51</v>
      </c>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179980.15000000002</v>
      </c>
      <c r="G170" s="41">
        <f>G147+G163+SUM(G164:G169)</f>
        <v>954885.07000000007</v>
      </c>
      <c r="H170" s="41">
        <f>H147+H163+SUM(H164:H169)</f>
        <v>3046581.05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v>93554.64</v>
      </c>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93554.64</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93554.64</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14856731.390000002</v>
      </c>
      <c r="G194" s="47">
        <f>G112+G140+G170+G193</f>
        <v>980313.04</v>
      </c>
      <c r="H194" s="47">
        <f>H112+H140+H170+H193</f>
        <v>3436758.7399999998</v>
      </c>
      <c r="I194" s="47">
        <f>I112+I140+I170+I193</f>
        <v>0</v>
      </c>
      <c r="J194" s="47">
        <f>J112+J140+J193</f>
        <v>4105.45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2035550.95+8807.15</f>
        <v>2044358.0999999999</v>
      </c>
      <c r="G198" s="18">
        <f>1116129.9+2567.76</f>
        <v>1118697.6599999999</v>
      </c>
      <c r="H198" s="18">
        <f>62397.8</f>
        <v>62397.8</v>
      </c>
      <c r="I198" s="18">
        <v>30534.35</v>
      </c>
      <c r="J198" s="18"/>
      <c r="K198" s="18"/>
      <c r="L198" s="19">
        <f>SUM(F198:K198)</f>
        <v>3255987.9099999997</v>
      </c>
      <c r="M198" s="8"/>
      <c r="N198" s="265"/>
    </row>
    <row r="199" spans="1:14" s="3" customFormat="1" ht="12.2" customHeight="1" x14ac:dyDescent="0.15">
      <c r="A199" s="1" t="s">
        <v>439</v>
      </c>
      <c r="B199" s="2" t="s">
        <v>341</v>
      </c>
      <c r="C199" s="2" t="s">
        <v>291</v>
      </c>
      <c r="D199" s="2" t="s">
        <v>431</v>
      </c>
      <c r="E199" s="6">
        <v>1200</v>
      </c>
      <c r="F199" s="18">
        <f>875343.15+42513.81+79564.19+6096.11</f>
        <v>1003517.2599999999</v>
      </c>
      <c r="G199" s="18">
        <f>39034.13+521.74+371033.13+6888.03</f>
        <v>417477.03</v>
      </c>
      <c r="H199" s="18">
        <f>1007050.16+11977.99+216.41</f>
        <v>1019244.56</v>
      </c>
      <c r="I199" s="18">
        <f>519.52+1310.86+524.06</f>
        <v>2354.4399999999996</v>
      </c>
      <c r="J199" s="18">
        <f>1473.36</f>
        <v>1473.36</v>
      </c>
      <c r="K199" s="18">
        <v>376.85</v>
      </c>
      <c r="L199" s="19">
        <f>SUM(F199:K199)</f>
        <v>2444443.5</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f>3000+40695.17</f>
        <v>43695.17</v>
      </c>
      <c r="G201" s="18">
        <f>868.29+16873.22</f>
        <v>17741.510000000002</v>
      </c>
      <c r="H201" s="18">
        <v>3985</v>
      </c>
      <c r="I201" s="18">
        <v>3458.56</v>
      </c>
      <c r="J201" s="18">
        <v>1137.25</v>
      </c>
      <c r="K201" s="18">
        <f>510</f>
        <v>510</v>
      </c>
      <c r="L201" s="19">
        <f>SUM(F201:K201)</f>
        <v>70527.490000000005</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135204.23+99460.83+35666.8+116757.2+33132.32+3395</f>
        <v>423616.38</v>
      </c>
      <c r="G203" s="18">
        <f>70752.63+48632.81+17353.7+55080.33+18186.91+982.61</f>
        <v>210988.99000000002</v>
      </c>
      <c r="H203" s="18">
        <f>120742.96+201984.46+178.99+157891.9+2045.28+69286.43</f>
        <v>552130.02</v>
      </c>
      <c r="I203" s="18">
        <f>2555.34+951.3+21.9+1215.07+1162.81</f>
        <v>5906.42</v>
      </c>
      <c r="J203" s="18">
        <v>149.99</v>
      </c>
      <c r="K203" s="18">
        <f>258</f>
        <v>258</v>
      </c>
      <c r="L203" s="19">
        <f t="shared" ref="L203:L209" si="0">SUM(F203:K203)</f>
        <v>1193049.8</v>
      </c>
      <c r="M203" s="8"/>
      <c r="N203" s="265"/>
    </row>
    <row r="204" spans="1:14" s="3" customFormat="1" ht="12.2" customHeight="1" x14ac:dyDescent="0.15">
      <c r="A204" s="1" t="s">
        <v>443</v>
      </c>
      <c r="B204" s="2" t="s">
        <v>341</v>
      </c>
      <c r="C204" s="2" t="s">
        <v>295</v>
      </c>
      <c r="D204" s="2" t="s">
        <v>431</v>
      </c>
      <c r="E204" s="6">
        <v>2200</v>
      </c>
      <c r="F204" s="18">
        <f>23334.39+11080.31+291.12+8827</f>
        <v>43532.82</v>
      </c>
      <c r="G204" s="18">
        <f>1849.97+7825.66+24028.38+83.45+2555.59</f>
        <v>36343.050000000003</v>
      </c>
      <c r="H204" s="18">
        <f>1098.7+2634+54275.33</f>
        <v>58008.03</v>
      </c>
      <c r="I204" s="18">
        <f>601.24+7545</f>
        <v>8146.24</v>
      </c>
      <c r="J204" s="18">
        <v>2333.0700000000002</v>
      </c>
      <c r="K204" s="18">
        <v>230.86</v>
      </c>
      <c r="L204" s="19">
        <f t="shared" si="0"/>
        <v>148594.06999999998</v>
      </c>
      <c r="M204" s="8"/>
      <c r="N204" s="265"/>
    </row>
    <row r="205" spans="1:14" s="3" customFormat="1" ht="12.2" customHeight="1" x14ac:dyDescent="0.15">
      <c r="A205" s="1" t="s">
        <v>444</v>
      </c>
      <c r="B205" s="2" t="s">
        <v>341</v>
      </c>
      <c r="C205" s="2" t="s">
        <v>296</v>
      </c>
      <c r="D205" s="2" t="s">
        <v>431</v>
      </c>
      <c r="E205" s="6">
        <v>2300</v>
      </c>
      <c r="F205" s="18">
        <f>3395+814.8+140938.43</f>
        <v>145148.22999999998</v>
      </c>
      <c r="G205" s="18">
        <f>298.55+64.55+47750.89</f>
        <v>48113.99</v>
      </c>
      <c r="H205" s="18">
        <f>1764.04+16296+3078.99+21122.05</f>
        <v>42261.08</v>
      </c>
      <c r="I205" s="18">
        <f>850.77+3869.93</f>
        <v>4720.7</v>
      </c>
      <c r="J205" s="18"/>
      <c r="K205" s="18">
        <f>3242.23+3985.43</f>
        <v>7227.66</v>
      </c>
      <c r="L205" s="19">
        <f t="shared" si="0"/>
        <v>247471.66</v>
      </c>
      <c r="M205" s="8"/>
      <c r="N205" s="265"/>
    </row>
    <row r="206" spans="1:14" s="3" customFormat="1" ht="12.2" customHeight="1" x14ac:dyDescent="0.15">
      <c r="A206" s="1" t="s">
        <v>445</v>
      </c>
      <c r="B206" s="2" t="s">
        <v>341</v>
      </c>
      <c r="C206" s="2" t="s">
        <v>297</v>
      </c>
      <c r="D206" s="2" t="s">
        <v>431</v>
      </c>
      <c r="E206" s="6">
        <v>2400</v>
      </c>
      <c r="F206" s="18">
        <v>434531</v>
      </c>
      <c r="G206" s="18">
        <v>220437.77</v>
      </c>
      <c r="H206" s="18">
        <v>15238.45</v>
      </c>
      <c r="I206" s="18">
        <v>582.05999999999995</v>
      </c>
      <c r="J206" s="18">
        <v>1293.32</v>
      </c>
      <c r="K206" s="18">
        <f>2709+971.82</f>
        <v>3680.82</v>
      </c>
      <c r="L206" s="19">
        <f t="shared" si="0"/>
        <v>675763.41999999993</v>
      </c>
      <c r="M206" s="8"/>
      <c r="N206" s="265"/>
    </row>
    <row r="207" spans="1:14" s="3" customFormat="1" ht="12.2" customHeight="1" x14ac:dyDescent="0.15">
      <c r="A207" s="1" t="s">
        <v>446</v>
      </c>
      <c r="B207" s="2" t="s">
        <v>341</v>
      </c>
      <c r="C207" s="2" t="s">
        <v>298</v>
      </c>
      <c r="D207" s="2" t="s">
        <v>431</v>
      </c>
      <c r="E207" s="6">
        <v>2500</v>
      </c>
      <c r="F207" s="18">
        <v>137752.99</v>
      </c>
      <c r="G207" s="18">
        <v>68718.5</v>
      </c>
      <c r="H207" s="18"/>
      <c r="I207" s="18"/>
      <c r="J207" s="18"/>
      <c r="K207" s="18"/>
      <c r="L207" s="19">
        <f t="shared" si="0"/>
        <v>206471.49</v>
      </c>
      <c r="M207" s="8"/>
      <c r="N207" s="265"/>
    </row>
    <row r="208" spans="1:14" s="3" customFormat="1" ht="12.2" customHeight="1" x14ac:dyDescent="0.15">
      <c r="A208" s="1" t="s">
        <v>447</v>
      </c>
      <c r="B208" s="2" t="s">
        <v>341</v>
      </c>
      <c r="C208" s="2" t="s">
        <v>299</v>
      </c>
      <c r="D208" s="2" t="s">
        <v>431</v>
      </c>
      <c r="E208" s="6">
        <v>2600</v>
      </c>
      <c r="F208" s="18">
        <f>201280.97+48415.42+6926.85+26513.44</f>
        <v>283136.68</v>
      </c>
      <c r="G208" s="18">
        <f>123098.87+25314.27+13072.93+1440.24</f>
        <v>162926.30999999997</v>
      </c>
      <c r="H208" s="18">
        <f>31713.19+43.49+69044.29+20100.36+3320.55</f>
        <v>124221.88</v>
      </c>
      <c r="I208" s="18">
        <f>164217.82+1847.32+40.2+2524.44</f>
        <v>168629.78000000003</v>
      </c>
      <c r="J208" s="18">
        <v>108181</v>
      </c>
      <c r="K208" s="18"/>
      <c r="L208" s="19">
        <f t="shared" si="0"/>
        <v>847095.65</v>
      </c>
      <c r="M208" s="8"/>
      <c r="N208" s="265"/>
    </row>
    <row r="209" spans="1:14" s="3" customFormat="1" ht="12.2" customHeight="1" x14ac:dyDescent="0.15">
      <c r="A209" s="1" t="s">
        <v>448</v>
      </c>
      <c r="B209" s="2" t="s">
        <v>341</v>
      </c>
      <c r="C209" s="2" t="s">
        <v>300</v>
      </c>
      <c r="D209" s="2" t="s">
        <v>431</v>
      </c>
      <c r="E209" s="6">
        <v>2700</v>
      </c>
      <c r="F209" s="18"/>
      <c r="G209" s="18"/>
      <c r="H209" s="18">
        <f>81042.14+6934.92+328.12+189042.48+133158.53+16168.87</f>
        <v>426675.06000000006</v>
      </c>
      <c r="I209" s="18">
        <v>18422.02</v>
      </c>
      <c r="J209" s="18"/>
      <c r="K209" s="18"/>
      <c r="L209" s="19">
        <f t="shared" si="0"/>
        <v>445097.08000000007</v>
      </c>
      <c r="M209" s="8"/>
      <c r="N209" s="265"/>
    </row>
    <row r="210" spans="1:14" s="3" customFormat="1" ht="12.2" customHeight="1" x14ac:dyDescent="0.15">
      <c r="A210" s="1" t="s">
        <v>449</v>
      </c>
      <c r="B210" s="2" t="s">
        <v>341</v>
      </c>
      <c r="C210" s="2" t="s">
        <v>343</v>
      </c>
      <c r="D210" s="2" t="s">
        <v>431</v>
      </c>
      <c r="E210" s="6">
        <v>2800</v>
      </c>
      <c r="F210" s="18">
        <v>114296.07</v>
      </c>
      <c r="G210" s="18">
        <v>56992.15</v>
      </c>
      <c r="H210" s="18"/>
      <c r="I210" s="18"/>
      <c r="J210" s="18"/>
      <c r="K210" s="18"/>
      <c r="L210" s="19">
        <f>SUM(F210:K210)</f>
        <v>171288.22</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4673584.6999999993</v>
      </c>
      <c r="G212" s="41">
        <f t="shared" si="1"/>
        <v>2358436.96</v>
      </c>
      <c r="H212" s="41">
        <f t="shared" si="1"/>
        <v>2304161.8800000004</v>
      </c>
      <c r="I212" s="41">
        <f t="shared" si="1"/>
        <v>242754.57</v>
      </c>
      <c r="J212" s="41">
        <f t="shared" si="1"/>
        <v>114567.99</v>
      </c>
      <c r="K212" s="41">
        <f t="shared" si="1"/>
        <v>12284.189999999999</v>
      </c>
      <c r="L212" s="41">
        <f t="shared" si="1"/>
        <v>9705790.290000001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1165097.17+4163.61</f>
        <v>1169260.78</v>
      </c>
      <c r="G234" s="18">
        <f>613490.59+1213.92</f>
        <v>614704.51</v>
      </c>
      <c r="H234" s="18">
        <f>43119.34</f>
        <v>43119.34</v>
      </c>
      <c r="I234" s="18">
        <f>32680.11</f>
        <v>32680.11</v>
      </c>
      <c r="J234" s="18">
        <v>25825.72</v>
      </c>
      <c r="K234" s="18">
        <v>4035</v>
      </c>
      <c r="L234" s="19">
        <f>SUM(F234:K234)</f>
        <v>1889625.4600000002</v>
      </c>
      <c r="M234" s="8"/>
      <c r="N234" s="265"/>
    </row>
    <row r="235" spans="1:14" s="3" customFormat="1" ht="12.2" customHeight="1" x14ac:dyDescent="0.15">
      <c r="A235" s="1" t="s">
        <v>439</v>
      </c>
      <c r="B235" s="2" t="s">
        <v>350</v>
      </c>
      <c r="C235" s="2" t="s">
        <v>291</v>
      </c>
      <c r="D235" s="2" t="s">
        <v>431</v>
      </c>
      <c r="E235" s="6">
        <v>1200</v>
      </c>
      <c r="F235" s="18">
        <f>37614.3+2881.96+169483.45+5153</f>
        <v>215132.71000000002</v>
      </c>
      <c r="G235" s="18">
        <f>18453.54+246.65+83122.68+882.27</f>
        <v>102705.14</v>
      </c>
      <c r="H235" s="18">
        <f>5662.64+102.31+219634.14+11130.17</f>
        <v>236529.26000000004</v>
      </c>
      <c r="I235" s="18">
        <f>245.61+619.71+320.6</f>
        <v>1185.92</v>
      </c>
      <c r="J235" s="18"/>
      <c r="K235" s="18">
        <v>178.16</v>
      </c>
      <c r="L235" s="19">
        <f>SUM(F235:K235)</f>
        <v>555731.19000000018</v>
      </c>
      <c r="M235" s="8"/>
      <c r="N235" s="265"/>
    </row>
    <row r="236" spans="1:14" s="3" customFormat="1" ht="12.2" customHeight="1" x14ac:dyDescent="0.15">
      <c r="A236" s="1" t="s">
        <v>440</v>
      </c>
      <c r="B236" s="2" t="s">
        <v>350</v>
      </c>
      <c r="C236" s="2" t="s">
        <v>292</v>
      </c>
      <c r="D236" s="2" t="s">
        <v>431</v>
      </c>
      <c r="E236" s="6">
        <v>1300</v>
      </c>
      <c r="F236" s="18"/>
      <c r="G236" s="18"/>
      <c r="H236" s="18">
        <v>60349.94</v>
      </c>
      <c r="I236" s="18"/>
      <c r="J236" s="18"/>
      <c r="K236" s="18"/>
      <c r="L236" s="19">
        <f>SUM(F236:K236)</f>
        <v>60349.94</v>
      </c>
      <c r="M236" s="8"/>
      <c r="N236" s="265"/>
    </row>
    <row r="237" spans="1:14" s="3" customFormat="1" ht="12.2" customHeight="1" x14ac:dyDescent="0.15">
      <c r="A237" s="1" t="s">
        <v>441</v>
      </c>
      <c r="B237" s="2" t="s">
        <v>350</v>
      </c>
      <c r="C237" s="2" t="s">
        <v>293</v>
      </c>
      <c r="D237" s="2" t="s">
        <v>431</v>
      </c>
      <c r="E237" s="6">
        <v>1400</v>
      </c>
      <c r="F237" s="18">
        <f>12050.25+75280.63</f>
        <v>87330.880000000005</v>
      </c>
      <c r="G237" s="18">
        <f>3487.72+29691.81</f>
        <v>33179.53</v>
      </c>
      <c r="H237" s="18">
        <f>25754.63</f>
        <v>25754.63</v>
      </c>
      <c r="I237" s="18">
        <v>13302.22</v>
      </c>
      <c r="J237" s="18">
        <v>11184.77</v>
      </c>
      <c r="K237" s="18">
        <f>5388.5</f>
        <v>5388.5</v>
      </c>
      <c r="L237" s="19">
        <f>SUM(F237:K237)</f>
        <v>176140.53</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f>1605+132480.33+52129.24+17833.2+6523.5</f>
        <v>210571.27</v>
      </c>
      <c r="G239" s="18">
        <f>56125.9+24030.76+8677.76+539.1+464.53</f>
        <v>89838.05</v>
      </c>
      <c r="H239" s="18">
        <f>966.92+32755.44+2023.11+29645.62+20049.56+9657.56</f>
        <v>95098.209999999992</v>
      </c>
      <c r="I239" s="18">
        <f>549.73+582.28+1153.69+99.55</f>
        <v>2385.25</v>
      </c>
      <c r="J239" s="18"/>
      <c r="K239" s="18">
        <f>358+150</f>
        <v>508</v>
      </c>
      <c r="L239" s="19">
        <f t="shared" ref="L239:L245" si="4">SUM(F239:K239)</f>
        <v>398400.78</v>
      </c>
      <c r="M239" s="8"/>
      <c r="N239" s="265"/>
    </row>
    <row r="240" spans="1:14" s="3" customFormat="1" ht="12.2" customHeight="1" x14ac:dyDescent="0.15">
      <c r="A240" s="1" t="s">
        <v>443</v>
      </c>
      <c r="B240" s="2" t="s">
        <v>350</v>
      </c>
      <c r="C240" s="2" t="s">
        <v>295</v>
      </c>
      <c r="D240" s="2" t="s">
        <v>431</v>
      </c>
      <c r="E240" s="6">
        <v>2200</v>
      </c>
      <c r="F240" s="18">
        <f>43309+5238.26+137.63+4173</f>
        <v>52857.89</v>
      </c>
      <c r="G240" s="18">
        <f>11359.51+39.45+1208.16+1353+16171.32</f>
        <v>30131.440000000002</v>
      </c>
      <c r="H240" s="18">
        <f>27162.57+519.42+1117.5</f>
        <v>28799.489999999998</v>
      </c>
      <c r="I240" s="18">
        <f>6273.43+3901</f>
        <v>10174.43</v>
      </c>
      <c r="J240" s="18">
        <v>3275.5</v>
      </c>
      <c r="K240" s="18">
        <v>109.14</v>
      </c>
      <c r="L240" s="19">
        <f t="shared" si="4"/>
        <v>125347.89</v>
      </c>
      <c r="M240" s="8"/>
      <c r="N240" s="265"/>
    </row>
    <row r="241" spans="1:14" s="3" customFormat="1" ht="12.2" customHeight="1" x14ac:dyDescent="0.15">
      <c r="A241" s="1" t="s">
        <v>444</v>
      </c>
      <c r="B241" s="2" t="s">
        <v>350</v>
      </c>
      <c r="C241" s="2" t="s">
        <v>296</v>
      </c>
      <c r="D241" s="2" t="s">
        <v>431</v>
      </c>
      <c r="E241" s="6">
        <v>2300</v>
      </c>
      <c r="F241" s="18">
        <f>1605+385.2+66629.22</f>
        <v>68619.42</v>
      </c>
      <c r="G241" s="18">
        <f>141.14+30.52+22574.42</f>
        <v>22746.079999999998</v>
      </c>
      <c r="H241" s="18">
        <f>833.96+7704+1455.6+9985.54</f>
        <v>19979.099999999999</v>
      </c>
      <c r="I241" s="18">
        <f>402.2+1829.53</f>
        <v>2231.73</v>
      </c>
      <c r="J241" s="18"/>
      <c r="K241" s="18">
        <f>1532.78+1884.12</f>
        <v>3416.8999999999996</v>
      </c>
      <c r="L241" s="19">
        <f t="shared" si="4"/>
        <v>116993.23</v>
      </c>
      <c r="M241" s="8"/>
      <c r="N241" s="265"/>
    </row>
    <row r="242" spans="1:14" s="3" customFormat="1" ht="12.2" customHeight="1" x14ac:dyDescent="0.15">
      <c r="A242" s="1" t="s">
        <v>445</v>
      </c>
      <c r="B242" s="2" t="s">
        <v>350</v>
      </c>
      <c r="C242" s="2" t="s">
        <v>297</v>
      </c>
      <c r="D242" s="2" t="s">
        <v>431</v>
      </c>
      <c r="E242" s="6">
        <v>2400</v>
      </c>
      <c r="F242" s="18">
        <v>224818.27</v>
      </c>
      <c r="G242" s="18">
        <v>88960.18</v>
      </c>
      <c r="H242" s="18">
        <v>9194.4599999999991</v>
      </c>
      <c r="I242" s="18">
        <v>752.54</v>
      </c>
      <c r="J242" s="18">
        <v>916.67</v>
      </c>
      <c r="K242" s="18">
        <f>977.55+7683.9</f>
        <v>8661.4499999999989</v>
      </c>
      <c r="L242" s="19">
        <f t="shared" si="4"/>
        <v>333303.56999999995</v>
      </c>
      <c r="M242" s="8"/>
      <c r="N242" s="265"/>
    </row>
    <row r="243" spans="1:14" s="3" customFormat="1" ht="12.2" customHeight="1" x14ac:dyDescent="0.15">
      <c r="A243" s="1" t="s">
        <v>446</v>
      </c>
      <c r="B243" s="2" t="s">
        <v>350</v>
      </c>
      <c r="C243" s="2" t="s">
        <v>298</v>
      </c>
      <c r="D243" s="2" t="s">
        <v>431</v>
      </c>
      <c r="E243" s="6">
        <v>2500</v>
      </c>
      <c r="F243" s="18">
        <v>65123.28</v>
      </c>
      <c r="G243" s="18">
        <v>32486.95</v>
      </c>
      <c r="H243" s="18"/>
      <c r="I243" s="18"/>
      <c r="J243" s="18"/>
      <c r="K243" s="18"/>
      <c r="L243" s="19">
        <f t="shared" si="4"/>
        <v>97610.23</v>
      </c>
      <c r="M243" s="8"/>
      <c r="N243" s="265"/>
    </row>
    <row r="244" spans="1:14" s="3" customFormat="1" ht="12.2" customHeight="1" x14ac:dyDescent="0.15">
      <c r="A244" s="1" t="s">
        <v>447</v>
      </c>
      <c r="B244" s="2" t="s">
        <v>350</v>
      </c>
      <c r="C244" s="2" t="s">
        <v>299</v>
      </c>
      <c r="D244" s="2" t="s">
        <v>431</v>
      </c>
      <c r="E244" s="6">
        <v>2600</v>
      </c>
      <c r="F244" s="18">
        <f>154472.58+22888.58+3274.7+12534.34</f>
        <v>193170.19999999998</v>
      </c>
      <c r="G244" s="18">
        <f>94289.19+11967.42+680.88+6180.28</f>
        <v>113117.77</v>
      </c>
      <c r="H244" s="18">
        <f>24457.29+1096.39+9502.52+1569.81+25189.75</f>
        <v>61815.759999999995</v>
      </c>
      <c r="I244" s="18">
        <f>107797.2+731.67+102.31+1193.44</f>
        <v>109824.62</v>
      </c>
      <c r="J244" s="18">
        <f>5386.08+239</f>
        <v>5625.08</v>
      </c>
      <c r="K244" s="18"/>
      <c r="L244" s="19">
        <f t="shared" si="4"/>
        <v>483553.43</v>
      </c>
      <c r="M244" s="8"/>
      <c r="N244" s="265"/>
    </row>
    <row r="245" spans="1:14" s="3" customFormat="1" ht="12.2" customHeight="1" x14ac:dyDescent="0.15">
      <c r="A245" s="1" t="s">
        <v>448</v>
      </c>
      <c r="B245" s="2" t="s">
        <v>350</v>
      </c>
      <c r="C245" s="2" t="s">
        <v>300</v>
      </c>
      <c r="D245" s="2" t="s">
        <v>431</v>
      </c>
      <c r="E245" s="6">
        <v>2700</v>
      </c>
      <c r="F245" s="18"/>
      <c r="G245" s="18"/>
      <c r="H245" s="18">
        <f>49602+51557.6+21600.58+7363.04+89370.6+62951.23+7643.9</f>
        <v>290088.95</v>
      </c>
      <c r="I245" s="18">
        <v>8709.08</v>
      </c>
      <c r="J245" s="18"/>
      <c r="K245" s="18"/>
      <c r="L245" s="19">
        <f t="shared" si="4"/>
        <v>298798.03000000003</v>
      </c>
      <c r="M245" s="8"/>
      <c r="N245" s="265"/>
    </row>
    <row r="246" spans="1:14" s="3" customFormat="1" ht="12.2" customHeight="1" x14ac:dyDescent="0.15">
      <c r="A246" s="1" t="s">
        <v>449</v>
      </c>
      <c r="B246" s="2" t="s">
        <v>350</v>
      </c>
      <c r="C246" s="2" t="s">
        <v>343</v>
      </c>
      <c r="D246" s="2" t="s">
        <v>431</v>
      </c>
      <c r="E246" s="6">
        <v>2800</v>
      </c>
      <c r="F246" s="18">
        <v>54033.93</v>
      </c>
      <c r="G246" s="18">
        <v>26943.27</v>
      </c>
      <c r="H246" s="18"/>
      <c r="I246" s="18"/>
      <c r="J246" s="18"/>
      <c r="K246" s="18"/>
      <c r="L246" s="19">
        <f>SUM(F246:K246)</f>
        <v>80977.2</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2340918.6300000004</v>
      </c>
      <c r="G248" s="41">
        <f t="shared" si="5"/>
        <v>1154812.9200000002</v>
      </c>
      <c r="H248" s="41">
        <f t="shared" si="5"/>
        <v>870729.1399999999</v>
      </c>
      <c r="I248" s="41">
        <f t="shared" si="5"/>
        <v>181245.9</v>
      </c>
      <c r="J248" s="41">
        <f t="shared" si="5"/>
        <v>46827.740000000005</v>
      </c>
      <c r="K248" s="41">
        <f t="shared" si="5"/>
        <v>22297.149999999998</v>
      </c>
      <c r="L248" s="41">
        <f t="shared" si="5"/>
        <v>4616831.4800000004</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v>13332.5</v>
      </c>
      <c r="G252" s="18">
        <v>3902.69</v>
      </c>
      <c r="H252" s="18"/>
      <c r="I252" s="18"/>
      <c r="J252" s="18"/>
      <c r="K252" s="18"/>
      <c r="L252" s="19">
        <f t="shared" si="6"/>
        <v>17235.189999999999</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13332.5</v>
      </c>
      <c r="G257" s="41">
        <f t="shared" si="7"/>
        <v>3902.69</v>
      </c>
      <c r="H257" s="41">
        <f t="shared" si="7"/>
        <v>0</v>
      </c>
      <c r="I257" s="41">
        <f t="shared" si="7"/>
        <v>0</v>
      </c>
      <c r="J257" s="41">
        <f t="shared" si="7"/>
        <v>0</v>
      </c>
      <c r="K257" s="41">
        <f t="shared" si="7"/>
        <v>0</v>
      </c>
      <c r="L257" s="41">
        <f>SUM(F257:K257)</f>
        <v>17235.189999999999</v>
      </c>
      <c r="M257" s="8"/>
      <c r="N257" s="265"/>
    </row>
    <row r="258" spans="1:14" s="3" customFormat="1" ht="12.2" customHeight="1" thickTop="1" x14ac:dyDescent="0.15">
      <c r="A258" s="38" t="s">
        <v>462</v>
      </c>
      <c r="B258" s="40">
        <v>10</v>
      </c>
      <c r="C258" s="40">
        <v>8</v>
      </c>
      <c r="D258" s="39" t="s">
        <v>431</v>
      </c>
      <c r="E258" s="40"/>
      <c r="F258" s="41">
        <f t="shared" ref="F258:L258" si="8">F212+F230+F248+F257</f>
        <v>7027835.8300000001</v>
      </c>
      <c r="G258" s="41">
        <f t="shared" si="8"/>
        <v>3517152.57</v>
      </c>
      <c r="H258" s="41">
        <f t="shared" si="8"/>
        <v>3174891.0200000005</v>
      </c>
      <c r="I258" s="41">
        <f t="shared" si="8"/>
        <v>424000.47</v>
      </c>
      <c r="J258" s="41">
        <f t="shared" si="8"/>
        <v>161395.73000000001</v>
      </c>
      <c r="K258" s="41">
        <f t="shared" si="8"/>
        <v>34581.339999999997</v>
      </c>
      <c r="L258" s="41">
        <f t="shared" si="8"/>
        <v>14339856.960000001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219730.67</v>
      </c>
      <c r="L261" s="19">
        <f>SUM(F261:K261)</f>
        <v>219730.67</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92838.03</v>
      </c>
      <c r="L262" s="19">
        <f>SUM(F262:K262)</f>
        <v>92838.03</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312568.7</v>
      </c>
      <c r="L271" s="41">
        <f t="shared" si="9"/>
        <v>312568.7</v>
      </c>
      <c r="M271" s="8"/>
      <c r="N271" s="265"/>
    </row>
    <row r="272" spans="1:14" s="34" customFormat="1" ht="12.2" customHeight="1" thickTop="1" x14ac:dyDescent="0.2">
      <c r="A272" s="43" t="s">
        <v>464</v>
      </c>
      <c r="B272" s="40">
        <v>10</v>
      </c>
      <c r="C272" s="40">
        <v>18</v>
      </c>
      <c r="D272" s="39" t="s">
        <v>431</v>
      </c>
      <c r="E272" s="40"/>
      <c r="F272" s="42">
        <f t="shared" ref="F272:L272" si="11">F258+F271</f>
        <v>7027835.8300000001</v>
      </c>
      <c r="G272" s="42">
        <f t="shared" si="11"/>
        <v>3517152.57</v>
      </c>
      <c r="H272" s="42">
        <f t="shared" si="11"/>
        <v>3174891.0200000005</v>
      </c>
      <c r="I272" s="42">
        <f t="shared" si="11"/>
        <v>424000.47</v>
      </c>
      <c r="J272" s="42">
        <f t="shared" si="11"/>
        <v>161395.73000000001</v>
      </c>
      <c r="K272" s="42">
        <f t="shared" si="11"/>
        <v>347150.04000000004</v>
      </c>
      <c r="L272" s="42">
        <f t="shared" si="11"/>
        <v>14652425.66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476622.46+10686.07</f>
        <v>487308.53</v>
      </c>
      <c r="G277" s="18">
        <f>274199.22+1543.8</f>
        <v>275743.01999999996</v>
      </c>
      <c r="H277" s="18">
        <f>10330.24+259.38</f>
        <v>10589.619999999999</v>
      </c>
      <c r="I277" s="18">
        <f>188.78+7028.34+82104.87+22751.9+811.66</f>
        <v>112885.54999999999</v>
      </c>
      <c r="J277" s="18">
        <f>7827.93+(15170.22*0.679)</f>
        <v>18128.509380000003</v>
      </c>
      <c r="K277" s="18"/>
      <c r="L277" s="19">
        <f>SUM(F277:K277)</f>
        <v>904655.22937999992</v>
      </c>
      <c r="M277" s="8"/>
      <c r="N277" s="265"/>
    </row>
    <row r="278" spans="1:14" s="3" customFormat="1" ht="12.2" customHeight="1" x14ac:dyDescent="0.15">
      <c r="A278" s="1" t="s">
        <v>439</v>
      </c>
      <c r="B278" s="2" t="s">
        <v>357</v>
      </c>
      <c r="C278" s="2" t="s">
        <v>291</v>
      </c>
      <c r="D278" s="2" t="s">
        <v>431</v>
      </c>
      <c r="E278" s="6">
        <v>1200</v>
      </c>
      <c r="F278" s="18">
        <f>57048+109438.98</f>
        <v>166486.97999999998</v>
      </c>
      <c r="G278" s="18">
        <f>26696.61+55407.61</f>
        <v>82104.22</v>
      </c>
      <c r="H278" s="18">
        <f>76901.75</f>
        <v>76901.75</v>
      </c>
      <c r="I278" s="18">
        <f>6298.85+2370.17</f>
        <v>8669.02</v>
      </c>
      <c r="J278" s="18">
        <f>(6880.5*0.679)+(778.5*0.679)</f>
        <v>5200.4610000000002</v>
      </c>
      <c r="K278" s="18"/>
      <c r="L278" s="19">
        <f>SUM(F278:K278)</f>
        <v>339362.43099999998</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f>49438.75+1000+8208.27+(1050*0.679)</f>
        <v>59359.97</v>
      </c>
      <c r="G280" s="18">
        <f>10789.88+346.77+1557.68</f>
        <v>12694.33</v>
      </c>
      <c r="H280" s="18">
        <f>6126.87+1718.44</f>
        <v>7845.3099999999995</v>
      </c>
      <c r="I280" s="18">
        <f>1793.13+10169.87+63.13+496.75</f>
        <v>12522.88</v>
      </c>
      <c r="J280" s="18"/>
      <c r="K280" s="18"/>
      <c r="L280" s="19">
        <f>SUM(F280:K280)</f>
        <v>92422.49</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110725+6586.31+77491.06+28365.9+10333.93</f>
        <v>233502.19999999998</v>
      </c>
      <c r="G282" s="18">
        <f>66595.98+1885.88+12240.42+11385.65+3923.11</f>
        <v>96031.039999999994</v>
      </c>
      <c r="H282" s="18">
        <f>6156.6+178.24+57936.01</f>
        <v>64270.850000000006</v>
      </c>
      <c r="I282" s="18">
        <f>16469.34</f>
        <v>16469.34</v>
      </c>
      <c r="J282" s="18"/>
      <c r="K282" s="18">
        <f>573.76</f>
        <v>573.76</v>
      </c>
      <c r="L282" s="19">
        <f t="shared" ref="L282:L288" si="12">SUM(F282:K282)</f>
        <v>410847.19</v>
      </c>
      <c r="M282" s="8"/>
      <c r="N282" s="265"/>
    </row>
    <row r="283" spans="1:14" s="3" customFormat="1" ht="12.2" customHeight="1" x14ac:dyDescent="0.15">
      <c r="A283" s="1" t="s">
        <v>443</v>
      </c>
      <c r="B283" s="2" t="s">
        <v>357</v>
      </c>
      <c r="C283" s="2" t="s">
        <v>295</v>
      </c>
      <c r="D283" s="2" t="s">
        <v>431</v>
      </c>
      <c r="E283" s="6">
        <v>2200</v>
      </c>
      <c r="F283" s="18">
        <f>53663.53+47097.14+41291.35</f>
        <v>142052.01999999999</v>
      </c>
      <c r="G283" s="18">
        <f>14694.38+12430.36+28668.46</f>
        <v>55793.2</v>
      </c>
      <c r="H283" s="18">
        <f>7064.32+111410.12+13759.94+15277.5</f>
        <v>147511.88</v>
      </c>
      <c r="I283" s="18">
        <f>5933.76+22855.08+3637.4+8322.16</f>
        <v>40748.400000000009</v>
      </c>
      <c r="J283" s="18">
        <f>7111.12+14703.23+25174.61+14703.23+4500</f>
        <v>66192.19</v>
      </c>
      <c r="K283" s="18">
        <f>241.38</f>
        <v>241.38</v>
      </c>
      <c r="L283" s="19">
        <f t="shared" si="12"/>
        <v>452539.07</v>
      </c>
      <c r="M283" s="8"/>
      <c r="N283" s="265"/>
    </row>
    <row r="284" spans="1:14" s="3" customFormat="1" ht="12.2" customHeight="1" x14ac:dyDescent="0.15">
      <c r="A284" s="1" t="s">
        <v>444</v>
      </c>
      <c r="B284" s="2" t="s">
        <v>357</v>
      </c>
      <c r="C284" s="2" t="s">
        <v>296</v>
      </c>
      <c r="D284" s="2" t="s">
        <v>431</v>
      </c>
      <c r="E284" s="6">
        <v>2300</v>
      </c>
      <c r="F284" s="18">
        <f>1358+68621.78</f>
        <v>69979.78</v>
      </c>
      <c r="G284" s="18">
        <f>103.89+26969.76</f>
        <v>27073.649999999998</v>
      </c>
      <c r="H284" s="18">
        <f>25718.51</f>
        <v>25718.51</v>
      </c>
      <c r="I284" s="18">
        <f>19866.69</f>
        <v>19866.689999999999</v>
      </c>
      <c r="J284" s="18">
        <f>(3994.07*0.679)</f>
        <v>2711.9735300000002</v>
      </c>
      <c r="K284" s="18">
        <f>3394.32</f>
        <v>3394.32</v>
      </c>
      <c r="L284" s="19">
        <f t="shared" si="12"/>
        <v>148744.92352999997</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f>40101.56</f>
        <v>40101.56</v>
      </c>
      <c r="G287" s="18">
        <v>19160.38</v>
      </c>
      <c r="H287" s="18">
        <f>7061.6</f>
        <v>7061.6</v>
      </c>
      <c r="I287" s="18">
        <f>10084.07</f>
        <v>10084.07</v>
      </c>
      <c r="J287" s="18">
        <f>(9953*0.679)</f>
        <v>6758.0870000000004</v>
      </c>
      <c r="K287" s="18"/>
      <c r="L287" s="19">
        <f t="shared" si="12"/>
        <v>83165.697000000015</v>
      </c>
      <c r="M287" s="8"/>
      <c r="N287" s="265"/>
    </row>
    <row r="288" spans="1:14" s="3" customFormat="1" ht="12.2" customHeight="1" x14ac:dyDescent="0.15">
      <c r="A288" s="1" t="s">
        <v>448</v>
      </c>
      <c r="B288" s="2" t="s">
        <v>357</v>
      </c>
      <c r="C288" s="2" t="s">
        <v>300</v>
      </c>
      <c r="D288" s="2" t="s">
        <v>431</v>
      </c>
      <c r="E288" s="6">
        <v>2700</v>
      </c>
      <c r="F288" s="18"/>
      <c r="G288" s="18"/>
      <c r="H288" s="18">
        <f>13216.72+69.77</f>
        <v>13286.49</v>
      </c>
      <c r="I288" s="18"/>
      <c r="J288" s="18"/>
      <c r="K288" s="18"/>
      <c r="L288" s="19">
        <f t="shared" si="12"/>
        <v>13286.49</v>
      </c>
      <c r="M288" s="8"/>
      <c r="N288" s="265"/>
    </row>
    <row r="289" spans="1:14" s="3" customFormat="1" ht="12.2" customHeight="1" x14ac:dyDescent="0.15">
      <c r="A289" s="1" t="s">
        <v>449</v>
      </c>
      <c r="B289" s="2" t="s">
        <v>357</v>
      </c>
      <c r="C289" s="2" t="s">
        <v>343</v>
      </c>
      <c r="D289" s="2" t="s">
        <v>431</v>
      </c>
      <c r="E289" s="6">
        <v>2800</v>
      </c>
      <c r="F289" s="18">
        <f>1454.42</f>
        <v>1454.42</v>
      </c>
      <c r="G289" s="18">
        <v>110.07</v>
      </c>
      <c r="H289" s="18"/>
      <c r="I289" s="18"/>
      <c r="J289" s="18"/>
      <c r="K289" s="18"/>
      <c r="L289" s="19">
        <f>SUM(F289:K289)</f>
        <v>1564.49</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1200245.46</v>
      </c>
      <c r="G291" s="42">
        <f t="shared" si="13"/>
        <v>568709.90999999992</v>
      </c>
      <c r="H291" s="42">
        <f t="shared" si="13"/>
        <v>353186.01</v>
      </c>
      <c r="I291" s="42">
        <f t="shared" si="13"/>
        <v>221245.95</v>
      </c>
      <c r="J291" s="42">
        <f t="shared" si="13"/>
        <v>98991.220910000004</v>
      </c>
      <c r="K291" s="42">
        <f t="shared" si="13"/>
        <v>4209.46</v>
      </c>
      <c r="L291" s="41">
        <f t="shared" si="13"/>
        <v>2446588.0109100002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f>7708.75+5051.89</f>
        <v>12760.64</v>
      </c>
      <c r="G315" s="18">
        <f>2203.16+729.84</f>
        <v>2933</v>
      </c>
      <c r="H315" s="18">
        <f>4883.66+122.62</f>
        <v>5006.28</v>
      </c>
      <c r="I315" s="18">
        <f>1495.21+4000+10756.05+383.72</f>
        <v>16634.98</v>
      </c>
      <c r="J315" s="18">
        <f>7895.27+3700.69+(15170.22*0.321)</f>
        <v>16465.600620000001</v>
      </c>
      <c r="K315" s="18"/>
      <c r="L315" s="19">
        <f>SUM(F315:K315)</f>
        <v>53800.500619999992</v>
      </c>
      <c r="M315" s="8"/>
      <c r="N315" s="265"/>
    </row>
    <row r="316" spans="1:14" s="3" customFormat="1" ht="12.2" customHeight="1" x14ac:dyDescent="0.15">
      <c r="A316" s="1" t="s">
        <v>439</v>
      </c>
      <c r="B316" s="2" t="s">
        <v>359</v>
      </c>
      <c r="C316" s="2" t="s">
        <v>291</v>
      </c>
      <c r="D316" s="2" t="s">
        <v>431</v>
      </c>
      <c r="E316" s="6">
        <v>1200</v>
      </c>
      <c r="F316" s="18">
        <f>107768+51737.72</f>
        <v>159505.72</v>
      </c>
      <c r="G316" s="18">
        <f>61475.45+26194.17</f>
        <v>87669.62</v>
      </c>
      <c r="H316" s="18">
        <f>36355.61</f>
        <v>36355.61</v>
      </c>
      <c r="I316" s="18">
        <f>2977.81+1120.51</f>
        <v>4098.32</v>
      </c>
      <c r="J316" s="18">
        <f>(6880.5*0.321)+(778.5*0.321)</f>
        <v>2458.5389999999998</v>
      </c>
      <c r="K316" s="18"/>
      <c r="L316" s="19">
        <f>SUM(F316:K316)</f>
        <v>290087.80900000001</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f>17535+2000+3880.49+(1050*0.321)</f>
        <v>23752.539999999997</v>
      </c>
      <c r="G318" s="18">
        <f>4571.23+163.93+1130.36</f>
        <v>5865.5199999999995</v>
      </c>
      <c r="H318" s="18">
        <f>2896.5+812.4</f>
        <v>3708.9</v>
      </c>
      <c r="I318" s="18">
        <f>4807.85+29.85+234.84</f>
        <v>5072.5400000000009</v>
      </c>
      <c r="J318" s="18"/>
      <c r="K318" s="18"/>
      <c r="L318" s="19">
        <f>SUM(F318:K318)</f>
        <v>38399.5</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f>53220+7518+6627.07+36634.21+13410.1+4885.41-0.02</f>
        <v>122294.77</v>
      </c>
      <c r="G320" s="18">
        <f>18511.57+575.18+1896.39+5786.71+5382.61+1854.67</f>
        <v>34007.129999999997</v>
      </c>
      <c r="H320" s="18">
        <f>1500+673+2910.56+84.26+27389.49</f>
        <v>32557.31</v>
      </c>
      <c r="I320" s="18">
        <f>2042.06+7785.95</f>
        <v>9828.01</v>
      </c>
      <c r="J320" s="18"/>
      <c r="K320" s="18">
        <f>271.25</f>
        <v>271.25</v>
      </c>
      <c r="L320" s="19">
        <f t="shared" ref="L320:L326" si="16">SUM(F320:K320)</f>
        <v>198958.47</v>
      </c>
      <c r="M320" s="8"/>
      <c r="N320" s="265"/>
    </row>
    <row r="321" spans="1:14" s="3" customFormat="1" ht="12.2" customHeight="1" x14ac:dyDescent="0.15">
      <c r="A321" s="1" t="s">
        <v>443</v>
      </c>
      <c r="B321" s="2" t="s">
        <v>359</v>
      </c>
      <c r="C321" s="2" t="s">
        <v>295</v>
      </c>
      <c r="D321" s="2" t="s">
        <v>431</v>
      </c>
      <c r="E321" s="6">
        <v>2200</v>
      </c>
      <c r="F321" s="18">
        <f>25369.65+22265.36+19520.65</f>
        <v>67155.66</v>
      </c>
      <c r="G321" s="18">
        <f>6946.83+5876.51+13553.13</f>
        <v>26376.47</v>
      </c>
      <c r="H321" s="18">
        <f>3339.68+52669.59+6505.07+7222.5</f>
        <v>69736.84</v>
      </c>
      <c r="I321" s="18">
        <f>2813.54+10804.83+1719.6+3934.34</f>
        <v>19272.309999999998</v>
      </c>
      <c r="J321" s="18">
        <v>25174.61</v>
      </c>
      <c r="K321" s="18">
        <f>114.12</f>
        <v>114.12</v>
      </c>
      <c r="L321" s="19">
        <f t="shared" si="16"/>
        <v>207830.01</v>
      </c>
      <c r="M321" s="8"/>
      <c r="N321" s="265"/>
    </row>
    <row r="322" spans="1:14" s="3" customFormat="1" ht="12.2" customHeight="1" x14ac:dyDescent="0.15">
      <c r="A322" s="1" t="s">
        <v>444</v>
      </c>
      <c r="B322" s="2" t="s">
        <v>359</v>
      </c>
      <c r="C322" s="2" t="s">
        <v>296</v>
      </c>
      <c r="D322" s="2" t="s">
        <v>431</v>
      </c>
      <c r="E322" s="6">
        <v>2300</v>
      </c>
      <c r="F322" s="18">
        <f>642+32441.22</f>
        <v>33083.22</v>
      </c>
      <c r="G322" s="18">
        <f>49.11+12750.07</f>
        <v>12799.18</v>
      </c>
      <c r="H322" s="18">
        <f>12158.53</f>
        <v>12158.53</v>
      </c>
      <c r="I322" s="18">
        <f>9392.06</f>
        <v>9392.06</v>
      </c>
      <c r="J322" s="18">
        <f>(3994.07*0.321)</f>
        <v>1282.0964700000002</v>
      </c>
      <c r="K322" s="18">
        <f>1604.68</f>
        <v>1604.68</v>
      </c>
      <c r="L322" s="19">
        <f t="shared" si="16"/>
        <v>70319.766470000002</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f>3338.4</f>
        <v>3338.4</v>
      </c>
      <c r="I325" s="18">
        <f>4767.28</f>
        <v>4767.28</v>
      </c>
      <c r="J325" s="18">
        <f>(9953*0.321)</f>
        <v>3194.913</v>
      </c>
      <c r="K325" s="18"/>
      <c r="L325" s="19">
        <f t="shared" si="16"/>
        <v>11300.593000000001</v>
      </c>
      <c r="M325" s="8"/>
      <c r="N325" s="265"/>
    </row>
    <row r="326" spans="1:14" s="3" customFormat="1" ht="12.2" customHeight="1" x14ac:dyDescent="0.15">
      <c r="A326" s="1" t="s">
        <v>448</v>
      </c>
      <c r="B326" s="2" t="s">
        <v>359</v>
      </c>
      <c r="C326" s="2" t="s">
        <v>300</v>
      </c>
      <c r="D326" s="2" t="s">
        <v>431</v>
      </c>
      <c r="E326" s="6">
        <v>2700</v>
      </c>
      <c r="F326" s="18"/>
      <c r="G326" s="18"/>
      <c r="H326" s="18">
        <f>284.16+32.99</f>
        <v>317.15000000000003</v>
      </c>
      <c r="I326" s="18"/>
      <c r="J326" s="18"/>
      <c r="K326" s="18"/>
      <c r="L326" s="19">
        <f t="shared" si="16"/>
        <v>317.15000000000003</v>
      </c>
      <c r="M326" s="8"/>
      <c r="N326" s="265"/>
    </row>
    <row r="327" spans="1:14" s="3" customFormat="1" ht="12.2" customHeight="1" x14ac:dyDescent="0.15">
      <c r="A327" s="1" t="s">
        <v>449</v>
      </c>
      <c r="B327" s="2" t="s">
        <v>359</v>
      </c>
      <c r="C327" s="2" t="s">
        <v>343</v>
      </c>
      <c r="D327" s="2" t="s">
        <v>431</v>
      </c>
      <c r="E327" s="6">
        <v>2800</v>
      </c>
      <c r="F327" s="18">
        <f>687.58</f>
        <v>687.58</v>
      </c>
      <c r="G327" s="18">
        <v>52.04</v>
      </c>
      <c r="H327" s="18"/>
      <c r="I327" s="18"/>
      <c r="J327" s="18"/>
      <c r="K327" s="18"/>
      <c r="L327" s="19">
        <f>SUM(F327:K327)</f>
        <v>739.62</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419240.12999999995</v>
      </c>
      <c r="G329" s="42">
        <f t="shared" si="17"/>
        <v>169702.96</v>
      </c>
      <c r="H329" s="42">
        <f t="shared" si="17"/>
        <v>163179.01999999999</v>
      </c>
      <c r="I329" s="42">
        <f t="shared" si="17"/>
        <v>69065.5</v>
      </c>
      <c r="J329" s="42">
        <f t="shared" si="17"/>
        <v>48575.75909</v>
      </c>
      <c r="K329" s="42">
        <f t="shared" si="17"/>
        <v>1990.0500000000002</v>
      </c>
      <c r="L329" s="41">
        <f t="shared" si="17"/>
        <v>871753.4190900001</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f>2241.27+29882.5</f>
        <v>32123.77</v>
      </c>
      <c r="G334" s="18">
        <f>179.63+1053.13+7477.11</f>
        <v>8709.869999999999</v>
      </c>
      <c r="H334" s="18"/>
      <c r="I334" s="18"/>
      <c r="J334" s="18"/>
      <c r="K334" s="18"/>
      <c r="L334" s="19">
        <f t="shared" si="18"/>
        <v>40833.64</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32123.77</v>
      </c>
      <c r="G338" s="41">
        <f t="shared" si="19"/>
        <v>8709.869999999999</v>
      </c>
      <c r="H338" s="41">
        <f t="shared" si="19"/>
        <v>0</v>
      </c>
      <c r="I338" s="41">
        <f t="shared" si="19"/>
        <v>0</v>
      </c>
      <c r="J338" s="41">
        <f t="shared" si="19"/>
        <v>0</v>
      </c>
      <c r="K338" s="41">
        <f t="shared" si="19"/>
        <v>0</v>
      </c>
      <c r="L338" s="41">
        <f t="shared" si="18"/>
        <v>40833.64</v>
      </c>
      <c r="M338" s="8"/>
      <c r="N338" s="265"/>
    </row>
    <row r="339" spans="1:43" s="3" customFormat="1" ht="12.2" customHeight="1" thickTop="1" x14ac:dyDescent="0.15">
      <c r="A339" s="38" t="s">
        <v>468</v>
      </c>
      <c r="B339" s="40">
        <v>14</v>
      </c>
      <c r="C339" s="40">
        <v>7</v>
      </c>
      <c r="D339" s="39" t="s">
        <v>431</v>
      </c>
      <c r="E339" s="40"/>
      <c r="F339" s="41">
        <f t="shared" ref="F339:L339" si="20">F291+F310+F329+F338</f>
        <v>1651609.3599999999</v>
      </c>
      <c r="G339" s="41">
        <f t="shared" si="20"/>
        <v>747122.73999999987</v>
      </c>
      <c r="H339" s="41">
        <f t="shared" si="20"/>
        <v>516365.03</v>
      </c>
      <c r="I339" s="41">
        <f t="shared" si="20"/>
        <v>290311.45</v>
      </c>
      <c r="J339" s="41">
        <f t="shared" si="20"/>
        <v>147566.98000000001</v>
      </c>
      <c r="K339" s="41">
        <f t="shared" si="20"/>
        <v>6199.51</v>
      </c>
      <c r="L339" s="41">
        <f t="shared" si="20"/>
        <v>3359175.0700000003</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93554.64</v>
      </c>
      <c r="L345" s="19">
        <f t="shared" ref="L345:L351" si="21">SUM(F345:K345)</f>
        <v>93554.64</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93554.64</v>
      </c>
      <c r="L352" s="41">
        <f>SUM(L342:L351)</f>
        <v>93554.64</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1651609.3599999999</v>
      </c>
      <c r="G353" s="41">
        <f>G339</f>
        <v>747122.73999999987</v>
      </c>
      <c r="H353" s="41">
        <f>H339</f>
        <v>516365.03</v>
      </c>
      <c r="I353" s="41">
        <f>I339</f>
        <v>290311.45</v>
      </c>
      <c r="J353" s="41">
        <f>J339</f>
        <v>147566.98000000001</v>
      </c>
      <c r="K353" s="47">
        <f>K339+K352</f>
        <v>99754.15</v>
      </c>
      <c r="L353" s="41">
        <f>L339+L352</f>
        <v>3452729.7100000004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f>55726.67+93677.33+(0.679*72640.98)</f>
        <v>198727.22542</v>
      </c>
      <c r="G359" s="18">
        <f>13623.46+700+16656.48+795.73+804.24+39.11+16.8+33.6+181.37+3735.11+4316.65+7166.22+5665.7+3153.06+3608.57+786.04+788.62+1315.18+999.31</f>
        <v>64385.25</v>
      </c>
      <c r="H359" s="18">
        <f>11217.69+9142.47+148.92</f>
        <v>20509.079999999998</v>
      </c>
      <c r="I359" s="18">
        <f>27186.16+214412.32+12301.52+1623.49+3185.3+4407.14+10518.33</f>
        <v>273634.26</v>
      </c>
      <c r="J359" s="18">
        <v>356.88</v>
      </c>
      <c r="K359" s="18">
        <v>475.3</v>
      </c>
      <c r="L359" s="13">
        <f>SUM(F359:K359)</f>
        <v>558087.99542000017</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f>64768.63+23317.75</f>
        <v>88086.38</v>
      </c>
      <c r="G361" s="18">
        <f>6440.54+8328.24+376.19+402.12+18.49+16.8+85.75+1765.79+4951.19+2678.48+371.61+372.83+1679.88</f>
        <v>27487.91</v>
      </c>
      <c r="H361" s="18">
        <f>5303.21+4322.14+70.4</f>
        <v>9695.75</v>
      </c>
      <c r="I361" s="18">
        <f>12852.37+101364.3+5815.6+767.51+644.34</f>
        <v>121444.12</v>
      </c>
      <c r="J361" s="18">
        <v>168.72</v>
      </c>
      <c r="K361" s="18">
        <v>224.7</v>
      </c>
      <c r="L361" s="19">
        <f>SUM(F361:K361)</f>
        <v>247107.58000000002</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286813.60542000004</v>
      </c>
      <c r="G363" s="47">
        <f t="shared" si="22"/>
        <v>91873.16</v>
      </c>
      <c r="H363" s="47">
        <f t="shared" si="22"/>
        <v>30204.829999999998</v>
      </c>
      <c r="I363" s="47">
        <f t="shared" si="22"/>
        <v>395078.38</v>
      </c>
      <c r="J363" s="47">
        <f t="shared" si="22"/>
        <v>525.6</v>
      </c>
      <c r="K363" s="47">
        <f t="shared" si="22"/>
        <v>700</v>
      </c>
      <c r="L363" s="47">
        <f t="shared" si="22"/>
        <v>805195.57542000012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thickBot="1" x14ac:dyDescent="0.2">
      <c r="A368" s="58" t="s">
        <v>371</v>
      </c>
      <c r="B368" s="2" t="s">
        <v>366</v>
      </c>
      <c r="C368" s="2" t="s">
        <v>295</v>
      </c>
      <c r="D368" s="2" t="s">
        <v>432</v>
      </c>
      <c r="E368" s="2"/>
      <c r="F368" s="18">
        <f>214412.32+12301.52+3185.3+4407.14+10518.33</f>
        <v>244824.61</v>
      </c>
      <c r="G368" s="18"/>
      <c r="H368" s="63">
        <f>101364.3+5815.6+644.34</f>
        <v>107824.24</v>
      </c>
      <c r="I368" s="56">
        <f>SUM(F368:H368)</f>
        <v>352648.85</v>
      </c>
      <c r="J368" s="24" t="s">
        <v>288</v>
      </c>
      <c r="K368" s="24" t="s">
        <v>288</v>
      </c>
      <c r="L368" s="24" t="s">
        <v>288</v>
      </c>
      <c r="M368" s="8"/>
      <c r="N368" s="265"/>
    </row>
    <row r="369" spans="1:14" s="3" customFormat="1" ht="12.2" customHeight="1" thickTop="1" thickBot="1" x14ac:dyDescent="0.2">
      <c r="A369" s="61" t="s">
        <v>372</v>
      </c>
      <c r="B369" s="62" t="s">
        <v>366</v>
      </c>
      <c r="C369" s="62" t="s">
        <v>296</v>
      </c>
      <c r="D369" s="2" t="s">
        <v>432</v>
      </c>
      <c r="E369" s="62"/>
      <c r="F369" s="63">
        <f>27186.16+1623.49</f>
        <v>28809.65</v>
      </c>
      <c r="G369" s="63"/>
      <c r="H369" s="63">
        <f>12852.37+767.51</f>
        <v>13619.880000000001</v>
      </c>
      <c r="I369" s="56">
        <f>SUM(F369:H369)</f>
        <v>42429.53</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273634.26</v>
      </c>
      <c r="G370" s="47">
        <f>SUM(G368:G369)</f>
        <v>0</v>
      </c>
      <c r="H370" s="47">
        <f>SUM(H368:H369)</f>
        <v>121444.12000000001</v>
      </c>
      <c r="I370" s="47">
        <f>SUM(I368:I369)</f>
        <v>395078.38</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1718.79</v>
      </c>
      <c r="I397" s="18"/>
      <c r="J397" s="24" t="s">
        <v>288</v>
      </c>
      <c r="K397" s="24" t="s">
        <v>288</v>
      </c>
      <c r="L397" s="56">
        <f t="shared" si="26"/>
        <v>1718.79</v>
      </c>
      <c r="M397" s="8"/>
      <c r="N397" s="265"/>
    </row>
    <row r="398" spans="1:14" s="3" customFormat="1" ht="12.2" customHeight="1" x14ac:dyDescent="0.15">
      <c r="A398" s="79" t="s">
        <v>515</v>
      </c>
      <c r="B398" s="2" t="s">
        <v>381</v>
      </c>
      <c r="C398" s="6">
        <v>10</v>
      </c>
      <c r="D398" s="2" t="s">
        <v>432</v>
      </c>
      <c r="E398" s="6"/>
      <c r="F398" s="18"/>
      <c r="G398" s="18"/>
      <c r="H398" s="18">
        <v>2386.66</v>
      </c>
      <c r="I398" s="18"/>
      <c r="J398" s="24" t="s">
        <v>288</v>
      </c>
      <c r="K398" s="24" t="s">
        <v>288</v>
      </c>
      <c r="L398" s="56">
        <f t="shared" si="26"/>
        <v>2386.66</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4105.45</v>
      </c>
      <c r="I402" s="47">
        <f>SUM(I396:I401)</f>
        <v>0</v>
      </c>
      <c r="J402" s="45" t="s">
        <v>288</v>
      </c>
      <c r="K402" s="45" t="s">
        <v>288</v>
      </c>
      <c r="L402" s="47">
        <f>SUM(L396:L401)</f>
        <v>4105.45</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4105.45</v>
      </c>
      <c r="I409" s="47">
        <f>I394+I402+I408</f>
        <v>0</v>
      </c>
      <c r="J409" s="24" t="s">
        <v>288</v>
      </c>
      <c r="K409" s="24" t="s">
        <v>288</v>
      </c>
      <c r="L409" s="47">
        <f>L394+L402+L408</f>
        <v>4105.45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f>143116.79+182386.66</f>
        <v>325503.45</v>
      </c>
      <c r="G443" s="18"/>
      <c r="H443" s="18"/>
      <c r="I443" s="56">
        <f t="shared" si="33"/>
        <v>325503.45</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325503.45</v>
      </c>
      <c r="G447" s="13">
        <f>SUM(G440:G446)</f>
        <v>0</v>
      </c>
      <c r="H447" s="13">
        <f>SUM(H440:H446)</f>
        <v>0</v>
      </c>
      <c r="I447" s="13">
        <f>SUM(I440:I446)</f>
        <v>325503.45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325503.45</v>
      </c>
      <c r="G460" s="18"/>
      <c r="H460" s="18"/>
      <c r="I460" s="56">
        <f t="shared" si="34"/>
        <v>325503.45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325503.45</v>
      </c>
      <c r="G461" s="83">
        <f>SUM(G455:G460)</f>
        <v>0</v>
      </c>
      <c r="H461" s="83">
        <f>SUM(H455:H460)</f>
        <v>0</v>
      </c>
      <c r="I461" s="83">
        <f>SUM(I455:I460)</f>
        <v>325503.45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325503.45</v>
      </c>
      <c r="G462" s="42">
        <f>G453+G461</f>
        <v>0</v>
      </c>
      <c r="H462" s="42">
        <f>H453+H461</f>
        <v>0</v>
      </c>
      <c r="I462" s="42">
        <f>I453+I461</f>
        <v>325503.45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1523270.8200000022</v>
      </c>
      <c r="G466" s="18">
        <v>0</v>
      </c>
      <c r="H466" s="18">
        <v>114969.65999999922</v>
      </c>
      <c r="I466" s="18">
        <v>0</v>
      </c>
      <c r="J466" s="18">
        <v>321398</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14856731.390000001</v>
      </c>
      <c r="G469" s="18">
        <v>980313.04</v>
      </c>
      <c r="H469" s="18">
        <f>300+3417369.08+5500+7889.66+500+5200</f>
        <v>3436758.74</v>
      </c>
      <c r="I469" s="18"/>
      <c r="J469" s="18">
        <f>1718.79+2386.66</f>
        <v>4105.45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14856731.390000001</v>
      </c>
      <c r="G471" s="53">
        <f>SUM(G469:G470)</f>
        <v>980313.04</v>
      </c>
      <c r="H471" s="53">
        <f>SUM(H469:H470)</f>
        <v>3436758.74</v>
      </c>
      <c r="I471" s="53">
        <f>SUM(I469:I470)</f>
        <v>0</v>
      </c>
      <c r="J471" s="53">
        <f>SUM(J469:J470)</f>
        <v>4105.45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14652425.66</v>
      </c>
      <c r="G473" s="18">
        <v>805195.58</v>
      </c>
      <c r="H473" s="18">
        <f>3474.03+3417369.08+188.78+16418.82+1500+13779</f>
        <v>3452729.7099999995</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14652425.66</v>
      </c>
      <c r="G475" s="53">
        <f>SUM(G473:G474)</f>
        <v>805195.58</v>
      </c>
      <c r="H475" s="53">
        <f>SUM(H473:H474)</f>
        <v>3452729.7099999995</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1727576.5500000026</v>
      </c>
      <c r="G477" s="53">
        <f>(G466+G471)- G475</f>
        <v>175117.46000000008</v>
      </c>
      <c r="H477" s="53">
        <f>(H466+H471)- H475</f>
        <v>98998.689999999944</v>
      </c>
      <c r="I477" s="53">
        <f>(I466+I471)- I475</f>
        <v>0</v>
      </c>
      <c r="J477" s="53">
        <f>(J466+J471)- J475</f>
        <v>325503.45</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20</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t="s">
        <v>1803</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1804</v>
      </c>
      <c r="G493" s="155" t="s">
        <v>1805</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2700000</v>
      </c>
      <c r="G494" s="18">
        <v>2000000</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4.26</v>
      </c>
      <c r="G495" s="18">
        <v>3.55</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870341.41</v>
      </c>
      <c r="G496" s="18">
        <v>1856392.89</v>
      </c>
      <c r="H496" s="18"/>
      <c r="I496" s="18"/>
      <c r="J496" s="18"/>
      <c r="K496" s="53">
        <f>SUM(F496:J496)</f>
        <v>2726734.3</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f>71052.63+71052.63</f>
        <v>142105.26</v>
      </c>
      <c r="G498" s="18">
        <v>77625.41</v>
      </c>
      <c r="H498" s="18"/>
      <c r="I498" s="18"/>
      <c r="J498" s="18"/>
      <c r="K498" s="53">
        <f t="shared" si="35"/>
        <v>219730.67</v>
      </c>
      <c r="L498" s="24" t="s">
        <v>288</v>
      </c>
      <c r="N498" s="264"/>
    </row>
    <row r="499" spans="1:14" s="52" customFormat="1" ht="12.2" customHeight="1" x14ac:dyDescent="0.2">
      <c r="A499" s="199" t="s">
        <v>622</v>
      </c>
      <c r="B499" s="200">
        <v>20</v>
      </c>
      <c r="C499" s="201">
        <v>9</v>
      </c>
      <c r="D499" s="202" t="s">
        <v>432</v>
      </c>
      <c r="E499" s="201"/>
      <c r="F499" s="203">
        <f>F496-F498</f>
        <v>728236.15</v>
      </c>
      <c r="G499" s="203">
        <f>G496-G498</f>
        <v>1778767.48</v>
      </c>
      <c r="H499" s="203"/>
      <c r="I499" s="203"/>
      <c r="J499" s="203"/>
      <c r="K499" s="204">
        <f t="shared" si="35"/>
        <v>2507003.63</v>
      </c>
      <c r="L499" s="205" t="s">
        <v>288</v>
      </c>
      <c r="N499" s="264"/>
    </row>
    <row r="500" spans="1:14" s="52" customFormat="1" ht="12.2" customHeight="1" thickBot="1" x14ac:dyDescent="0.25">
      <c r="A500" s="22" t="s">
        <v>623</v>
      </c>
      <c r="B500" s="75">
        <v>20</v>
      </c>
      <c r="C500" s="115">
        <v>10</v>
      </c>
      <c r="D500" s="2" t="s">
        <v>432</v>
      </c>
      <c r="E500" s="115"/>
      <c r="F500" s="18">
        <v>54865</v>
      </c>
      <c r="G500" s="18">
        <v>629953</v>
      </c>
      <c r="H500" s="18"/>
      <c r="I500" s="18"/>
      <c r="J500" s="18"/>
      <c r="K500" s="53">
        <f t="shared" si="35"/>
        <v>684818</v>
      </c>
      <c r="L500" s="24" t="s">
        <v>288</v>
      </c>
      <c r="N500" s="264"/>
    </row>
    <row r="501" spans="1:14" s="52" customFormat="1" ht="12.2" customHeight="1" thickTop="1" x14ac:dyDescent="0.2">
      <c r="A501" s="139" t="s">
        <v>624</v>
      </c>
      <c r="B501" s="44">
        <v>20</v>
      </c>
      <c r="C501" s="194">
        <v>11</v>
      </c>
      <c r="D501" s="39" t="s">
        <v>432</v>
      </c>
      <c r="E501" s="194"/>
      <c r="F501" s="42">
        <f>SUM(F499:F500)</f>
        <v>783101.15</v>
      </c>
      <c r="G501" s="42">
        <f>SUM(G499:G500)</f>
        <v>2408720.48</v>
      </c>
      <c r="H501" s="42">
        <f>SUM(H499:H500)</f>
        <v>0</v>
      </c>
      <c r="I501" s="42">
        <f>SUM(I499:I500)</f>
        <v>0</v>
      </c>
      <c r="J501" s="42">
        <f>SUM(J499:J500)</f>
        <v>0</v>
      </c>
      <c r="K501" s="42">
        <f t="shared" si="35"/>
        <v>3191821.63</v>
      </c>
      <c r="L501" s="45" t="s">
        <v>288</v>
      </c>
      <c r="N501" s="264"/>
    </row>
    <row r="502" spans="1:14" s="52" customFormat="1" ht="12.2" customHeight="1" x14ac:dyDescent="0.2">
      <c r="A502" s="199" t="s">
        <v>651</v>
      </c>
      <c r="B502" s="200">
        <v>20</v>
      </c>
      <c r="C502" s="201">
        <v>12</v>
      </c>
      <c r="D502" s="202" t="s">
        <v>432</v>
      </c>
      <c r="E502" s="201"/>
      <c r="F502" s="203">
        <v>142105.26</v>
      </c>
      <c r="G502" s="203">
        <v>77925.86</v>
      </c>
      <c r="H502" s="203"/>
      <c r="I502" s="203"/>
      <c r="J502" s="203"/>
      <c r="K502" s="204">
        <f t="shared" si="35"/>
        <v>220031.12</v>
      </c>
      <c r="L502" s="205" t="s">
        <v>288</v>
      </c>
      <c r="N502" s="264"/>
    </row>
    <row r="503" spans="1:14" s="52" customFormat="1" ht="12.2" customHeight="1" thickBot="1" x14ac:dyDescent="0.25">
      <c r="A503" s="22" t="s">
        <v>625</v>
      </c>
      <c r="B503" s="75">
        <v>20</v>
      </c>
      <c r="C503" s="115">
        <v>13</v>
      </c>
      <c r="D503" s="2" t="s">
        <v>432</v>
      </c>
      <c r="E503" s="115"/>
      <c r="F503" s="18">
        <v>22861</v>
      </c>
      <c r="G503" s="18">
        <v>63967.14</v>
      </c>
      <c r="H503" s="18"/>
      <c r="I503" s="18"/>
      <c r="J503" s="18"/>
      <c r="K503" s="53">
        <f t="shared" si="35"/>
        <v>86828.14</v>
      </c>
      <c r="L503" s="24" t="s">
        <v>288</v>
      </c>
      <c r="N503" s="264"/>
    </row>
    <row r="504" spans="1:14" s="52" customFormat="1" ht="12.2" customHeight="1" thickTop="1" x14ac:dyDescent="0.2">
      <c r="A504" s="139" t="s">
        <v>626</v>
      </c>
      <c r="B504" s="44">
        <v>20</v>
      </c>
      <c r="C504" s="194">
        <v>14</v>
      </c>
      <c r="D504" s="39" t="s">
        <v>432</v>
      </c>
      <c r="E504" s="194"/>
      <c r="F504" s="42">
        <f>SUM(F502:F503)</f>
        <v>164966.26</v>
      </c>
      <c r="G504" s="42">
        <f>SUM(G502:G503)</f>
        <v>141893</v>
      </c>
      <c r="H504" s="42">
        <f>SUM(H502:H503)</f>
        <v>0</v>
      </c>
      <c r="I504" s="42">
        <f>SUM(I502:I503)</f>
        <v>0</v>
      </c>
      <c r="J504" s="42">
        <f>SUM(J502:J503)</f>
        <v>0</v>
      </c>
      <c r="K504" s="42">
        <f t="shared" si="35"/>
        <v>306859.26</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1170004.2399999998</v>
      </c>
      <c r="G522" s="18">
        <v>499581.25</v>
      </c>
      <c r="H522" s="18">
        <v>1096146.31</v>
      </c>
      <c r="I522" s="18">
        <v>11023.46</v>
      </c>
      <c r="J522" s="18">
        <v>6673.8209999999999</v>
      </c>
      <c r="K522" s="18">
        <v>376.85</v>
      </c>
      <c r="L522" s="88">
        <f>SUM(F522:K522)</f>
        <v>2783805.9309999999</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v>374638.43000000005</v>
      </c>
      <c r="G524" s="18">
        <v>190374.76</v>
      </c>
      <c r="H524" s="18">
        <v>272884.87000000005</v>
      </c>
      <c r="I524" s="18">
        <v>5284.24</v>
      </c>
      <c r="J524" s="18">
        <v>2458.5389999999998</v>
      </c>
      <c r="K524" s="18">
        <v>178.16</v>
      </c>
      <c r="L524" s="88">
        <f>SUM(F524:K524)</f>
        <v>845818.99900000007</v>
      </c>
      <c r="N524" s="264"/>
    </row>
    <row r="525" spans="1:14" s="52" customFormat="1" ht="12.2" customHeight="1" thickTop="1" x14ac:dyDescent="0.2">
      <c r="A525" s="139" t="s">
        <v>63</v>
      </c>
      <c r="B525" s="107">
        <v>21</v>
      </c>
      <c r="C525" s="194">
        <v>4</v>
      </c>
      <c r="D525" s="195" t="s">
        <v>432</v>
      </c>
      <c r="E525" s="194"/>
      <c r="F525" s="108">
        <f>SUM(F522:F524)</f>
        <v>1544642.67</v>
      </c>
      <c r="G525" s="108">
        <f t="shared" ref="G525:L525" si="36">SUM(G522:G524)</f>
        <v>689956.01</v>
      </c>
      <c r="H525" s="108">
        <f t="shared" si="36"/>
        <v>1369031.1800000002</v>
      </c>
      <c r="I525" s="108">
        <f t="shared" si="36"/>
        <v>16307.699999999999</v>
      </c>
      <c r="J525" s="108">
        <f t="shared" si="36"/>
        <v>9132.36</v>
      </c>
      <c r="K525" s="108">
        <f t="shared" si="36"/>
        <v>555.01</v>
      </c>
      <c r="L525" s="89">
        <f t="shared" si="36"/>
        <v>3629624.9299999997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343184.80234400003</v>
      </c>
      <c r="G527" s="18">
        <v>172284.40768800001</v>
      </c>
      <c r="H527" s="18">
        <v>538912.56199999992</v>
      </c>
      <c r="I527" s="18">
        <v>4373.22066</v>
      </c>
      <c r="J527" s="18">
        <v>0</v>
      </c>
      <c r="K527" s="18">
        <v>103.2</v>
      </c>
      <c r="L527" s="88">
        <f>SUM(F527:K527)</f>
        <v>1058858.192692</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v>133106.757656</v>
      </c>
      <c r="G529" s="18">
        <v>52753.504311999997</v>
      </c>
      <c r="H529" s="18">
        <v>87635.732000000004</v>
      </c>
      <c r="I529" s="18">
        <v>2160.4873400000001</v>
      </c>
      <c r="J529" s="18">
        <v>0</v>
      </c>
      <c r="K529" s="18">
        <v>203.20000000000002</v>
      </c>
      <c r="L529" s="88">
        <f>SUM(F529:K529)</f>
        <v>275859.681308</v>
      </c>
      <c r="M529" s="8"/>
      <c r="N529" s="265"/>
    </row>
    <row r="530" spans="1:14" s="3" customFormat="1" ht="12.2" customHeight="1" thickTop="1" x14ac:dyDescent="0.15">
      <c r="A530" s="139" t="s">
        <v>65</v>
      </c>
      <c r="B530" s="107">
        <v>21</v>
      </c>
      <c r="C530" s="107">
        <v>8</v>
      </c>
      <c r="D530" s="158" t="s">
        <v>432</v>
      </c>
      <c r="E530" s="107"/>
      <c r="F530" s="89">
        <f>SUM(F527:F529)</f>
        <v>476291.56000000006</v>
      </c>
      <c r="G530" s="89">
        <f t="shared" ref="G530:L530" si="37">SUM(G527:G529)</f>
        <v>225037.91200000001</v>
      </c>
      <c r="H530" s="89">
        <f t="shared" si="37"/>
        <v>626548.29399999988</v>
      </c>
      <c r="I530" s="89">
        <f t="shared" si="37"/>
        <v>6533.7080000000005</v>
      </c>
      <c r="J530" s="89">
        <f t="shared" si="37"/>
        <v>0</v>
      </c>
      <c r="K530" s="89">
        <f t="shared" si="37"/>
        <v>306.40000000000003</v>
      </c>
      <c r="L530" s="89">
        <f t="shared" si="37"/>
        <v>1334717.8739999998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413.51100000000002</v>
      </c>
      <c r="I537" s="18"/>
      <c r="J537" s="18"/>
      <c r="K537" s="18"/>
      <c r="L537" s="88">
        <f>SUM(F537:K537)</f>
        <v>413.51100000000002</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v>195.48899999999998</v>
      </c>
      <c r="I539" s="18"/>
      <c r="J539" s="18"/>
      <c r="K539" s="18"/>
      <c r="L539" s="88">
        <f>SUM(F539:K539)</f>
        <v>195.48899999999998</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609</v>
      </c>
      <c r="I540" s="89">
        <f t="shared" si="39"/>
        <v>0</v>
      </c>
      <c r="J540" s="89">
        <f t="shared" si="39"/>
        <v>0</v>
      </c>
      <c r="K540" s="89">
        <f t="shared" si="39"/>
        <v>0</v>
      </c>
      <c r="L540" s="89">
        <f t="shared" si="39"/>
        <v>609</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214200.66704000003</v>
      </c>
      <c r="I542" s="18"/>
      <c r="J542" s="18"/>
      <c r="K542" s="18"/>
      <c r="L542" s="88">
        <f>SUM(F542:K542)</f>
        <v>214200.66704000003</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112553.23295999999</v>
      </c>
      <c r="I544" s="18"/>
      <c r="J544" s="18"/>
      <c r="K544" s="18"/>
      <c r="L544" s="88">
        <f>SUM(F544:K544)</f>
        <v>112553.23295999999</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326753.90000000002</v>
      </c>
      <c r="I545" s="192">
        <f t="shared" si="40"/>
        <v>0</v>
      </c>
      <c r="J545" s="192">
        <f t="shared" si="40"/>
        <v>0</v>
      </c>
      <c r="K545" s="192">
        <f t="shared" si="40"/>
        <v>0</v>
      </c>
      <c r="L545" s="192">
        <f t="shared" si="40"/>
        <v>326753.90000000002</v>
      </c>
      <c r="M545" s="8"/>
      <c r="N545" s="265"/>
    </row>
    <row r="546" spans="1:14" s="3" customFormat="1" ht="12.2" customHeight="1" thickTop="1" x14ac:dyDescent="0.15">
      <c r="A546" s="98" t="s">
        <v>72</v>
      </c>
      <c r="B546" s="107">
        <v>21</v>
      </c>
      <c r="C546" s="107">
        <v>21</v>
      </c>
      <c r="D546" s="158" t="s">
        <v>432</v>
      </c>
      <c r="E546" s="107"/>
      <c r="F546" s="89">
        <f>F525+F530+F535+F540+F545</f>
        <v>2020934.23</v>
      </c>
      <c r="G546" s="89">
        <f t="shared" ref="G546:L546" si="41">G525+G530+G535+G540+G545</f>
        <v>914993.92200000002</v>
      </c>
      <c r="H546" s="89">
        <f t="shared" si="41"/>
        <v>2322942.3739999998</v>
      </c>
      <c r="I546" s="89">
        <f t="shared" si="41"/>
        <v>22841.407999999999</v>
      </c>
      <c r="J546" s="89">
        <f t="shared" si="41"/>
        <v>9132.36</v>
      </c>
      <c r="K546" s="89">
        <f t="shared" si="41"/>
        <v>861.41000000000008</v>
      </c>
      <c r="L546" s="89">
        <f t="shared" si="41"/>
        <v>5291705.7039999999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2783805.9309999999</v>
      </c>
      <c r="G550" s="87">
        <f>L527</f>
        <v>1058858.192692</v>
      </c>
      <c r="H550" s="87">
        <f>L532</f>
        <v>0</v>
      </c>
      <c r="I550" s="87">
        <f>L537</f>
        <v>413.51100000000002</v>
      </c>
      <c r="J550" s="87">
        <f>L542</f>
        <v>214200.66704000003</v>
      </c>
      <c r="K550" s="87">
        <f>SUM(F550:J550)</f>
        <v>4057278.301732</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845818.99900000007</v>
      </c>
      <c r="G552" s="87">
        <f>L529</f>
        <v>275859.681308</v>
      </c>
      <c r="H552" s="87">
        <f>L534</f>
        <v>0</v>
      </c>
      <c r="I552" s="87">
        <f>L539</f>
        <v>195.48899999999998</v>
      </c>
      <c r="J552" s="87">
        <f>L544</f>
        <v>112553.23295999999</v>
      </c>
      <c r="K552" s="87">
        <f>SUM(F552:J552)</f>
        <v>1234427.4022680002</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3629624.9299999997</v>
      </c>
      <c r="G553" s="89">
        <f t="shared" si="42"/>
        <v>1334717.8739999998</v>
      </c>
      <c r="H553" s="89">
        <f t="shared" si="42"/>
        <v>0</v>
      </c>
      <c r="I553" s="89">
        <f t="shared" si="42"/>
        <v>609</v>
      </c>
      <c r="J553" s="89">
        <f t="shared" si="42"/>
        <v>326753.90000000002</v>
      </c>
      <c r="K553" s="89">
        <f t="shared" si="42"/>
        <v>5291705.7039999999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6096.1095300000006</v>
      </c>
      <c r="G563" s="18">
        <f>(686.79+81.6)*0.679</f>
        <v>521.73680999999999</v>
      </c>
      <c r="H563" s="18">
        <f>(265.96+52.76)*0.679</f>
        <v>216.41087999999999</v>
      </c>
      <c r="I563" s="18">
        <f>1930.57*0.679</f>
        <v>1310.8570300000001</v>
      </c>
      <c r="J563" s="18"/>
      <c r="K563" s="18"/>
      <c r="L563" s="88">
        <f>SUM(F563:K563)</f>
        <v>8145.1142500000014</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v>2881.9604699999991</v>
      </c>
      <c r="G565" s="18">
        <f>686.79+81.6-G563</f>
        <v>246.65319</v>
      </c>
      <c r="H565" s="18">
        <f>265.96+52.76-H563</f>
        <v>102.30911999999998</v>
      </c>
      <c r="I565" s="18">
        <f>1930.57-I563</f>
        <v>619.71296999999981</v>
      </c>
      <c r="J565" s="18"/>
      <c r="K565" s="18"/>
      <c r="L565" s="88">
        <f>SUM(F565:K565)</f>
        <v>3850.6357499999986</v>
      </c>
      <c r="M565" s="8"/>
      <c r="N565" s="265"/>
    </row>
    <row r="566" spans="1:14" s="3" customFormat="1" ht="12.2" customHeight="1" thickTop="1" x14ac:dyDescent="0.15">
      <c r="A566" s="139" t="s">
        <v>65</v>
      </c>
      <c r="B566" s="107">
        <v>22</v>
      </c>
      <c r="C566" s="107">
        <v>8</v>
      </c>
      <c r="D566" s="195" t="s">
        <v>432</v>
      </c>
      <c r="E566" s="107"/>
      <c r="F566" s="89">
        <f t="shared" ref="F566:L566" si="44">SUM(F563:F565)</f>
        <v>8978.07</v>
      </c>
      <c r="G566" s="89">
        <f t="shared" si="44"/>
        <v>768.39</v>
      </c>
      <c r="H566" s="89">
        <f t="shared" si="44"/>
        <v>318.71999999999997</v>
      </c>
      <c r="I566" s="89">
        <f t="shared" si="44"/>
        <v>1930.57</v>
      </c>
      <c r="J566" s="89">
        <f t="shared" si="44"/>
        <v>0</v>
      </c>
      <c r="K566" s="89">
        <f t="shared" si="44"/>
        <v>0</v>
      </c>
      <c r="L566" s="89">
        <f t="shared" si="44"/>
        <v>11995.75</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8978.07</v>
      </c>
      <c r="G572" s="89">
        <f t="shared" ref="G572:L572" si="46">G561+G566+G571</f>
        <v>768.39</v>
      </c>
      <c r="H572" s="89">
        <f t="shared" si="46"/>
        <v>318.71999999999997</v>
      </c>
      <c r="I572" s="89">
        <f t="shared" si="46"/>
        <v>1930.57</v>
      </c>
      <c r="J572" s="89">
        <f t="shared" si="46"/>
        <v>0</v>
      </c>
      <c r="K572" s="89">
        <f t="shared" si="46"/>
        <v>0</v>
      </c>
      <c r="L572" s="89">
        <f t="shared" si="46"/>
        <v>11995.75</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v>3677.5</v>
      </c>
      <c r="I579" s="87">
        <f t="shared" si="47"/>
        <v>3677.5</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20841+337579.68</f>
        <v>358420.68</v>
      </c>
      <c r="G583" s="18"/>
      <c r="H583" s="18">
        <f>16919.42+135003.1</f>
        <v>151922.52000000002</v>
      </c>
      <c r="I583" s="87">
        <f t="shared" si="47"/>
        <v>510343.2</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60349.94</v>
      </c>
      <c r="I585" s="87">
        <f t="shared" si="47"/>
        <v>60349.94</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305544.18*0.679</f>
        <v>207464.49822000001</v>
      </c>
      <c r="I592" s="18"/>
      <c r="J592" s="18">
        <f>305544.18-H592</f>
        <v>98079.681779999984</v>
      </c>
      <c r="K592" s="104">
        <f t="shared" ref="K592:K598" si="48">SUM(H592:J592)</f>
        <v>305544.18</v>
      </c>
      <c r="L592" s="24" t="s">
        <v>288</v>
      </c>
      <c r="M592" s="8"/>
      <c r="N592" s="265"/>
    </row>
    <row r="593" spans="1:14" s="3" customFormat="1" ht="12.2" customHeight="1" x14ac:dyDescent="0.15">
      <c r="A593" s="3" t="s">
        <v>638</v>
      </c>
      <c r="B593" s="75">
        <v>23</v>
      </c>
      <c r="C593" s="75">
        <v>2</v>
      </c>
      <c r="D593" s="2" t="s">
        <v>432</v>
      </c>
      <c r="E593" s="75"/>
      <c r="F593" s="102">
        <v>2722</v>
      </c>
      <c r="G593" s="103" t="s">
        <v>97</v>
      </c>
      <c r="H593" s="18">
        <f>39532.01+41510.13+(196109.76*0.679)</f>
        <v>214200.66704000003</v>
      </c>
      <c r="I593" s="18"/>
      <c r="J593" s="18">
        <f>49602+(196109.76*0.321)</f>
        <v>112553.23295999999</v>
      </c>
      <c r="K593" s="104">
        <f t="shared" si="48"/>
        <v>326753.90000000002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51557.599999999999</v>
      </c>
      <c r="K594" s="104">
        <f t="shared" si="48"/>
        <v>51557.599999999999</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6934.92</v>
      </c>
      <c r="I595" s="18"/>
      <c r="J595" s="18">
        <v>21600.58</v>
      </c>
      <c r="K595" s="104">
        <f t="shared" si="48"/>
        <v>28535.5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f>123.06+205.06</f>
        <v>328.12</v>
      </c>
      <c r="I596" s="18"/>
      <c r="J596" s="18">
        <v>7363.04</v>
      </c>
      <c r="K596" s="104">
        <f t="shared" si="48"/>
        <v>7691.16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f>23812.77*0.679</f>
        <v>16168.870830000002</v>
      </c>
      <c r="I598" s="18"/>
      <c r="J598" s="18">
        <f>23812.77-H598</f>
        <v>7643.8991699999988</v>
      </c>
      <c r="K598" s="104">
        <f t="shared" si="48"/>
        <v>23812.77</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445097.07609000005</v>
      </c>
      <c r="I599" s="108">
        <f>SUM(I592:I598)</f>
        <v>0</v>
      </c>
      <c r="J599" s="108">
        <f>SUM(J592:J598)</f>
        <v>298798.03390999994</v>
      </c>
      <c r="K599" s="108">
        <f>SUM(K592:K598)</f>
        <v>743895.1100000001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27359.79+153400.39+(48830.51*0.679)-(525.6*0.679)</f>
        <v>213559.21389000001</v>
      </c>
      <c r="I605" s="18"/>
      <c r="J605" s="18">
        <f>79897.62+(48830.51*0.321)-(525.6*0.321)</f>
        <v>95403.496109999993</v>
      </c>
      <c r="K605" s="104">
        <f>SUM(H605:J605)</f>
        <v>308962.71000000002</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213559.21389000001</v>
      </c>
      <c r="I606" s="108">
        <f>SUM(I603:I605)</f>
        <v>0</v>
      </c>
      <c r="J606" s="108">
        <f>SUM(J603:J605)</f>
        <v>95403.496109999993</v>
      </c>
      <c r="K606" s="108">
        <f>SUM(K603:K605)</f>
        <v>308962.71000000002</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f>(12088.76*0.679)+(1050*0.679)+28385+21053.75</f>
        <v>58359.96804</v>
      </c>
      <c r="G612" s="18">
        <f>7034.43+3755.45+(2688.04*0.679)</f>
        <v>12615.059160000001</v>
      </c>
      <c r="H612" s="18"/>
      <c r="I612" s="18">
        <f>1494.8+298.33+(51.76+679.83)*0.679</f>
        <v>2289.87961</v>
      </c>
      <c r="J612" s="18"/>
      <c r="K612" s="18"/>
      <c r="L612" s="88">
        <f>SUM(F612:K612)</f>
        <v>73264.90681</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f>(12088.75*0.321)+(1050*0.321)+17535</f>
        <v>21752.53875</v>
      </c>
      <c r="G614" s="18">
        <f>(2688.04*0.321)+4571.23</f>
        <v>5434.0908399999998</v>
      </c>
      <c r="H614" s="18"/>
      <c r="I614" s="18">
        <f>(679.83+51.76)*0.321</f>
        <v>234.84039000000001</v>
      </c>
      <c r="J614" s="18"/>
      <c r="K614" s="18"/>
      <c r="L614" s="88">
        <f>SUM(F614:K614)</f>
        <v>27421.469980000002</v>
      </c>
      <c r="M614" s="8"/>
      <c r="N614" s="265"/>
    </row>
    <row r="615" spans="1:14" s="3" customFormat="1" ht="12.2" customHeight="1" thickTop="1" x14ac:dyDescent="0.15">
      <c r="A615" s="98" t="s">
        <v>340</v>
      </c>
      <c r="B615" s="107">
        <v>23</v>
      </c>
      <c r="C615" s="107">
        <v>16</v>
      </c>
      <c r="D615" s="39" t="s">
        <v>432</v>
      </c>
      <c r="E615" s="107"/>
      <c r="F615" s="108">
        <f t="shared" ref="F615:L615" si="49">SUM(F612:F614)</f>
        <v>80112.506789999999</v>
      </c>
      <c r="G615" s="108">
        <f t="shared" si="49"/>
        <v>18049.150000000001</v>
      </c>
      <c r="H615" s="108">
        <f t="shared" si="49"/>
        <v>0</v>
      </c>
      <c r="I615" s="108">
        <f t="shared" si="49"/>
        <v>2524.7199999999998</v>
      </c>
      <c r="J615" s="108">
        <f t="shared" si="49"/>
        <v>0</v>
      </c>
      <c r="K615" s="108">
        <f t="shared" si="49"/>
        <v>0</v>
      </c>
      <c r="L615" s="89">
        <f t="shared" si="49"/>
        <v>100686.37679000001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1589641.7</v>
      </c>
      <c r="H618" s="109">
        <f>SUM(F52)</f>
        <v>1589641.7000000002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349385.23</v>
      </c>
      <c r="H619" s="109">
        <f>SUM(G52)</f>
        <v>349385.23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653699.39</v>
      </c>
      <c r="H620" s="109">
        <f>SUM(H52)</f>
        <v>653699.39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325503.45</v>
      </c>
      <c r="H622" s="109">
        <f>SUM(J52)</f>
        <v>325503.45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1727576.55</v>
      </c>
      <c r="H623" s="109">
        <f>F477</f>
        <v>1727576.5500000026</v>
      </c>
      <c r="I623" s="121" t="s">
        <v>101</v>
      </c>
      <c r="J623" s="109">
        <f t="shared" ref="J623:J656" si="50">G623-H623</f>
        <v>-2.5611370801925659E-9</v>
      </c>
      <c r="K623" s="109"/>
      <c r="L623" s="109"/>
      <c r="M623" s="8"/>
    </row>
    <row r="624" spans="1:14" s="3" customFormat="1" ht="12.2" customHeight="1" x14ac:dyDescent="0.15">
      <c r="A624" s="97"/>
      <c r="B624" s="105"/>
      <c r="C624" s="119"/>
      <c r="D624" s="119"/>
      <c r="E624" s="119"/>
      <c r="F624" s="119" t="s">
        <v>866</v>
      </c>
      <c r="G624" s="109">
        <f>G51</f>
        <v>175117.46</v>
      </c>
      <c r="H624" s="109">
        <f>G477</f>
        <v>175117.46000000008</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98998.689999999944</v>
      </c>
      <c r="H625" s="109">
        <f>H477</f>
        <v>98998.689999999944</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325503.45</v>
      </c>
      <c r="H627" s="109">
        <f>J477</f>
        <v>325503.45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14856731.390000002</v>
      </c>
      <c r="H628" s="104">
        <f>SUM(F469)</f>
        <v>14856731.390000001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980313.04</v>
      </c>
      <c r="H629" s="104">
        <f>SUM(G469)</f>
        <v>980313.04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3436758.7399999998</v>
      </c>
      <c r="H630" s="104">
        <f>SUM(H469)</f>
        <v>3436758.74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4105.45</v>
      </c>
      <c r="H632" s="104">
        <f>SUM(J469)</f>
        <v>4105.45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14652425.66</v>
      </c>
      <c r="H633" s="104">
        <f>SUM(F473)</f>
        <v>14652425.66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3452729.7100000004</v>
      </c>
      <c r="H634" s="104">
        <f>SUM(H473)</f>
        <v>3452729.7099999995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395078.38</v>
      </c>
      <c r="H635" s="104">
        <f>I370</f>
        <v>395078.38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805195.57542000012</v>
      </c>
      <c r="H636" s="104">
        <f>SUM(G473)</f>
        <v>805195.58</v>
      </c>
      <c r="I636" s="140" t="s">
        <v>114</v>
      </c>
      <c r="J636" s="109">
        <f t="shared" si="50"/>
        <v>-4.5799998333677649E-3</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4105.45</v>
      </c>
      <c r="H638" s="164">
        <f>SUM(J469)</f>
        <v>4105.45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325503.45</v>
      </c>
      <c r="H640" s="104">
        <f>SUM(F462)</f>
        <v>325503.45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325503.45</v>
      </c>
      <c r="H643" s="104">
        <f>SUM(I462)</f>
        <v>325503.45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4105.45</v>
      </c>
      <c r="H645" s="104">
        <f>H409</f>
        <v>4105.45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4105.45</v>
      </c>
      <c r="H647" s="104">
        <f>L409</f>
        <v>4105.45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743895.1100000001</v>
      </c>
      <c r="H648" s="104">
        <f>L209+L227+L245</f>
        <v>743895.1100000001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308962.71000000002</v>
      </c>
      <c r="H649" s="104">
        <f>(J258+J339)-(J256+J337)</f>
        <v>308962.71000000002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445097.08000000007</v>
      </c>
      <c r="H650" s="104">
        <f>H599</f>
        <v>445097.07609000005</v>
      </c>
      <c r="I650" s="140" t="s">
        <v>388</v>
      </c>
      <c r="J650" s="109">
        <f t="shared" si="50"/>
        <v>3.9100000285543501E-3</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298798.03000000003</v>
      </c>
      <c r="H652" s="104">
        <f>J599</f>
        <v>298798.03390999994</v>
      </c>
      <c r="I652" s="140" t="s">
        <v>390</v>
      </c>
      <c r="J652" s="109">
        <f t="shared" si="50"/>
        <v>-3.9099999121390283E-3</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-4.5799985527992249E-3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12710466.296330001</v>
      </c>
      <c r="G661" s="19">
        <f>(L230+L310+L360)</f>
        <v>0</v>
      </c>
      <c r="H661" s="19">
        <f>(L248+L329+L361)</f>
        <v>5735692.4790900005</v>
      </c>
      <c r="I661" s="19">
        <f>SUM(F661:H661)</f>
        <v>18446158.775420003</v>
      </c>
      <c r="J661" s="13"/>
      <c r="K661" s="13"/>
      <c r="L661" s="13"/>
      <c r="M661" s="9"/>
    </row>
    <row r="662" spans="1:13" s="3" customFormat="1" ht="12.2" customHeight="1" x14ac:dyDescent="0.2">
      <c r="A662" s="1" t="s">
        <v>127</v>
      </c>
      <c r="F662" s="19">
        <f>(L359/IF(SUM(L359:L361)=0,1,SUM(L359:L361))*(SUM(G97:G110)))</f>
        <v>7694.3235682399027</v>
      </c>
      <c r="G662" s="19">
        <f>(L360/IF(SUM(L359:L361)=0,1,SUM(L359:L361))*(SUM(G97:G110)))</f>
        <v>0</v>
      </c>
      <c r="H662" s="19">
        <f>(L361/IF(SUM(L359:L361)=0,1,SUM(L359:L361))*(SUM(G97:G110)))</f>
        <v>3406.8564317600981</v>
      </c>
      <c r="I662" s="19">
        <f>SUM(F662:H662)</f>
        <v>11101.18</v>
      </c>
      <c r="J662"/>
      <c r="K662" s="13"/>
      <c r="L662" s="13"/>
      <c r="M662" s="8"/>
    </row>
    <row r="663" spans="1:13" s="3" customFormat="1" ht="12.2" customHeight="1" x14ac:dyDescent="0.2">
      <c r="A663" s="1" t="s">
        <v>128</v>
      </c>
      <c r="F663" s="19">
        <f>(L209+L288)-(J209+J288)</f>
        <v>458383.57000000007</v>
      </c>
      <c r="G663" s="19">
        <f>(L227+L307)-(J227+J307)</f>
        <v>0</v>
      </c>
      <c r="H663" s="19">
        <f>(L245+L326)-(J245+J326)</f>
        <v>299115.18000000005</v>
      </c>
      <c r="I663" s="19">
        <f>SUM(F663:H663)</f>
        <v>757498.75000000012</v>
      </c>
      <c r="J663"/>
      <c r="K663" s="13"/>
      <c r="L663" s="13"/>
      <c r="M663" s="9"/>
    </row>
    <row r="664" spans="1:13" s="3" customFormat="1" ht="12.2" customHeight="1" x14ac:dyDescent="0.15">
      <c r="A664" s="197" t="s">
        <v>129</v>
      </c>
      <c r="B664" s="169"/>
      <c r="C664" s="169"/>
      <c r="D664" s="169"/>
      <c r="E664" s="169"/>
      <c r="F664" s="198">
        <f>SUM(F576:F588)+SUM(H603:H605)+SUM(L612)</f>
        <v>645244.80069999991</v>
      </c>
      <c r="G664" s="198">
        <f>SUM(G576:G588)+SUM(I603:I605)+L613</f>
        <v>0</v>
      </c>
      <c r="H664" s="198">
        <f>SUM(H576:H588)+SUM(J603:J605)+L614</f>
        <v>338774.92609000002</v>
      </c>
      <c r="I664" s="19">
        <f>SUM(F664:H664)</f>
        <v>984019.72678999999</v>
      </c>
      <c r="J664" s="13"/>
      <c r="K664" s="13"/>
      <c r="L664" s="13"/>
      <c r="M664" s="9"/>
    </row>
    <row r="665" spans="1:13" s="3" customFormat="1" ht="12.2" customHeight="1" x14ac:dyDescent="0.15">
      <c r="A665" s="1" t="s">
        <v>130</v>
      </c>
      <c r="F665" s="19">
        <f>F661-SUM(F662:F664)</f>
        <v>11599143.602061762</v>
      </c>
      <c r="G665" s="19">
        <f>G661-SUM(G662:G664)</f>
        <v>0</v>
      </c>
      <c r="H665" s="19">
        <f>H661-SUM(H662:H664)</f>
        <v>5094395.5165682398</v>
      </c>
      <c r="I665" s="19">
        <f>I661-SUM(I662:I664)</f>
        <v>16693539.118630003</v>
      </c>
      <c r="J665" s="13"/>
      <c r="K665" s="13"/>
      <c r="L665" s="13"/>
      <c r="M665" s="8"/>
    </row>
    <row r="666" spans="1:13" s="3" customFormat="1" ht="12.2" customHeight="1" x14ac:dyDescent="0.2">
      <c r="A666" s="1" t="s">
        <v>131</v>
      </c>
      <c r="F666" s="245">
        <v>651.27</v>
      </c>
      <c r="G666" s="246"/>
      <c r="H666" s="246">
        <v>269.04000000000002</v>
      </c>
      <c r="I666" s="19">
        <f>SUM(F666:H666)</f>
        <v>920.31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17810.04</v>
      </c>
      <c r="G668" s="19" t="e">
        <f>ROUND(G665/G666,2)</f>
        <v>#DIV/0!</v>
      </c>
      <c r="H668" s="19">
        <f>ROUND(H665/H666,2)</f>
        <v>18935.46</v>
      </c>
      <c r="I668" s="19">
        <f>ROUND(I665/I666,2)</f>
        <v>18139.04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-6</v>
      </c>
      <c r="I671" s="19">
        <f>SUM(F671:H671)</f>
        <v>-6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17810.04</v>
      </c>
      <c r="G673" s="19" t="e">
        <f>ROUND((G665+G670)/(G666+G671),2)</f>
        <v>#DIV/0!</v>
      </c>
      <c r="H673" s="19">
        <f>ROUND((H665+H670)/(H666+H671),2)</f>
        <v>19367.38</v>
      </c>
      <c r="I673" s="19">
        <f>ROUND((I665+I670)/(I666+I671),2)</f>
        <v>18258.07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321355.61000000004</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5758.95+93505.51+4084.71</f>
        <v>103349.17</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5501.63+32187.02</f>
        <v>37688.65</v>
      </c>
      <c r="F13" s="349" t="s">
        <v>1646</v>
      </c>
    </row>
    <row r="14" spans="2:8" x14ac:dyDescent="0.25">
      <c r="B14" s="348"/>
      <c r="C14" s="348"/>
      <c r="D14" s="349"/>
      <c r="E14" s="348"/>
      <c r="F14" s="348"/>
    </row>
    <row r="15" spans="2:8" x14ac:dyDescent="0.25">
      <c r="B15" s="348"/>
      <c r="C15" s="349" t="s">
        <v>1640</v>
      </c>
      <c r="D15" s="349" t="s">
        <v>1653</v>
      </c>
      <c r="E15" s="336">
        <v>179634.66</v>
      </c>
      <c r="F15" s="349" t="s">
        <v>1647</v>
      </c>
    </row>
    <row r="16" spans="2:8" x14ac:dyDescent="0.25">
      <c r="B16" s="348"/>
      <c r="C16" s="348"/>
      <c r="D16" s="348"/>
      <c r="E16" s="348"/>
      <c r="F16" s="348"/>
    </row>
    <row r="17" spans="2:8" x14ac:dyDescent="0.25">
      <c r="B17" s="348"/>
      <c r="C17" s="349" t="s">
        <v>1639</v>
      </c>
      <c r="D17" s="349" t="s">
        <v>1654</v>
      </c>
      <c r="E17" s="372">
        <f>358.37+324.76</f>
        <v>683.13</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5" t="str">
        <f>'DOE25'!A2</f>
        <v>Franklin</v>
      </c>
      <c r="C5" s="376"/>
      <c r="D5" s="376"/>
      <c r="E5" s="376"/>
      <c r="F5" s="376"/>
    </row>
    <row r="8" spans="1:9" ht="18" x14ac:dyDescent="0.25">
      <c r="A8" s="312" t="s">
        <v>1568</v>
      </c>
      <c r="F8" s="319" t="s">
        <v>1586</v>
      </c>
    </row>
    <row r="9" spans="1:9" ht="15" x14ac:dyDescent="0.2">
      <c r="A9" s="310" t="s">
        <v>1569</v>
      </c>
      <c r="B9" s="313">
        <f>'DOE25'!G97</f>
        <v>11101.18</v>
      </c>
      <c r="F9" s="310" t="s">
        <v>1582</v>
      </c>
    </row>
    <row r="10" spans="1:9" ht="15" x14ac:dyDescent="0.2">
      <c r="A10" s="310" t="s">
        <v>1570</v>
      </c>
      <c r="B10" s="313">
        <f>'DOE25'!G112-'DOE25'!G97</f>
        <v>25.459999999999127</v>
      </c>
      <c r="F10" s="310" t="s">
        <v>1583</v>
      </c>
    </row>
    <row r="11" spans="1:9" ht="15" x14ac:dyDescent="0.2">
      <c r="A11" s="310" t="s">
        <v>1571</v>
      </c>
      <c r="B11" s="313">
        <f>'DOE25'!G140</f>
        <v>14301.33</v>
      </c>
      <c r="F11" s="310" t="s">
        <v>1584</v>
      </c>
    </row>
    <row r="12" spans="1:9" ht="15" x14ac:dyDescent="0.2">
      <c r="A12" s="310" t="s">
        <v>1572</v>
      </c>
      <c r="B12" s="313">
        <f>'DOE25'!G170</f>
        <v>954885.07000000007</v>
      </c>
      <c r="F12" s="310" t="s">
        <v>1585</v>
      </c>
    </row>
    <row r="13" spans="1:9" ht="15" x14ac:dyDescent="0.2">
      <c r="A13" s="310" t="s">
        <v>1573</v>
      </c>
      <c r="B13" s="313">
        <f>'DOE25'!G193-'DOE25'!G180</f>
        <v>0</v>
      </c>
      <c r="F13" s="310" t="s">
        <v>1595</v>
      </c>
    </row>
    <row r="14" spans="1:9" ht="18" x14ac:dyDescent="0.25">
      <c r="A14" s="312" t="s">
        <v>732</v>
      </c>
      <c r="B14" s="314">
        <f>SUM(B9:B13)</f>
        <v>980313.04</v>
      </c>
    </row>
    <row r="16" spans="1:9" ht="18" x14ac:dyDescent="0.25">
      <c r="A16" s="312" t="s">
        <v>786</v>
      </c>
      <c r="F16" s="319" t="s">
        <v>1587</v>
      </c>
    </row>
    <row r="17" spans="1:6" ht="15" x14ac:dyDescent="0.2">
      <c r="A17" s="310" t="s">
        <v>1574</v>
      </c>
      <c r="B17" s="313">
        <f>'DOE25'!L363-'DOE25'!L362</f>
        <v>805195.57542000012</v>
      </c>
      <c r="F17" s="310" t="s">
        <v>1588</v>
      </c>
    </row>
    <row r="18" spans="1:6" ht="15" x14ac:dyDescent="0.2">
      <c r="A18" s="310" t="s">
        <v>1575</v>
      </c>
      <c r="B18" s="323"/>
      <c r="F18" s="319" t="s">
        <v>1612</v>
      </c>
    </row>
    <row r="19" spans="1:6" ht="18" x14ac:dyDescent="0.25">
      <c r="A19" s="312" t="s">
        <v>725</v>
      </c>
      <c r="B19" s="314">
        <f>SUM(B17:B18)</f>
        <v>805195.57542000012</v>
      </c>
    </row>
    <row r="21" spans="1:6" ht="18.75" thickBot="1" x14ac:dyDescent="0.3">
      <c r="A21" s="312" t="s">
        <v>1576</v>
      </c>
    </row>
    <row r="22" spans="1:6" ht="18.75" thickTop="1" x14ac:dyDescent="0.25">
      <c r="A22" s="312" t="s">
        <v>1577</v>
      </c>
      <c r="B22" s="318">
        <f>B14-B19</f>
        <v>175117.46457999991</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175117.46000000008</v>
      </c>
      <c r="F33" s="310" t="s">
        <v>1593</v>
      </c>
    </row>
    <row r="36" spans="1:6" ht="15" x14ac:dyDescent="0.2">
      <c r="A36" s="310" t="s">
        <v>1579</v>
      </c>
      <c r="B36" s="324">
        <v>28859</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Franklin</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3713688.0500000003</v>
      </c>
      <c r="C9" s="228">
        <f>'DOE25'!G198+'DOE25'!G216+'DOE25'!G234+'DOE25'!G277+'DOE25'!G296+'DOE25'!G315</f>
        <v>2012078.19</v>
      </c>
    </row>
    <row r="10" spans="1:3" x14ac:dyDescent="0.2">
      <c r="A10" t="s">
        <v>775</v>
      </c>
      <c r="B10" s="239">
        <v>3523861.35</v>
      </c>
      <c r="C10" s="239">
        <v>1973462.72</v>
      </c>
    </row>
    <row r="11" spans="1:3" x14ac:dyDescent="0.2">
      <c r="A11" t="s">
        <v>776</v>
      </c>
      <c r="B11" s="239">
        <f>13206.74+30874.06</f>
        <v>44080.800000000003</v>
      </c>
      <c r="C11" s="239">
        <v>23904.84</v>
      </c>
    </row>
    <row r="12" spans="1:3" x14ac:dyDescent="0.2">
      <c r="A12" t="s">
        <v>777</v>
      </c>
      <c r="B12" s="239">
        <v>145745.9</v>
      </c>
      <c r="C12" s="239">
        <v>14710.63</v>
      </c>
    </row>
    <row r="13" spans="1:3" x14ac:dyDescent="0.2">
      <c r="A13" t="str">
        <f>IF(B9=B13,IF(C9=C13,"Check Total OK","Check Total Error"),"Check Total Error")</f>
        <v>Check Total OK</v>
      </c>
      <c r="B13" s="230">
        <f>SUM(B10:B12)</f>
        <v>3713688.05</v>
      </c>
      <c r="C13" s="230">
        <f>SUM(C10:C12)</f>
        <v>2012078.19</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1544642.67</v>
      </c>
      <c r="C18" s="228">
        <f>'DOE25'!G199+'DOE25'!G217+'DOE25'!G235+'DOE25'!G278+'DOE25'!G297+'DOE25'!G316</f>
        <v>689956.01</v>
      </c>
    </row>
    <row r="19" spans="1:3" x14ac:dyDescent="0.2">
      <c r="A19" t="s">
        <v>775</v>
      </c>
      <c r="B19" s="239">
        <v>760460.41</v>
      </c>
      <c r="C19" s="239">
        <f>58175.3+159848.78+128789.8+336+2500+5160.72</f>
        <v>354810.6</v>
      </c>
    </row>
    <row r="20" spans="1:3" x14ac:dyDescent="0.2">
      <c r="A20" t="s">
        <v>776</v>
      </c>
      <c r="B20" s="239">
        <v>623419.68999999994</v>
      </c>
      <c r="C20" s="239">
        <f>198063.12+10455.12+14065.56+3127.63+47852.72+487.2</f>
        <v>274051.35000000003</v>
      </c>
    </row>
    <row r="21" spans="1:3" x14ac:dyDescent="0.2">
      <c r="A21" t="s">
        <v>777</v>
      </c>
      <c r="B21" s="239">
        <v>160762.57</v>
      </c>
      <c r="C21" s="239">
        <v>61094.06</v>
      </c>
    </row>
    <row r="22" spans="1:3" x14ac:dyDescent="0.2">
      <c r="A22" t="str">
        <f>IF(B18=B22,IF(C18=C22,"Check Total OK","Check Total Error"),"Check Total Error")</f>
        <v>Check Total OK</v>
      </c>
      <c r="B22" s="230">
        <f>SUM(B19:B21)</f>
        <v>1544642.6700000002</v>
      </c>
      <c r="C22" s="230">
        <f>SUM(C19:C21)</f>
        <v>689956.01</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214138.56000000003</v>
      </c>
      <c r="C36" s="234">
        <f>'DOE25'!G201+'DOE25'!G219+'DOE25'!G237+'DOE25'!G280+'DOE25'!G299+'DOE25'!G318</f>
        <v>69480.89</v>
      </c>
    </row>
    <row r="37" spans="1:3" x14ac:dyDescent="0.2">
      <c r="A37" t="s">
        <v>775</v>
      </c>
      <c r="B37" s="239">
        <v>68023.75</v>
      </c>
      <c r="C37" s="239">
        <v>18049.150000000001</v>
      </c>
    </row>
    <row r="38" spans="1:3" x14ac:dyDescent="0.2">
      <c r="A38" t="s">
        <v>776</v>
      </c>
      <c r="B38" s="239"/>
      <c r="C38" s="239"/>
    </row>
    <row r="39" spans="1:3" x14ac:dyDescent="0.2">
      <c r="A39" t="s">
        <v>777</v>
      </c>
      <c r="B39" s="239">
        <v>146114.81</v>
      </c>
      <c r="C39" s="239">
        <v>51431.74</v>
      </c>
    </row>
    <row r="40" spans="1:3" x14ac:dyDescent="0.2">
      <c r="A40" t="str">
        <f>IF(B36=B40,IF(C36=C40,"Check Total OK","Check Total Error"),"Check Total Error")</f>
        <v>Check Total OK</v>
      </c>
      <c r="B40" s="230">
        <f>SUM(B37:B39)</f>
        <v>214138.56</v>
      </c>
      <c r="C40" s="230">
        <f>SUM(C37:C39)</f>
        <v>69480.89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Franklin</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8452806.0199999996</v>
      </c>
      <c r="D5" s="20">
        <f>SUM('DOE25'!L198:L201)+SUM('DOE25'!L216:L219)+SUM('DOE25'!L234:L237)-F5-G5-H5</f>
        <v>8402696.4100000001</v>
      </c>
      <c r="E5" s="242"/>
      <c r="F5" s="243">
        <v>0</v>
      </c>
      <c r="G5" s="53">
        <f>SUM('DOE25'!J198:J201)+SUM('DOE25'!J216:J219)+SUM('DOE25'!J234:J237)</f>
        <v>39621.100000000006</v>
      </c>
      <c r="H5" s="53">
        <f>SUM('DOE25'!K198:K201)+SUM('DOE25'!K216:K219)+SUM('DOE25'!K234:K237)</f>
        <v>10488.51</v>
      </c>
      <c r="I5" s="255"/>
    </row>
    <row r="6" spans="1:9" x14ac:dyDescent="0.2">
      <c r="A6" s="32">
        <v>2100</v>
      </c>
      <c r="B6" t="s">
        <v>796</v>
      </c>
      <c r="C6" s="274">
        <f t="shared" si="0"/>
        <v>1591450.58</v>
      </c>
      <c r="D6" s="20">
        <f>'DOE25'!L203+'DOE25'!L221+'DOE25'!L239-F6-G6-H6</f>
        <v>1087482.26</v>
      </c>
      <c r="E6" s="242"/>
      <c r="F6" s="243">
        <v>503052.33</v>
      </c>
      <c r="G6" s="53">
        <f>'DOE25'!J203+'DOE25'!J221+'DOE25'!J239</f>
        <v>149.99</v>
      </c>
      <c r="H6" s="53">
        <f>'DOE25'!K203+'DOE25'!K221+'DOE25'!K239</f>
        <v>766</v>
      </c>
      <c r="I6" s="255"/>
    </row>
    <row r="7" spans="1:9" x14ac:dyDescent="0.2">
      <c r="A7" s="32">
        <v>2200</v>
      </c>
      <c r="B7" t="s">
        <v>821</v>
      </c>
      <c r="C7" s="274">
        <f t="shared" si="0"/>
        <v>273941.95999999996</v>
      </c>
      <c r="D7" s="20">
        <f>'DOE25'!L204+'DOE25'!L222+'DOE25'!L240-F7-G7-H7</f>
        <v>267993.38999999996</v>
      </c>
      <c r="E7" s="242"/>
      <c r="F7" s="243">
        <v>0</v>
      </c>
      <c r="G7" s="53">
        <f>'DOE25'!J204+'DOE25'!J222+'DOE25'!J240</f>
        <v>5608.57</v>
      </c>
      <c r="H7" s="53">
        <f>'DOE25'!K204+'DOE25'!K222+'DOE25'!K240</f>
        <v>340</v>
      </c>
      <c r="I7" s="255"/>
    </row>
    <row r="8" spans="1:9" x14ac:dyDescent="0.2">
      <c r="A8" s="32">
        <v>2300</v>
      </c>
      <c r="B8" t="s">
        <v>797</v>
      </c>
      <c r="C8" s="274">
        <f t="shared" si="0"/>
        <v>21847</v>
      </c>
      <c r="D8" s="242"/>
      <c r="E8" s="20">
        <f>'DOE25'!L205+'DOE25'!L223+'DOE25'!L241-F8-G8-H8-D9-D11</f>
        <v>11202.440000000002</v>
      </c>
      <c r="F8" s="243">
        <v>0</v>
      </c>
      <c r="G8" s="53">
        <f>'DOE25'!J205+'DOE25'!J223+'DOE25'!J241</f>
        <v>0</v>
      </c>
      <c r="H8" s="53">
        <f>'DOE25'!K205+'DOE25'!K223+'DOE25'!K241</f>
        <v>10644.56</v>
      </c>
      <c r="I8" s="255"/>
    </row>
    <row r="9" spans="1:9" ht="14.25" x14ac:dyDescent="0.2">
      <c r="A9" s="32">
        <v>2310</v>
      </c>
      <c r="B9" s="184" t="s">
        <v>888</v>
      </c>
      <c r="C9" s="274">
        <f t="shared" si="0"/>
        <v>19895.32</v>
      </c>
      <c r="D9" s="243">
        <v>19895.32</v>
      </c>
      <c r="E9" s="242"/>
      <c r="F9" s="252"/>
      <c r="G9" s="252"/>
      <c r="H9" s="252"/>
      <c r="I9" s="255"/>
    </row>
    <row r="10" spans="1:9" ht="14.25" x14ac:dyDescent="0.2">
      <c r="A10" s="32">
        <v>2317</v>
      </c>
      <c r="B10" s="184" t="s">
        <v>889</v>
      </c>
      <c r="C10" s="274">
        <f t="shared" si="0"/>
        <v>24000</v>
      </c>
      <c r="D10" s="242"/>
      <c r="E10" s="243">
        <v>24000</v>
      </c>
      <c r="F10" s="252"/>
      <c r="G10" s="252"/>
      <c r="H10" s="252"/>
      <c r="I10" s="255"/>
    </row>
    <row r="11" spans="1:9" ht="14.25" x14ac:dyDescent="0.2">
      <c r="A11" s="32">
        <v>2321</v>
      </c>
      <c r="B11" s="184" t="s">
        <v>890</v>
      </c>
      <c r="C11" s="274">
        <f t="shared" si="0"/>
        <v>322722.57</v>
      </c>
      <c r="D11" s="243">
        <v>322722.57</v>
      </c>
      <c r="E11" s="242"/>
      <c r="F11" s="252"/>
      <c r="G11" s="252"/>
      <c r="H11" s="252"/>
      <c r="I11" s="255"/>
    </row>
    <row r="12" spans="1:9" x14ac:dyDescent="0.2">
      <c r="A12" s="32">
        <v>2400</v>
      </c>
      <c r="B12" t="s">
        <v>711</v>
      </c>
      <c r="C12" s="274">
        <f t="shared" si="0"/>
        <v>1009066.9899999999</v>
      </c>
      <c r="D12" s="20">
        <f>'DOE25'!L206+'DOE25'!L224+'DOE25'!L242-F12-G12-H12</f>
        <v>994514.72999999986</v>
      </c>
      <c r="E12" s="242"/>
      <c r="F12" s="243">
        <v>0</v>
      </c>
      <c r="G12" s="53">
        <f>'DOE25'!J206+'DOE25'!J224+'DOE25'!J242</f>
        <v>2209.9899999999998</v>
      </c>
      <c r="H12" s="53">
        <f>'DOE25'!K206+'DOE25'!K224+'DOE25'!K242</f>
        <v>12342.269999999999</v>
      </c>
      <c r="I12" s="255"/>
    </row>
    <row r="13" spans="1:9" x14ac:dyDescent="0.2">
      <c r="A13" s="32">
        <v>2500</v>
      </c>
      <c r="B13" t="s">
        <v>798</v>
      </c>
      <c r="C13" s="274">
        <f t="shared" si="0"/>
        <v>304081.71999999997</v>
      </c>
      <c r="D13" s="242"/>
      <c r="E13" s="20">
        <f>'DOE25'!L207+'DOE25'!L225+'DOE25'!L243-F13-G13-H13</f>
        <v>304081.71999999997</v>
      </c>
      <c r="F13" s="243">
        <v>0</v>
      </c>
      <c r="G13" s="53">
        <f>'DOE25'!J207+'DOE25'!J225+'DOE25'!J243</f>
        <v>0</v>
      </c>
      <c r="H13" s="53">
        <f>'DOE25'!K207+'DOE25'!K225+'DOE25'!K243</f>
        <v>0</v>
      </c>
      <c r="I13" s="255"/>
    </row>
    <row r="14" spans="1:9" x14ac:dyDescent="0.2">
      <c r="A14" s="32">
        <v>2600</v>
      </c>
      <c r="B14" t="s">
        <v>819</v>
      </c>
      <c r="C14" s="274">
        <f t="shared" si="0"/>
        <v>1330649.08</v>
      </c>
      <c r="D14" s="20">
        <f>'DOE25'!L208+'DOE25'!L226+'DOE25'!L244-F14-G14-H14</f>
        <v>1216843</v>
      </c>
      <c r="E14" s="242"/>
      <c r="F14" s="243">
        <v>0</v>
      </c>
      <c r="G14" s="53">
        <f>'DOE25'!J208+'DOE25'!J226+'DOE25'!J244</f>
        <v>113806.08</v>
      </c>
      <c r="H14" s="53">
        <f>'DOE25'!K208+'DOE25'!K226+'DOE25'!K244</f>
        <v>0</v>
      </c>
      <c r="I14" s="255"/>
    </row>
    <row r="15" spans="1:9" x14ac:dyDescent="0.2">
      <c r="A15" s="32">
        <v>2700</v>
      </c>
      <c r="B15" t="s">
        <v>799</v>
      </c>
      <c r="C15" s="274">
        <f t="shared" si="0"/>
        <v>743895.1100000001</v>
      </c>
      <c r="D15" s="20">
        <f>'DOE25'!L209+'DOE25'!L227+'DOE25'!L245-F15-G15-H15</f>
        <v>215779.17000000016</v>
      </c>
      <c r="E15" s="242"/>
      <c r="F15" s="243">
        <v>528115.93999999994</v>
      </c>
      <c r="G15" s="53">
        <f>'DOE25'!J209+'DOE25'!J227+'DOE25'!J245</f>
        <v>0</v>
      </c>
      <c r="H15" s="53">
        <f>'DOE25'!K209+'DOE25'!K227+'DOE25'!K245</f>
        <v>0</v>
      </c>
      <c r="I15" s="255"/>
    </row>
    <row r="16" spans="1:9" x14ac:dyDescent="0.2">
      <c r="A16" s="32">
        <v>2800</v>
      </c>
      <c r="B16" t="s">
        <v>800</v>
      </c>
      <c r="C16" s="274">
        <f t="shared" si="0"/>
        <v>252265.41999999998</v>
      </c>
      <c r="D16" s="242"/>
      <c r="E16" s="20">
        <f>'DOE25'!L210+'DOE25'!L228+'DOE25'!L246-F16-G16-H16</f>
        <v>252265.41999999998</v>
      </c>
      <c r="F16" s="243">
        <v>0</v>
      </c>
      <c r="G16" s="53">
        <f>'DOE25'!J210+'DOE25'!J228+'DOE25'!J246</f>
        <v>0</v>
      </c>
      <c r="H16" s="53">
        <f>'DOE25'!K210+'DOE25'!K228+'DOE25'!K246</f>
        <v>0</v>
      </c>
      <c r="I16" s="255"/>
    </row>
    <row r="17" spans="1:9" x14ac:dyDescent="0.2">
      <c r="A17" s="32">
        <v>1600</v>
      </c>
      <c r="B17" t="s">
        <v>801</v>
      </c>
      <c r="C17" s="274">
        <f t="shared" si="0"/>
        <v>17235.189999999999</v>
      </c>
      <c r="D17" s="20">
        <f>'DOE25'!L252-F17-G17-H17</f>
        <v>17235.189999999999</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0</v>
      </c>
      <c r="D19" s="20">
        <f>'DOE25'!L254-F19-G19-H19</f>
        <v>0</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312568.7</v>
      </c>
      <c r="D25" s="242"/>
      <c r="E25" s="242"/>
      <c r="F25" s="254"/>
      <c r="G25" s="252"/>
      <c r="H25" s="252"/>
      <c r="I25" s="253">
        <f>'DOE25'!L261+'DOE25'!L262+'DOE25'!L342+'DOE25'!L343</f>
        <v>312568.7</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452546.72542000015</v>
      </c>
      <c r="D29" s="282">
        <f>'DOE25'!L359+'DOE25'!L360+'DOE25'!L361-'DOE25'!I368-F29-G29-H29</f>
        <v>451321.12542000017</v>
      </c>
      <c r="E29" s="242"/>
      <c r="F29" s="243">
        <v>0</v>
      </c>
      <c r="G29" s="53">
        <f>'DOE25'!J359+'DOE25'!J360+'DOE25'!J361</f>
        <v>525.6</v>
      </c>
      <c r="H29" s="53">
        <f>'DOE25'!K359+'DOE25'!K360+'DOE25'!K361</f>
        <v>700</v>
      </c>
      <c r="I29" s="255"/>
    </row>
    <row r="30" spans="1:9" x14ac:dyDescent="0.2">
      <c r="A30" s="32"/>
      <c r="C30" s="275"/>
      <c r="D30" s="20"/>
      <c r="E30" s="279"/>
      <c r="F30" s="269"/>
      <c r="G30" s="53"/>
      <c r="H30" s="53"/>
      <c r="I30" s="255"/>
    </row>
    <row r="31" spans="1:9" x14ac:dyDescent="0.2">
      <c r="A31" s="32" t="s">
        <v>818</v>
      </c>
      <c r="B31" t="s">
        <v>817</v>
      </c>
      <c r="C31" s="274">
        <f>SUM(D31:I31)</f>
        <v>3359175.0700000003</v>
      </c>
      <c r="D31" s="20">
        <f>'DOE25'!L291+'DOE25'!L310+'DOE25'!L329+'DOE25'!L334+'DOE25'!L335+'DOE25'!L336-F31-G31-H31</f>
        <v>3081908.5800000005</v>
      </c>
      <c r="E31" s="242"/>
      <c r="F31" s="243">
        <f>123500</f>
        <v>123500</v>
      </c>
      <c r="G31" s="53">
        <f>'DOE25'!J291+'DOE25'!J310+'DOE25'!J329+'DOE25'!J334+'DOE25'!J335+'DOE25'!J336</f>
        <v>147566.98000000001</v>
      </c>
      <c r="H31" s="53">
        <f>'DOE25'!K291+'DOE25'!K310+'DOE25'!K329+'DOE25'!K334+'DOE25'!K335+'DOE25'!K336</f>
        <v>6199.51</v>
      </c>
      <c r="I31" s="255"/>
    </row>
    <row r="32" spans="1:9" ht="12" thickBot="1" x14ac:dyDescent="0.25">
      <c r="C32" s="275"/>
      <c r="G32" s="250"/>
      <c r="H32" s="250"/>
      <c r="I32" s="257"/>
    </row>
    <row r="33" spans="1:9" ht="12" thickTop="1" x14ac:dyDescent="0.2">
      <c r="B33" t="s">
        <v>809</v>
      </c>
      <c r="D33" s="244">
        <f t="shared" ref="D33:I33" si="1">SUM(D5:D31)</f>
        <v>16078391.745420001</v>
      </c>
      <c r="E33" s="244">
        <f t="shared" si="1"/>
        <v>591549.57999999996</v>
      </c>
      <c r="F33" s="244">
        <f t="shared" si="1"/>
        <v>1154668.27</v>
      </c>
      <c r="G33" s="244">
        <f t="shared" si="1"/>
        <v>309488.31000000006</v>
      </c>
      <c r="H33" s="244">
        <f t="shared" si="1"/>
        <v>41480.85</v>
      </c>
      <c r="I33" s="244">
        <f t="shared" si="1"/>
        <v>312568.7</v>
      </c>
    </row>
    <row r="35" spans="1:9" ht="12" thickBot="1" x14ac:dyDescent="0.25">
      <c r="B35" s="250" t="s">
        <v>831</v>
      </c>
      <c r="D35" s="251">
        <f>E33</f>
        <v>591549.57999999996</v>
      </c>
      <c r="E35" s="247"/>
      <c r="F35" s="328" t="s">
        <v>1617</v>
      </c>
      <c r="G35" s="329"/>
      <c r="H35" s="329"/>
      <c r="I35" s="329"/>
    </row>
    <row r="36" spans="1:9" ht="12" thickTop="1" x14ac:dyDescent="0.2">
      <c r="B36" t="s">
        <v>810</v>
      </c>
      <c r="D36" s="20">
        <f>D33</f>
        <v>16078391.745420001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I4" sqref="I4:I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Franklin</v>
      </c>
      <c r="B2" s="126">
        <f>'DOE25'!B2</f>
        <v>185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12152378.300000001</v>
      </c>
      <c r="G4" s="299">
        <f>'DOE25'!L212+'DOE25'!L291</f>
        <v>12152378.300910002</v>
      </c>
      <c r="H4" s="340">
        <f>F4-G4</f>
        <v>-9.1000087559223175E-4</v>
      </c>
      <c r="I4" s="384" t="str">
        <f>IF(H4=0,"","ISSUES!! Please review page 7 and 11 totals in comparison with total on this page")</f>
        <v>ISSUES!! Please review page 7 and 11 totals in comparison with total on this page</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1405462.02</v>
      </c>
      <c r="E5" s="290">
        <v>937462.03</v>
      </c>
      <c r="F5" s="303">
        <f>D5+E5</f>
        <v>2342924.0499999998</v>
      </c>
      <c r="G5" s="293"/>
      <c r="H5" s="293"/>
      <c r="I5" s="385"/>
      <c r="N5"/>
    </row>
    <row r="6" spans="1:18" x14ac:dyDescent="0.2">
      <c r="A6" s="126" t="str" cm="1">
        <f t="array" ref="A6">IFERROR(INDEX('School Tables'!$A$4:$G$325,'School Tables'!$J4,3),"")</f>
        <v>Franklin Middle School</v>
      </c>
      <c r="B6" s="300">
        <f>IFERROR(VLOOKUP(A6,'School Tables'!$C$3:$D$365,2,FALSE),"")</f>
        <v>26755</v>
      </c>
      <c r="C6" s="293" t="str">
        <f>IFERROR(INDEX('School Tables'!$B$3:$B$365,MATCH('School Level Expenditures'!B6,'School Tables'!$D$3:$D$365,0)),"")</f>
        <v>Franklin</v>
      </c>
      <c r="D6" s="290">
        <v>4536436.4800000004</v>
      </c>
      <c r="E6" s="290">
        <v>672137.7</v>
      </c>
      <c r="F6" s="303">
        <f t="shared" ref="F6:F20" si="0">D6+E6</f>
        <v>5208574.1800000006</v>
      </c>
      <c r="G6" s="293"/>
      <c r="H6" s="293"/>
      <c r="I6" s="385"/>
      <c r="N6"/>
    </row>
    <row r="7" spans="1:18" x14ac:dyDescent="0.2">
      <c r="A7" s="126" t="str" cm="1">
        <f t="array" ref="A7">IFERROR(INDEX('School Tables'!$A$4:$G$325,'School Tables'!$J5,3),"")</f>
        <v>Paul A. Smith School</v>
      </c>
      <c r="B7" s="300">
        <f>IFERROR(VLOOKUP(A7,'School Tables'!$C$3:$D$365,2,FALSE),"")</f>
        <v>20650</v>
      </c>
      <c r="C7" s="293" t="str">
        <f>IFERROR(INDEX('School Tables'!$B$3:$B$365,MATCH('School Level Expenditures'!B7,'School Tables'!$D$3:$D$365,0)),"")</f>
        <v>Franklin</v>
      </c>
      <c r="D7" s="290">
        <v>3763891.79</v>
      </c>
      <c r="E7" s="290">
        <v>836988.28</v>
      </c>
      <c r="F7" s="303">
        <f t="shared" si="0"/>
        <v>4600880.07</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9705790.2899999991</v>
      </c>
      <c r="E21" s="338">
        <f>SUM(E5:E20)</f>
        <v>2446588.0099999998</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5488584.9000000004</v>
      </c>
      <c r="G36" s="299">
        <f>'DOE25'!L248+'DOE25'!L329</f>
        <v>5488584.8990900004</v>
      </c>
      <c r="H36" s="340">
        <f>F36-G36</f>
        <v>9.0999994426965714E-4</v>
      </c>
      <c r="I36" s="384" t="str">
        <f>IF(H36=0,"","ISSUES!! Please review page 9 and 13 totals in comparison with total on this page")</f>
        <v>ISSUES!! Please review page 9 and 13 totals in comparison with total on this page</v>
      </c>
      <c r="N36"/>
    </row>
    <row r="37" spans="1:14" x14ac:dyDescent="0.2">
      <c r="A37" s="126" t="s">
        <v>1548</v>
      </c>
      <c r="B37" s="300">
        <v>99999</v>
      </c>
      <c r="C37" s="293" t="s">
        <v>1548</v>
      </c>
      <c r="D37" s="290">
        <v>664556.03</v>
      </c>
      <c r="E37" s="290">
        <v>457258.73</v>
      </c>
      <c r="F37" s="303">
        <f t="shared" ref="F37:F42" si="2">D37+E37</f>
        <v>1121814.76</v>
      </c>
      <c r="G37" s="293"/>
      <c r="H37" s="293"/>
      <c r="I37" s="385"/>
      <c r="N37"/>
    </row>
    <row r="38" spans="1:14" x14ac:dyDescent="0.2">
      <c r="A38" s="126" t="str" cm="1">
        <f t="array" ref="A38">IFERROR(INDEX('School Tables'!$W$4:$AC$100,'School Tables'!$AF4,3),"")</f>
        <v>Franklin High School</v>
      </c>
      <c r="B38" s="300">
        <f>IFERROR(VLOOKUP(A38,'School Tables'!$Y$4:$Z$100,2,FALSE),"")</f>
        <v>20660</v>
      </c>
      <c r="C38" s="293" t="str">
        <f>IFERROR(INDEX('School Tables'!$X$4:$X$100,MATCH('School Level Expenditures'!A38,'School Tables'!$Y$4:$Y$100,0)),"")</f>
        <v>Franklin</v>
      </c>
      <c r="D38" s="290">
        <v>3952275.45</v>
      </c>
      <c r="E38" s="290">
        <v>414494.69</v>
      </c>
      <c r="F38" s="303">
        <f t="shared" si="2"/>
        <v>4366770.1400000006</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4616831.4800000004</v>
      </c>
      <c r="E43" s="339">
        <f>SUM(E37:E42)</f>
        <v>871753.41999999993</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Franklin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1277358.57</v>
      </c>
      <c r="D8" s="95">
        <f>'DOE25'!G9</f>
        <v>74787.94</v>
      </c>
      <c r="E8" s="95">
        <f>'DOE25'!H9</f>
        <v>0</v>
      </c>
      <c r="F8" s="95">
        <f>'DOE25'!I9</f>
        <v>0</v>
      </c>
      <c r="G8" s="95">
        <f>'DOE25'!J9</f>
        <v>0</v>
      </c>
      <c r="H8" s="124">
        <f>SUM(C8:G8)</f>
        <v>1352146.51</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664.23</v>
      </c>
      <c r="D11" s="95">
        <f>'DOE25'!G12</f>
        <v>0</v>
      </c>
      <c r="E11" s="95">
        <f>'DOE25'!H12</f>
        <v>0</v>
      </c>
      <c r="F11" s="95">
        <f>'DOE25'!I12</f>
        <v>0</v>
      </c>
      <c r="G11" s="95">
        <f>'DOE25'!J12</f>
        <v>0</v>
      </c>
      <c r="H11" s="124">
        <f t="shared" si="0"/>
        <v>664.23</v>
      </c>
      <c r="I11" s="124"/>
    </row>
    <row r="12" spans="1:9" x14ac:dyDescent="0.2">
      <c r="A12" s="1" t="s">
        <v>143</v>
      </c>
      <c r="B12" s="6">
        <v>140</v>
      </c>
      <c r="C12" s="95">
        <f>'DOE25'!F13</f>
        <v>268118.68</v>
      </c>
      <c r="D12" s="95">
        <f>'DOE25'!G13</f>
        <v>248499.56</v>
      </c>
      <c r="E12" s="95">
        <f>'DOE25'!H13</f>
        <v>653699.39</v>
      </c>
      <c r="F12" s="95">
        <f>'DOE25'!I13</f>
        <v>0</v>
      </c>
      <c r="G12" s="95">
        <f>'DOE25'!J13</f>
        <v>325503.45</v>
      </c>
      <c r="H12" s="124">
        <f t="shared" si="0"/>
        <v>1495821.0799999998</v>
      </c>
      <c r="I12" s="124"/>
    </row>
    <row r="13" spans="1:9" x14ac:dyDescent="0.2">
      <c r="A13" s="1" t="s">
        <v>144</v>
      </c>
      <c r="B13" s="6">
        <v>150</v>
      </c>
      <c r="C13" s="95">
        <f>'DOE25'!F14</f>
        <v>24788.49</v>
      </c>
      <c r="D13" s="95">
        <f>'DOE25'!G14</f>
        <v>0</v>
      </c>
      <c r="E13" s="95">
        <f>'DOE25'!H14</f>
        <v>0</v>
      </c>
      <c r="F13" s="95">
        <f>'DOE25'!I14</f>
        <v>0</v>
      </c>
      <c r="G13" s="95">
        <f>'DOE25'!J14</f>
        <v>0</v>
      </c>
      <c r="H13" s="124">
        <f t="shared" si="0"/>
        <v>24788.49</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23909.86</v>
      </c>
      <c r="E15" s="95">
        <f>'DOE25'!H16</f>
        <v>0</v>
      </c>
      <c r="F15" s="95">
        <f>'DOE25'!I16</f>
        <v>0</v>
      </c>
      <c r="G15" s="24" t="s">
        <v>288</v>
      </c>
      <c r="H15" s="124">
        <f t="shared" si="0"/>
        <v>23909.86</v>
      </c>
      <c r="I15" s="124"/>
    </row>
    <row r="16" spans="1:9" x14ac:dyDescent="0.2">
      <c r="A16" s="1" t="s">
        <v>147</v>
      </c>
      <c r="B16" s="6">
        <v>180</v>
      </c>
      <c r="C16" s="95">
        <f>'DOE25'!F17</f>
        <v>18711.73</v>
      </c>
      <c r="D16" s="95">
        <f>'DOE25'!G17</f>
        <v>2187.87</v>
      </c>
      <c r="E16" s="95">
        <f>'DOE25'!H17</f>
        <v>0</v>
      </c>
      <c r="F16" s="95">
        <f>'DOE25'!I17</f>
        <v>0</v>
      </c>
      <c r="G16" s="95">
        <f>'DOE25'!J17</f>
        <v>0</v>
      </c>
      <c r="H16" s="124">
        <f t="shared" si="0"/>
        <v>20899.599999999999</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1589641.7</v>
      </c>
      <c r="D18" s="41">
        <f>SUM(D8:D17)</f>
        <v>349385.23</v>
      </c>
      <c r="E18" s="41">
        <f>SUM(E8:E17)</f>
        <v>653699.39</v>
      </c>
      <c r="F18" s="41">
        <f>SUM(F8:F17)</f>
        <v>0</v>
      </c>
      <c r="G18" s="41">
        <f>SUM(G8:G17)</f>
        <v>325503.45</v>
      </c>
      <c r="H18" s="41">
        <f t="shared" si="0"/>
        <v>2918229.77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-483510.45</v>
      </c>
      <c r="D21" s="95">
        <f>'DOE25'!G22</f>
        <v>91337.42</v>
      </c>
      <c r="E21" s="95">
        <f>'DOE25'!H22</f>
        <v>392292.06000000006</v>
      </c>
      <c r="F21" s="95">
        <f>'DOE25'!I22</f>
        <v>0</v>
      </c>
      <c r="G21" s="95">
        <f>'DOE25'!J22</f>
        <v>0</v>
      </c>
      <c r="H21" s="124">
        <f t="shared" ref="H21:H31" si="1">SUM(C21:G21)</f>
        <v>119.03000000002794</v>
      </c>
      <c r="I21" s="124"/>
    </row>
    <row r="22" spans="1:9" x14ac:dyDescent="0.2">
      <c r="A22" s="1" t="s">
        <v>151</v>
      </c>
      <c r="B22" s="6">
        <v>410</v>
      </c>
      <c r="C22" s="95">
        <f>'DOE25'!F23</f>
        <v>-18.39</v>
      </c>
      <c r="D22" s="95">
        <f>'DOE25'!G23</f>
        <v>0</v>
      </c>
      <c r="E22" s="95">
        <f>'DOE25'!H23</f>
        <v>0</v>
      </c>
      <c r="F22" s="95">
        <f>'DOE25'!I23</f>
        <v>0</v>
      </c>
      <c r="G22" s="95">
        <f>'DOE25'!J23</f>
        <v>0</v>
      </c>
      <c r="H22" s="124">
        <f t="shared" si="1"/>
        <v>-18.39</v>
      </c>
      <c r="I22" s="124"/>
    </row>
    <row r="23" spans="1:9" x14ac:dyDescent="0.2">
      <c r="A23" s="1" t="s">
        <v>152</v>
      </c>
      <c r="B23" s="6">
        <v>420</v>
      </c>
      <c r="C23" s="95">
        <f>'DOE25'!F24</f>
        <v>324282.65000000002</v>
      </c>
      <c r="D23" s="95">
        <f>'DOE25'!G24</f>
        <v>14761.16</v>
      </c>
      <c r="E23" s="95">
        <f>'DOE25'!H24</f>
        <v>66146.400000000009</v>
      </c>
      <c r="F23" s="95">
        <f>'DOE25'!I24</f>
        <v>0</v>
      </c>
      <c r="G23" s="95">
        <f>'DOE25'!J24</f>
        <v>0</v>
      </c>
      <c r="H23" s="124">
        <f t="shared" si="1"/>
        <v>405190.21</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-287.81</v>
      </c>
      <c r="D27" s="95">
        <f>'DOE25'!G28</f>
        <v>0</v>
      </c>
      <c r="E27" s="95">
        <f>'DOE25'!H28</f>
        <v>0</v>
      </c>
      <c r="F27" s="95">
        <f>'DOE25'!I28</f>
        <v>0</v>
      </c>
      <c r="G27" s="24" t="s">
        <v>288</v>
      </c>
      <c r="H27" s="124">
        <f t="shared" si="1"/>
        <v>-287.81</v>
      </c>
      <c r="I27" s="124"/>
    </row>
    <row r="28" spans="1:9" x14ac:dyDescent="0.2">
      <c r="A28" s="1" t="s">
        <v>157</v>
      </c>
      <c r="B28" s="6">
        <v>470</v>
      </c>
      <c r="C28" s="95">
        <f>'DOE25'!F29</f>
        <v>-1102.05</v>
      </c>
      <c r="D28" s="95">
        <f>'DOE25'!G29</f>
        <v>0</v>
      </c>
      <c r="E28" s="95">
        <f>'DOE25'!H29</f>
        <v>0</v>
      </c>
      <c r="F28" s="95">
        <f>'DOE25'!I29</f>
        <v>0</v>
      </c>
      <c r="G28" s="24" t="s">
        <v>288</v>
      </c>
      <c r="H28" s="124">
        <f t="shared" si="1"/>
        <v>-1102.05</v>
      </c>
      <c r="I28" s="124"/>
    </row>
    <row r="29" spans="1:9" x14ac:dyDescent="0.2">
      <c r="A29" s="1" t="s">
        <v>158</v>
      </c>
      <c r="B29" s="6">
        <v>480</v>
      </c>
      <c r="C29" s="95">
        <f>'DOE25'!F30</f>
        <v>22701.200000000001</v>
      </c>
      <c r="D29" s="95">
        <f>'DOE25'!G30</f>
        <v>8210.7900000000009</v>
      </c>
      <c r="E29" s="95">
        <f>'DOE25'!H30</f>
        <v>96262.24</v>
      </c>
      <c r="F29" s="95">
        <f>'DOE25'!I30</f>
        <v>0</v>
      </c>
      <c r="G29" s="24" t="s">
        <v>288</v>
      </c>
      <c r="H29" s="124">
        <f t="shared" si="1"/>
        <v>127174.23000000001</v>
      </c>
      <c r="I29" s="124"/>
    </row>
    <row r="30" spans="1:9" ht="12" thickBot="1" x14ac:dyDescent="0.25">
      <c r="A30" s="1" t="s">
        <v>159</v>
      </c>
      <c r="B30" s="71">
        <v>490</v>
      </c>
      <c r="C30" s="95">
        <f>'DOE25'!F31</f>
        <v>0</v>
      </c>
      <c r="D30" s="95">
        <f>'DOE25'!G31</f>
        <v>59958.400000000001</v>
      </c>
      <c r="E30" s="95">
        <f>'DOE25'!H31</f>
        <v>0</v>
      </c>
      <c r="F30" s="95">
        <f>'DOE25'!I31</f>
        <v>0</v>
      </c>
      <c r="G30" s="95">
        <f>'DOE25'!J31</f>
        <v>0</v>
      </c>
      <c r="H30" s="124">
        <f t="shared" si="1"/>
        <v>59958.400000000001</v>
      </c>
      <c r="I30" s="124"/>
    </row>
    <row r="31" spans="1:9" ht="12" thickTop="1" x14ac:dyDescent="0.2">
      <c r="A31" s="38" t="s">
        <v>160</v>
      </c>
      <c r="B31" s="2"/>
      <c r="C31" s="41">
        <f>SUM(C21:C30)</f>
        <v>-137934.84999999998</v>
      </c>
      <c r="D31" s="41">
        <f>SUM(D21:D30)</f>
        <v>174267.77</v>
      </c>
      <c r="E31" s="41">
        <f>SUM(E21:E30)</f>
        <v>554700.70000000007</v>
      </c>
      <c r="F31" s="41">
        <f>SUM(F21:F30)</f>
        <v>0</v>
      </c>
      <c r="G31" s="41">
        <f>SUM(G21:G30)</f>
        <v>0</v>
      </c>
      <c r="H31" s="41">
        <f t="shared" si="1"/>
        <v>591033.62000000011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175117.46</v>
      </c>
      <c r="E39" s="24" t="s">
        <v>288</v>
      </c>
      <c r="F39" s="24" t="s">
        <v>288</v>
      </c>
      <c r="G39" s="24" t="s">
        <v>288</v>
      </c>
      <c r="H39" s="124">
        <f t="shared" si="2"/>
        <v>175117.46</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1281869.58</v>
      </c>
      <c r="D47" s="95">
        <f>'DOE25'!G48</f>
        <v>0</v>
      </c>
      <c r="E47" s="95">
        <f>'DOE25'!H48</f>
        <v>98998.689999999944</v>
      </c>
      <c r="F47" s="95">
        <f>'DOE25'!I48</f>
        <v>0</v>
      </c>
      <c r="G47" s="95">
        <f>'DOE25'!J48</f>
        <v>325503.45</v>
      </c>
      <c r="H47" s="124">
        <f t="shared" si="2"/>
        <v>1706371.72</v>
      </c>
      <c r="I47" s="124"/>
    </row>
    <row r="48" spans="1:9" x14ac:dyDescent="0.2">
      <c r="A48" s="1" t="s">
        <v>882</v>
      </c>
      <c r="B48" s="6">
        <v>753</v>
      </c>
      <c r="C48" s="95">
        <f>'DOE25'!F49</f>
        <v>445706.97</v>
      </c>
      <c r="D48" s="95">
        <f>'DOE25'!G49</f>
        <v>0</v>
      </c>
      <c r="E48" s="95">
        <f>'DOE25'!H49</f>
        <v>0</v>
      </c>
      <c r="F48" s="95">
        <f>'DOE25'!I49</f>
        <v>0</v>
      </c>
      <c r="G48" s="95">
        <f>'DOE25'!J49</f>
        <v>0</v>
      </c>
      <c r="H48" s="124">
        <f t="shared" si="2"/>
        <v>445706.97</v>
      </c>
      <c r="I48" s="124"/>
    </row>
    <row r="49" spans="1:9" ht="12" thickBot="1" x14ac:dyDescent="0.25">
      <c r="A49" s="29" t="s">
        <v>883</v>
      </c>
      <c r="B49" s="71">
        <v>770</v>
      </c>
      <c r="C49" s="95">
        <f>'DOE25'!F50</f>
        <v>0</v>
      </c>
      <c r="D49" s="24" t="s">
        <v>288</v>
      </c>
      <c r="E49" s="24" t="s">
        <v>288</v>
      </c>
      <c r="F49" s="24" t="s">
        <v>288</v>
      </c>
      <c r="G49" s="24" t="s">
        <v>288</v>
      </c>
      <c r="H49" s="124">
        <f t="shared" si="2"/>
        <v>0</v>
      </c>
      <c r="I49" s="124"/>
    </row>
    <row r="50" spans="1:9" ht="12.75" thickTop="1" thickBot="1" x14ac:dyDescent="0.25">
      <c r="A50" s="38" t="s">
        <v>884</v>
      </c>
      <c r="B50" s="48"/>
      <c r="C50" s="41">
        <f>SUM(C34:C49)</f>
        <v>1727576.55</v>
      </c>
      <c r="D50" s="41">
        <f>SUM(D34:D49)</f>
        <v>175117.46</v>
      </c>
      <c r="E50" s="41">
        <f>SUM(E34:E49)</f>
        <v>98998.689999999944</v>
      </c>
      <c r="F50" s="41">
        <f>SUM(F34:F49)</f>
        <v>0</v>
      </c>
      <c r="G50" s="41">
        <f>SUM(G34:G49)</f>
        <v>325503.45</v>
      </c>
      <c r="H50" s="41">
        <f t="shared" si="2"/>
        <v>2327196.15</v>
      </c>
      <c r="I50" s="124"/>
    </row>
    <row r="51" spans="1:9" ht="12" thickTop="1" x14ac:dyDescent="0.2">
      <c r="A51" s="38" t="s">
        <v>885</v>
      </c>
      <c r="B51" s="2"/>
      <c r="C51" s="41">
        <f>C50+C31</f>
        <v>1589641.7000000002</v>
      </c>
      <c r="D51" s="41">
        <f>D50+D31</f>
        <v>349385.23</v>
      </c>
      <c r="E51" s="41">
        <f>E50+E31</f>
        <v>653699.39</v>
      </c>
      <c r="F51" s="41">
        <f>F50+F31</f>
        <v>0</v>
      </c>
      <c r="G51" s="41">
        <f>G50+G31</f>
        <v>325503.45</v>
      </c>
      <c r="H51" s="41">
        <f t="shared" si="2"/>
        <v>2918229.7700000005</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4595004</v>
      </c>
      <c r="D56" s="95">
        <f>'DOE25'!G60</f>
        <v>0</v>
      </c>
      <c r="E56" s="95">
        <f>'DOE25'!H60</f>
        <v>0</v>
      </c>
      <c r="F56" s="95">
        <f>'DOE25'!I60</f>
        <v>0</v>
      </c>
      <c r="G56" s="95">
        <f>'DOE25'!J60</f>
        <v>0</v>
      </c>
      <c r="H56" s="124">
        <f t="shared" ref="H56:H63" si="3">SUM(C56:G56)</f>
        <v>4595004</v>
      </c>
      <c r="I56"/>
    </row>
    <row r="57" spans="1:9" x14ac:dyDescent="0.2">
      <c r="A57" s="1" t="s">
        <v>164</v>
      </c>
      <c r="B57" s="6" t="s">
        <v>165</v>
      </c>
      <c r="C57" s="95">
        <f>'DOE25'!F79</f>
        <v>17908.21</v>
      </c>
      <c r="D57" s="24" t="s">
        <v>288</v>
      </c>
      <c r="E57" s="95">
        <f>'DOE25'!H79</f>
        <v>0</v>
      </c>
      <c r="F57" s="24" t="s">
        <v>288</v>
      </c>
      <c r="G57" s="24" t="s">
        <v>288</v>
      </c>
      <c r="H57" s="124">
        <f t="shared" si="3"/>
        <v>17908.21</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2052.5</v>
      </c>
      <c r="D59" s="95">
        <f>'DOE25'!G96</f>
        <v>25.46</v>
      </c>
      <c r="E59" s="95">
        <f>'DOE25'!H96</f>
        <v>0</v>
      </c>
      <c r="F59" s="95">
        <f>'DOE25'!I96</f>
        <v>0</v>
      </c>
      <c r="G59" s="95">
        <f>'DOE25'!J96</f>
        <v>4105.45</v>
      </c>
      <c r="H59" s="124">
        <f t="shared" si="3"/>
        <v>6183.41</v>
      </c>
      <c r="I59"/>
    </row>
    <row r="60" spans="1:9" x14ac:dyDescent="0.2">
      <c r="A60" s="1" t="s">
        <v>170</v>
      </c>
      <c r="B60" s="118" t="s">
        <v>171</v>
      </c>
      <c r="C60" s="24" t="s">
        <v>288</v>
      </c>
      <c r="D60" s="95">
        <f>'DOE25'!G97</f>
        <v>11101.18</v>
      </c>
      <c r="E60" s="24" t="s">
        <v>288</v>
      </c>
      <c r="F60" s="24" t="s">
        <v>288</v>
      </c>
      <c r="G60" s="24" t="s">
        <v>288</v>
      </c>
      <c r="H60" s="124">
        <f t="shared" si="3"/>
        <v>11101.18</v>
      </c>
      <c r="I60"/>
    </row>
    <row r="61" spans="1:9" ht="12" thickBot="1" x14ac:dyDescent="0.25">
      <c r="A61" s="1" t="s">
        <v>172</v>
      </c>
      <c r="B61" s="118" t="s">
        <v>173</v>
      </c>
      <c r="C61" s="95">
        <f>SUM('DOE25'!F98:F110)</f>
        <v>173470.04</v>
      </c>
      <c r="D61" s="95">
        <f>SUM('DOE25'!G98:G110)</f>
        <v>0</v>
      </c>
      <c r="E61" s="95">
        <f>SUM('DOE25'!H98:H110)</f>
        <v>304138.32</v>
      </c>
      <c r="F61" s="95">
        <f>SUM('DOE25'!I98:I110)</f>
        <v>0</v>
      </c>
      <c r="G61" s="95">
        <f>SUM('DOE25'!J98:J110)</f>
        <v>0</v>
      </c>
      <c r="H61" s="124">
        <f t="shared" si="3"/>
        <v>477608.36</v>
      </c>
      <c r="I61"/>
    </row>
    <row r="62" spans="1:9" ht="12.75" thickTop="1" thickBot="1" x14ac:dyDescent="0.25">
      <c r="A62" s="29" t="s">
        <v>174</v>
      </c>
      <c r="B62" s="6"/>
      <c r="C62" s="130">
        <f>SUM(C57:C61)</f>
        <v>193430.75</v>
      </c>
      <c r="D62" s="130">
        <f>SUM(D57:D61)</f>
        <v>11126.64</v>
      </c>
      <c r="E62" s="130">
        <f>SUM(E57:E61)</f>
        <v>304138.32</v>
      </c>
      <c r="F62" s="130">
        <f>SUM(F57:F61)</f>
        <v>0</v>
      </c>
      <c r="G62" s="130">
        <f>SUM(G57:G61)</f>
        <v>4105.45</v>
      </c>
      <c r="H62" s="124">
        <f t="shared" si="3"/>
        <v>512801.16000000003</v>
      </c>
      <c r="I62"/>
    </row>
    <row r="63" spans="1:9" ht="12" thickTop="1" x14ac:dyDescent="0.2">
      <c r="A63" s="29" t="s">
        <v>175</v>
      </c>
      <c r="B63" s="6"/>
      <c r="C63" s="22">
        <f>C56+C62</f>
        <v>4788434.75</v>
      </c>
      <c r="D63" s="22">
        <f>D56+D62</f>
        <v>11126.64</v>
      </c>
      <c r="E63" s="22">
        <f>E56+E62</f>
        <v>304138.32</v>
      </c>
      <c r="F63" s="22">
        <f>F56+F62</f>
        <v>0</v>
      </c>
      <c r="G63" s="22">
        <f>G56+G62</f>
        <v>4105.45</v>
      </c>
      <c r="H63" s="124">
        <f t="shared" si="3"/>
        <v>5107805.16</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8269482.6600000001</v>
      </c>
      <c r="D66" s="24" t="s">
        <v>288</v>
      </c>
      <c r="E66" s="24" t="s">
        <v>288</v>
      </c>
      <c r="F66" s="24" t="s">
        <v>288</v>
      </c>
      <c r="G66" s="24" t="s">
        <v>288</v>
      </c>
      <c r="H66" s="124">
        <f t="shared" ref="H66:H81" si="4">SUM(C66:G66)</f>
        <v>8269482.6600000001</v>
      </c>
      <c r="I66"/>
    </row>
    <row r="67" spans="1:9" x14ac:dyDescent="0.2">
      <c r="A67" s="1" t="s">
        <v>770</v>
      </c>
      <c r="B67" s="6">
        <v>3112</v>
      </c>
      <c r="C67" s="95">
        <f>'DOE25'!F118</f>
        <v>1190971</v>
      </c>
      <c r="D67" s="24"/>
      <c r="E67" s="24"/>
      <c r="F67" s="24"/>
      <c r="G67" s="24"/>
      <c r="H67" s="124">
        <f t="shared" si="4"/>
        <v>1190971</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55296.05</v>
      </c>
      <c r="D69" s="95">
        <f>'DOE25'!G120</f>
        <v>0</v>
      </c>
      <c r="E69" s="95">
        <f>'DOE25'!H120</f>
        <v>0</v>
      </c>
      <c r="F69" s="95">
        <f>'DOE25'!I120</f>
        <v>0</v>
      </c>
      <c r="G69" s="95">
        <f>'DOE25'!J120</f>
        <v>0</v>
      </c>
      <c r="H69" s="124">
        <f t="shared" si="4"/>
        <v>55296.05</v>
      </c>
      <c r="I69"/>
    </row>
    <row r="70" spans="1:9" ht="12" thickTop="1" x14ac:dyDescent="0.2">
      <c r="A70" s="29" t="s">
        <v>252</v>
      </c>
      <c r="B70" s="2"/>
      <c r="C70" s="139">
        <f>SUM(C66:C69)</f>
        <v>9515749.7100000009</v>
      </c>
      <c r="D70" s="139">
        <f>D69</f>
        <v>0</v>
      </c>
      <c r="E70" s="139">
        <f>E69</f>
        <v>0</v>
      </c>
      <c r="F70" s="139">
        <f>F69</f>
        <v>0</v>
      </c>
      <c r="G70" s="139">
        <f>G69</f>
        <v>0</v>
      </c>
      <c r="H70" s="124">
        <f t="shared" si="4"/>
        <v>9515749.7100000009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81944.160000000003</v>
      </c>
      <c r="D72" s="24" t="s">
        <v>288</v>
      </c>
      <c r="E72" s="24" t="s">
        <v>288</v>
      </c>
      <c r="F72" s="95">
        <f>'DOE25'!I123</f>
        <v>0</v>
      </c>
      <c r="G72" s="24" t="s">
        <v>288</v>
      </c>
      <c r="H72" s="124">
        <f t="shared" si="4"/>
        <v>81944.160000000003</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191886.18</v>
      </c>
      <c r="D75" s="24" t="s">
        <v>288</v>
      </c>
      <c r="E75" s="24" t="s">
        <v>288</v>
      </c>
      <c r="F75" s="24" t="s">
        <v>288</v>
      </c>
      <c r="G75" s="24" t="s">
        <v>288</v>
      </c>
      <c r="H75" s="124">
        <f t="shared" si="4"/>
        <v>191886.18</v>
      </c>
      <c r="I75"/>
    </row>
    <row r="76" spans="1:9" x14ac:dyDescent="0.2">
      <c r="A76" s="1" t="s">
        <v>257</v>
      </c>
      <c r="B76" s="6" t="s">
        <v>179</v>
      </c>
      <c r="C76" s="95">
        <f>SUM('DOE25'!F127:F130)</f>
        <v>5181.8</v>
      </c>
      <c r="D76" s="24" t="s">
        <v>288</v>
      </c>
      <c r="E76" s="95">
        <f>SUM('DOE25'!H127:H130)</f>
        <v>19582.61</v>
      </c>
      <c r="F76" s="95">
        <f>SUM('DOE25'!I127:I130)</f>
        <v>0</v>
      </c>
      <c r="G76" s="24" t="s">
        <v>288</v>
      </c>
      <c r="H76" s="124">
        <f t="shared" si="4"/>
        <v>24764.41</v>
      </c>
      <c r="I76"/>
    </row>
    <row r="77" spans="1:9" ht="12" thickBot="1" x14ac:dyDescent="0.25">
      <c r="A77" s="1" t="s">
        <v>258</v>
      </c>
      <c r="B77" s="6" t="s">
        <v>180</v>
      </c>
      <c r="C77" s="95">
        <f>SUM('DOE25'!F131:F135)</f>
        <v>0</v>
      </c>
      <c r="D77" s="95">
        <f>SUM('DOE25'!G131:G135)</f>
        <v>14301.33</v>
      </c>
      <c r="E77" s="95">
        <f>SUM('DOE25'!H131:H135)</f>
        <v>66456.760000000009</v>
      </c>
      <c r="F77" s="95">
        <f>SUM('DOE25'!I131:I135)</f>
        <v>0</v>
      </c>
      <c r="G77" s="95">
        <f>SUM('DOE25'!J131:J135)</f>
        <v>0</v>
      </c>
      <c r="H77" s="124">
        <f t="shared" si="4"/>
        <v>80758.090000000011</v>
      </c>
      <c r="I77"/>
    </row>
    <row r="78" spans="1:9" ht="12.75" thickTop="1" thickBot="1" x14ac:dyDescent="0.25">
      <c r="A78" s="29" t="s">
        <v>259</v>
      </c>
      <c r="B78" s="6"/>
      <c r="C78" s="130">
        <f>SUM(C72:C77)</f>
        <v>279012.13999999996</v>
      </c>
      <c r="D78" s="130">
        <f>SUM(D72:D77)</f>
        <v>14301.33</v>
      </c>
      <c r="E78" s="130">
        <f>SUM(E72:E77)</f>
        <v>86039.37000000001</v>
      </c>
      <c r="F78" s="130">
        <f>SUM(F72:F77)</f>
        <v>0</v>
      </c>
      <c r="G78" s="130">
        <f>SUM(G72:G77)</f>
        <v>0</v>
      </c>
      <c r="H78" s="124">
        <f t="shared" si="4"/>
        <v>379352.83999999997</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9794761.8500000015</v>
      </c>
      <c r="D81" s="130">
        <f>SUM(D79:D80)+D78+D70</f>
        <v>14301.33</v>
      </c>
      <c r="E81" s="130">
        <f>SUM(E79:E80)+E78+E70</f>
        <v>86039.37000000001</v>
      </c>
      <c r="F81" s="130">
        <f>SUM(F79:F80)+F78+F70</f>
        <v>0</v>
      </c>
      <c r="G81" s="130">
        <f>SUM(G79:G80)+G78+G70</f>
        <v>0</v>
      </c>
      <c r="H81" s="130">
        <f t="shared" si="4"/>
        <v>9895102.5500000007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149347.64000000001</v>
      </c>
      <c r="D88" s="326">
        <f>SUM('DOE25'!G153:G162)</f>
        <v>954885.07000000007</v>
      </c>
      <c r="E88" s="326">
        <f>SUM('DOE25'!H153:H162)</f>
        <v>3046581.05</v>
      </c>
      <c r="F88" s="326">
        <f>SUM('DOE25'!I153:I162)</f>
        <v>0</v>
      </c>
      <c r="G88" s="24" t="s">
        <v>288</v>
      </c>
      <c r="H88" s="124">
        <f t="shared" si="5"/>
        <v>4150813.76</v>
      </c>
    </row>
    <row r="89" spans="1:9" x14ac:dyDescent="0.2">
      <c r="A89" t="s">
        <v>748</v>
      </c>
      <c r="B89" s="32" t="s">
        <v>185</v>
      </c>
      <c r="C89" s="95">
        <f>'DOE25'!F164+'DOE25'!F167+'DOE25'!F169</f>
        <v>30632.51</v>
      </c>
      <c r="D89" s="95">
        <f>'DOE25'!G164+'DOE25'!G169</f>
        <v>0</v>
      </c>
      <c r="E89" s="95">
        <f>'DOE25'!H164+'DOE25'!H169</f>
        <v>0</v>
      </c>
      <c r="F89" s="95">
        <f>'DOE25'!I164</f>
        <v>0</v>
      </c>
      <c r="G89" s="24" t="s">
        <v>288</v>
      </c>
      <c r="H89" s="124">
        <f t="shared" si="5"/>
        <v>30632.51</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179980.15000000002</v>
      </c>
      <c r="D91" s="131">
        <f>SUM(D85:D90)</f>
        <v>954885.07000000007</v>
      </c>
      <c r="E91" s="131">
        <f>SUM(E85:E90)</f>
        <v>3046581.05</v>
      </c>
      <c r="F91" s="131">
        <f>SUM(F85:F90)</f>
        <v>0</v>
      </c>
      <c r="G91" s="24" t="s">
        <v>288</v>
      </c>
      <c r="H91" s="124">
        <f t="shared" si="5"/>
        <v>4181446.27</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93554.64</v>
      </c>
      <c r="D97" s="95">
        <f>SUM('DOE25'!G181:G182)</f>
        <v>0</v>
      </c>
      <c r="E97" s="95">
        <f>SUM('DOE25'!H181:H182)</f>
        <v>0</v>
      </c>
      <c r="F97" s="95">
        <f>SUM('DOE25'!I181:I182)</f>
        <v>0</v>
      </c>
      <c r="G97" s="95">
        <f>SUM('DOE25'!J181:J182)</f>
        <v>0</v>
      </c>
      <c r="H97" s="124">
        <f t="shared" si="5"/>
        <v>93554.64</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93554.64</v>
      </c>
      <c r="D103" s="86">
        <f>SUM(D93:D102)</f>
        <v>0</v>
      </c>
      <c r="E103" s="86">
        <f>SUM(E93:E102)</f>
        <v>0</v>
      </c>
      <c r="F103" s="86">
        <f>SUM(F93:F102)</f>
        <v>0</v>
      </c>
      <c r="G103" s="86">
        <f>SUM(G93:G102)</f>
        <v>0</v>
      </c>
      <c r="H103" s="86">
        <f t="shared" si="5"/>
        <v>93554.64</v>
      </c>
    </row>
    <row r="104" spans="1:8" ht="12.75" thickTop="1" thickBot="1" x14ac:dyDescent="0.25">
      <c r="A104" s="33" t="s">
        <v>761</v>
      </c>
      <c r="C104" s="86">
        <f>C63+C81+C91+C103</f>
        <v>14856731.390000002</v>
      </c>
      <c r="D104" s="86">
        <f>D63+D81+D91+D103</f>
        <v>980313.04</v>
      </c>
      <c r="E104" s="86">
        <f>E63+E81+E91+E103</f>
        <v>3436758.7399999998</v>
      </c>
      <c r="F104" s="86">
        <f>F63+F81+F91+F103</f>
        <v>0</v>
      </c>
      <c r="G104" s="86">
        <f>G63+G81+G103</f>
        <v>4105.45</v>
      </c>
      <c r="H104" s="86">
        <f t="shared" si="5"/>
        <v>19277908.620000001</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5145613.37</v>
      </c>
      <c r="D109" s="24" t="s">
        <v>288</v>
      </c>
      <c r="E109" s="95">
        <f>('DOE25'!L277)+('DOE25'!L296)+('DOE25'!L315)</f>
        <v>958455.72999999986</v>
      </c>
      <c r="F109" s="24" t="s">
        <v>288</v>
      </c>
      <c r="G109" s="24" t="s">
        <v>288</v>
      </c>
      <c r="H109" s="124">
        <f t="shared" ref="H109:H115" si="6">SUM(C109:G109)</f>
        <v>6104069.0999999996</v>
      </c>
    </row>
    <row r="110" spans="1:8" x14ac:dyDescent="0.2">
      <c r="A110" t="s">
        <v>198</v>
      </c>
      <c r="B110" s="32" t="s">
        <v>199</v>
      </c>
      <c r="C110" s="95">
        <f>('DOE25'!L199)+('DOE25'!L217)+('DOE25'!L235)</f>
        <v>3000174.6900000004</v>
      </c>
      <c r="D110" s="24" t="s">
        <v>288</v>
      </c>
      <c r="E110" s="95">
        <f>('DOE25'!L278)+('DOE25'!L297)+('DOE25'!L316)</f>
        <v>629450.23999999999</v>
      </c>
      <c r="F110" s="24" t="s">
        <v>288</v>
      </c>
      <c r="G110" s="24" t="s">
        <v>288</v>
      </c>
      <c r="H110" s="124">
        <f t="shared" si="6"/>
        <v>3629624.9300000006</v>
      </c>
    </row>
    <row r="111" spans="1:8" x14ac:dyDescent="0.2">
      <c r="A111" t="s">
        <v>200</v>
      </c>
      <c r="B111" s="32" t="s">
        <v>165</v>
      </c>
      <c r="C111" s="95">
        <f>('DOE25'!L200)+('DOE25'!L218)+('DOE25'!L236)</f>
        <v>60349.94</v>
      </c>
      <c r="D111" s="24" t="s">
        <v>288</v>
      </c>
      <c r="E111" s="95">
        <f>('DOE25'!L279)+('DOE25'!L298)+('DOE25'!L317)</f>
        <v>0</v>
      </c>
      <c r="F111" s="24" t="s">
        <v>288</v>
      </c>
      <c r="G111" s="24" t="s">
        <v>288</v>
      </c>
      <c r="H111" s="124">
        <f t="shared" si="6"/>
        <v>60349.94</v>
      </c>
    </row>
    <row r="112" spans="1:8" x14ac:dyDescent="0.2">
      <c r="A112" t="s">
        <v>201</v>
      </c>
      <c r="B112" s="32" t="s">
        <v>167</v>
      </c>
      <c r="C112" s="95">
        <f>('DOE25'!L201)+('DOE25'!L219)+('DOE25'!L237)</f>
        <v>246668.02000000002</v>
      </c>
      <c r="D112" s="24" t="s">
        <v>288</v>
      </c>
      <c r="E112" s="95">
        <f>+('DOE25'!L280)+('DOE25'!L299)+('DOE25'!L318)</f>
        <v>130821.99</v>
      </c>
      <c r="F112" s="24" t="s">
        <v>288</v>
      </c>
      <c r="G112" s="24" t="s">
        <v>288</v>
      </c>
      <c r="H112" s="124">
        <f t="shared" si="6"/>
        <v>377490.01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17235.189999999999</v>
      </c>
      <c r="D114" s="24" t="s">
        <v>288</v>
      </c>
      <c r="E114" s="95">
        <f>+ SUM('DOE25'!L334:L336)</f>
        <v>40833.64</v>
      </c>
      <c r="F114" s="24" t="s">
        <v>288</v>
      </c>
      <c r="G114" s="24" t="s">
        <v>288</v>
      </c>
      <c r="H114" s="124">
        <f t="shared" si="6"/>
        <v>58068.83</v>
      </c>
    </row>
    <row r="115" spans="1:8" ht="12.75" thickTop="1" thickBot="1" x14ac:dyDescent="0.25">
      <c r="A115" s="33" t="s">
        <v>205</v>
      </c>
      <c r="C115" s="86">
        <f>SUM(C109:C114)</f>
        <v>8470041.2100000009</v>
      </c>
      <c r="D115" s="86">
        <f>SUM(D109:D114)</f>
        <v>0</v>
      </c>
      <c r="E115" s="86">
        <f>SUM(E109:E114)</f>
        <v>1759561.5999999996</v>
      </c>
      <c r="F115" s="86">
        <f>SUM(F109:F114)</f>
        <v>0</v>
      </c>
      <c r="G115" s="86">
        <f>SUM(G109:G114)</f>
        <v>0</v>
      </c>
      <c r="H115" s="86">
        <f t="shared" si="6"/>
        <v>10229602.810000001</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1591450.58</v>
      </c>
      <c r="D118" s="24" t="s">
        <v>288</v>
      </c>
      <c r="E118" s="95">
        <f>+('DOE25'!L282)+('DOE25'!L301)+('DOE25'!L320)</f>
        <v>609805.66</v>
      </c>
      <c r="F118" s="24" t="s">
        <v>288</v>
      </c>
      <c r="G118" s="24" t="s">
        <v>288</v>
      </c>
      <c r="H118" s="124">
        <f t="shared" ref="H118:H145" si="7">SUM(C118:G118)</f>
        <v>2201256.2400000002</v>
      </c>
    </row>
    <row r="119" spans="1:8" x14ac:dyDescent="0.2">
      <c r="A119" t="s">
        <v>208</v>
      </c>
      <c r="B119" s="32" t="s">
        <v>209</v>
      </c>
      <c r="C119" s="95">
        <f>('DOE25'!L204)+('DOE25'!L222)+('DOE25'!L240)</f>
        <v>273941.95999999996</v>
      </c>
      <c r="D119" s="24" t="s">
        <v>288</v>
      </c>
      <c r="E119" s="95">
        <f>+('DOE25'!L283)+('DOE25'!L302)+('DOE25'!L321)</f>
        <v>660369.08000000007</v>
      </c>
      <c r="F119" s="24" t="s">
        <v>288</v>
      </c>
      <c r="G119" s="24" t="s">
        <v>288</v>
      </c>
      <c r="H119" s="124">
        <f t="shared" si="7"/>
        <v>934311.04</v>
      </c>
    </row>
    <row r="120" spans="1:8" x14ac:dyDescent="0.2">
      <c r="A120" t="s">
        <v>210</v>
      </c>
      <c r="B120" s="32" t="s">
        <v>211</v>
      </c>
      <c r="C120" s="95">
        <f>('DOE25'!L205)+('DOE25'!L223)+('DOE25'!L241)</f>
        <v>364464.89</v>
      </c>
      <c r="D120" s="24" t="s">
        <v>288</v>
      </c>
      <c r="E120" s="95">
        <f>+('DOE25'!L284)+('DOE25'!L303)+('DOE25'!L322)</f>
        <v>219064.68999999997</v>
      </c>
      <c r="F120" s="24" t="s">
        <v>288</v>
      </c>
      <c r="G120" s="24" t="s">
        <v>288</v>
      </c>
      <c r="H120" s="124">
        <f t="shared" si="7"/>
        <v>583529.57999999996</v>
      </c>
    </row>
    <row r="121" spans="1:8" x14ac:dyDescent="0.2">
      <c r="A121" t="s">
        <v>212</v>
      </c>
      <c r="B121" s="32" t="s">
        <v>213</v>
      </c>
      <c r="C121" s="95">
        <f>('DOE25'!L206)+('DOE25'!L224)+('DOE25'!L242)</f>
        <v>1009066.9899999999</v>
      </c>
      <c r="D121" s="24" t="s">
        <v>288</v>
      </c>
      <c r="E121" s="95">
        <f>+('DOE25'!L285)+('DOE25'!L304)+('DOE25'!L323)</f>
        <v>0</v>
      </c>
      <c r="F121" s="24" t="s">
        <v>288</v>
      </c>
      <c r="G121" s="24" t="s">
        <v>288</v>
      </c>
      <c r="H121" s="124">
        <f t="shared" si="7"/>
        <v>1009066.9899999999</v>
      </c>
    </row>
    <row r="122" spans="1:8" x14ac:dyDescent="0.2">
      <c r="A122" t="s">
        <v>214</v>
      </c>
      <c r="B122" s="32" t="s">
        <v>215</v>
      </c>
      <c r="C122" s="95">
        <f>('DOE25'!L207)+('DOE25'!L225)+('DOE25'!L243)</f>
        <v>304081.71999999997</v>
      </c>
      <c r="D122" s="24" t="s">
        <v>288</v>
      </c>
      <c r="E122" s="95">
        <f>+('DOE25'!L286)+('DOE25'!L305)+('DOE25'!L324)</f>
        <v>0</v>
      </c>
      <c r="F122" s="24" t="s">
        <v>288</v>
      </c>
      <c r="G122" s="24" t="s">
        <v>288</v>
      </c>
      <c r="H122" s="124">
        <f t="shared" si="7"/>
        <v>304081.71999999997</v>
      </c>
    </row>
    <row r="123" spans="1:8" x14ac:dyDescent="0.2">
      <c r="A123" t="s">
        <v>216</v>
      </c>
      <c r="B123" s="32" t="s">
        <v>217</v>
      </c>
      <c r="C123" s="95">
        <f>('DOE25'!L208)+('DOE25'!L226)+('DOE25'!L244)</f>
        <v>1330649.08</v>
      </c>
      <c r="D123" s="24" t="s">
        <v>288</v>
      </c>
      <c r="E123" s="95">
        <f>+('DOE25'!L287)+('DOE25'!L306)+('DOE25'!L325)</f>
        <v>94466.290000000008</v>
      </c>
      <c r="F123" s="24" t="s">
        <v>288</v>
      </c>
      <c r="G123" s="24" t="s">
        <v>288</v>
      </c>
      <c r="H123" s="124">
        <f t="shared" si="7"/>
        <v>1425115.37</v>
      </c>
    </row>
    <row r="124" spans="1:8" x14ac:dyDescent="0.2">
      <c r="A124" t="s">
        <v>218</v>
      </c>
      <c r="B124" s="32" t="s">
        <v>219</v>
      </c>
      <c r="C124" s="95">
        <f>('DOE25'!L209)+('DOE25'!L227)+('DOE25'!L245+'DOE25'!L255)</f>
        <v>743895.1100000001</v>
      </c>
      <c r="D124" s="24" t="s">
        <v>288</v>
      </c>
      <c r="E124" s="95">
        <f>+('DOE25'!L288)+('DOE25'!L307)+('DOE25'!L326)</f>
        <v>13603.64</v>
      </c>
      <c r="F124" s="24" t="s">
        <v>288</v>
      </c>
      <c r="G124" s="24" t="s">
        <v>288</v>
      </c>
      <c r="H124" s="124">
        <f t="shared" si="7"/>
        <v>757498.75000000012</v>
      </c>
    </row>
    <row r="125" spans="1:8" x14ac:dyDescent="0.2">
      <c r="A125" t="s">
        <v>220</v>
      </c>
      <c r="B125" s="32" t="s">
        <v>221</v>
      </c>
      <c r="C125" s="95">
        <f>('DOE25'!L210)+('DOE25'!L228)+('DOE25'!L246)</f>
        <v>252265.41999999998</v>
      </c>
      <c r="D125" s="24" t="s">
        <v>288</v>
      </c>
      <c r="E125" s="95">
        <f>+('DOE25'!L289)+('DOE25'!L308)+('DOE25'!L327)</f>
        <v>2304.11</v>
      </c>
      <c r="F125" s="24" t="s">
        <v>288</v>
      </c>
      <c r="G125" s="24" t="s">
        <v>288</v>
      </c>
      <c r="H125" s="124">
        <f t="shared" si="7"/>
        <v>254569.52999999997</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805195.57542000012</v>
      </c>
      <c r="E127" s="24" t="s">
        <v>288</v>
      </c>
      <c r="F127" s="24" t="s">
        <v>288</v>
      </c>
      <c r="G127" s="24" t="s">
        <v>288</v>
      </c>
      <c r="H127" s="124">
        <f t="shared" si="7"/>
        <v>805195.57542000012</v>
      </c>
    </row>
    <row r="128" spans="1:8" ht="12.75" thickTop="1" thickBot="1" x14ac:dyDescent="0.25">
      <c r="A128" s="33" t="s">
        <v>226</v>
      </c>
      <c r="C128" s="86">
        <f>SUM(C118:C127)</f>
        <v>5869815.75</v>
      </c>
      <c r="D128" s="86">
        <f>SUM(D118:D127)</f>
        <v>805195.57542000012</v>
      </c>
      <c r="E128" s="86">
        <f>SUM(E118:E127)</f>
        <v>1599613.4700000002</v>
      </c>
      <c r="F128" s="86">
        <f>SUM(F118:F127)</f>
        <v>0</v>
      </c>
      <c r="G128" s="86">
        <f>SUM(G118:G127)</f>
        <v>0</v>
      </c>
      <c r="H128" s="86">
        <f t="shared" si="7"/>
        <v>8274624.7954200003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219730.67</v>
      </c>
      <c r="D131" s="24" t="s">
        <v>288</v>
      </c>
      <c r="E131" s="129">
        <f>'DOE25'!L342</f>
        <v>0</v>
      </c>
      <c r="F131" s="24" t="s">
        <v>288</v>
      </c>
      <c r="G131" s="24" t="s">
        <v>288</v>
      </c>
      <c r="H131" s="124">
        <f t="shared" si="7"/>
        <v>219730.67</v>
      </c>
    </row>
    <row r="132" spans="1:8" x14ac:dyDescent="0.2">
      <c r="A132" t="s">
        <v>230</v>
      </c>
      <c r="B132" s="32">
        <v>5120</v>
      </c>
      <c r="C132" s="95">
        <f>'DOE25'!L262</f>
        <v>92838.03</v>
      </c>
      <c r="D132" s="24" t="s">
        <v>288</v>
      </c>
      <c r="E132" s="129">
        <f>'DOE25'!L343</f>
        <v>0</v>
      </c>
      <c r="F132" s="24" t="s">
        <v>288</v>
      </c>
      <c r="G132" s="24" t="s">
        <v>288</v>
      </c>
      <c r="H132" s="124">
        <f t="shared" si="7"/>
        <v>92838.03</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93554.64</v>
      </c>
      <c r="F134" s="95">
        <f>'DOE25'!K382</f>
        <v>0</v>
      </c>
      <c r="G134" s="95">
        <f>'DOE25'!K435</f>
        <v>0</v>
      </c>
      <c r="H134" s="124">
        <f t="shared" si="7"/>
        <v>93554.64</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4105.45</v>
      </c>
      <c r="D139" s="24" t="s">
        <v>288</v>
      </c>
      <c r="E139" s="24" t="s">
        <v>288</v>
      </c>
      <c r="F139" s="24" t="s">
        <v>288</v>
      </c>
      <c r="G139" s="24" t="s">
        <v>288</v>
      </c>
      <c r="H139" s="124">
        <f t="shared" si="7"/>
        <v>4105.45</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-4105.45</v>
      </c>
      <c r="D141" s="24" t="s">
        <v>288</v>
      </c>
      <c r="E141" s="24" t="s">
        <v>288</v>
      </c>
      <c r="F141" s="24" t="s">
        <v>288</v>
      </c>
      <c r="G141" s="24" t="s">
        <v>288</v>
      </c>
      <c r="H141" s="124">
        <f t="shared" si="7"/>
        <v>-4105.45</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312568.7</v>
      </c>
      <c r="D144" s="141">
        <f>SUM(D130:D143)</f>
        <v>0</v>
      </c>
      <c r="E144" s="141">
        <f>SUM(E130:E143)</f>
        <v>93554.64</v>
      </c>
      <c r="F144" s="141">
        <f>SUM(F130:F143)</f>
        <v>0</v>
      </c>
      <c r="G144" s="141">
        <f>SUM(G130:G143)</f>
        <v>0</v>
      </c>
      <c r="H144" s="141">
        <f t="shared" si="7"/>
        <v>406123.34</v>
      </c>
    </row>
    <row r="145" spans="1:9" ht="12.75" thickTop="1" thickBot="1" x14ac:dyDescent="0.25">
      <c r="A145" s="33" t="s">
        <v>244</v>
      </c>
      <c r="C145" s="86">
        <f>(C115+C128+C144)</f>
        <v>14652425.66</v>
      </c>
      <c r="D145" s="86">
        <f>(D115+D128+D144)</f>
        <v>805195.57542000012</v>
      </c>
      <c r="E145" s="86">
        <f>(E115+E128+E144)</f>
        <v>3452729.71</v>
      </c>
      <c r="F145" s="86">
        <f>(F115+F128+F144)</f>
        <v>0</v>
      </c>
      <c r="G145" s="86">
        <f>(G115+G128+G144)</f>
        <v>0</v>
      </c>
      <c r="H145" s="86">
        <f t="shared" si="7"/>
        <v>18910350.945420001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0</v>
      </c>
      <c r="E151" s="153">
        <f>'DOE25'!I491</f>
        <v>0</v>
      </c>
      <c r="F151" s="153">
        <f>'DOE25'!J491</f>
        <v>0</v>
      </c>
      <c r="G151" s="24" t="s">
        <v>288</v>
      </c>
    </row>
    <row r="152" spans="1:9" x14ac:dyDescent="0.2">
      <c r="A152" s="136" t="s">
        <v>28</v>
      </c>
      <c r="B152" s="152" t="str">
        <f>'DOE25'!F492</f>
        <v>05/06</v>
      </c>
      <c r="C152" s="152" t="str">
        <f>'DOE25'!G492</f>
        <v>08/19</v>
      </c>
      <c r="D152" s="152">
        <f>'DOE25'!H492</f>
        <v>0</v>
      </c>
      <c r="E152" s="152">
        <f>'DOE25'!I492</f>
        <v>0</v>
      </c>
      <c r="F152" s="152">
        <f>'DOE25'!J492</f>
        <v>0</v>
      </c>
      <c r="G152" s="24" t="s">
        <v>288</v>
      </c>
    </row>
    <row r="153" spans="1:9" x14ac:dyDescent="0.2">
      <c r="A153" s="136" t="s">
        <v>29</v>
      </c>
      <c r="B153" s="152" t="str">
        <f>'DOE25'!F493</f>
        <v>05/26</v>
      </c>
      <c r="C153" s="152" t="str">
        <f>'DOE25'!G493</f>
        <v>08/39</v>
      </c>
      <c r="D153" s="152">
        <f>'DOE25'!H493</f>
        <v>0</v>
      </c>
      <c r="E153" s="152">
        <f>'DOE25'!I493</f>
        <v>0</v>
      </c>
      <c r="F153" s="152">
        <f>'DOE25'!J493</f>
        <v>0</v>
      </c>
      <c r="G153" s="24" t="s">
        <v>288</v>
      </c>
    </row>
    <row r="154" spans="1:9" x14ac:dyDescent="0.2">
      <c r="A154" s="136" t="s">
        <v>30</v>
      </c>
      <c r="B154" s="137">
        <f>'DOE25'!F494</f>
        <v>2700000</v>
      </c>
      <c r="C154" s="137">
        <f>'DOE25'!G494</f>
        <v>2000000</v>
      </c>
      <c r="D154" s="137">
        <f>'DOE25'!H494</f>
        <v>0</v>
      </c>
      <c r="E154" s="137">
        <f>'DOE25'!I494</f>
        <v>0</v>
      </c>
      <c r="F154" s="137">
        <f>'DOE25'!J494</f>
        <v>0</v>
      </c>
      <c r="G154" s="24" t="s">
        <v>288</v>
      </c>
    </row>
    <row r="155" spans="1:9" x14ac:dyDescent="0.2">
      <c r="A155" s="136" t="s">
        <v>31</v>
      </c>
      <c r="B155" s="137">
        <f>'DOE25'!F495</f>
        <v>4.26</v>
      </c>
      <c r="C155" s="137">
        <f>'DOE25'!G495</f>
        <v>3.55</v>
      </c>
      <c r="D155" s="137">
        <f>'DOE25'!H495</f>
        <v>0</v>
      </c>
      <c r="E155" s="137">
        <f>'DOE25'!I495</f>
        <v>0</v>
      </c>
      <c r="F155" s="137">
        <f>'DOE25'!J495</f>
        <v>0</v>
      </c>
      <c r="G155" s="24" t="s">
        <v>288</v>
      </c>
    </row>
    <row r="156" spans="1:9" x14ac:dyDescent="0.2">
      <c r="A156" s="22" t="s">
        <v>32</v>
      </c>
      <c r="B156" s="137">
        <f>'DOE25'!F496</f>
        <v>870341.41</v>
      </c>
      <c r="C156" s="137">
        <f>'DOE25'!G496</f>
        <v>1856392.89</v>
      </c>
      <c r="D156" s="137">
        <f>'DOE25'!H496</f>
        <v>0</v>
      </c>
      <c r="E156" s="137">
        <f>'DOE25'!I496</f>
        <v>0</v>
      </c>
      <c r="F156" s="137">
        <f>'DOE25'!J496</f>
        <v>0</v>
      </c>
      <c r="G156" s="138">
        <f>SUM(B156:F156)</f>
        <v>2726734.3</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142105.26</v>
      </c>
      <c r="C158" s="137">
        <f>'DOE25'!G498</f>
        <v>77625.41</v>
      </c>
      <c r="D158" s="137">
        <f>'DOE25'!H498</f>
        <v>0</v>
      </c>
      <c r="E158" s="137">
        <f>'DOE25'!I498</f>
        <v>0</v>
      </c>
      <c r="F158" s="137">
        <f>'DOE25'!J498</f>
        <v>0</v>
      </c>
      <c r="G158" s="138">
        <f t="shared" si="8"/>
        <v>219730.67</v>
      </c>
    </row>
    <row r="159" spans="1:9" x14ac:dyDescent="0.2">
      <c r="A159" s="22" t="s">
        <v>35</v>
      </c>
      <c r="B159" s="137">
        <f>'DOE25'!F499</f>
        <v>728236.15</v>
      </c>
      <c r="C159" s="137">
        <f>'DOE25'!G499</f>
        <v>1778767.48</v>
      </c>
      <c r="D159" s="137">
        <f>'DOE25'!H499</f>
        <v>0</v>
      </c>
      <c r="E159" s="137">
        <f>'DOE25'!I499</f>
        <v>0</v>
      </c>
      <c r="F159" s="137">
        <f>'DOE25'!J499</f>
        <v>0</v>
      </c>
      <c r="G159" s="138">
        <f t="shared" si="8"/>
        <v>2507003.63</v>
      </c>
    </row>
    <row r="160" spans="1:9" x14ac:dyDescent="0.2">
      <c r="A160" s="22" t="s">
        <v>36</v>
      </c>
      <c r="B160" s="137">
        <f>'DOE25'!F500</f>
        <v>54865</v>
      </c>
      <c r="C160" s="137">
        <f>'DOE25'!G500</f>
        <v>629953</v>
      </c>
      <c r="D160" s="137">
        <f>'DOE25'!H500</f>
        <v>0</v>
      </c>
      <c r="E160" s="137">
        <f>'DOE25'!I500</f>
        <v>0</v>
      </c>
      <c r="F160" s="137">
        <f>'DOE25'!J500</f>
        <v>0</v>
      </c>
      <c r="G160" s="138">
        <f t="shared" si="8"/>
        <v>684818</v>
      </c>
    </row>
    <row r="161" spans="1:7" x14ac:dyDescent="0.2">
      <c r="A161" s="22" t="s">
        <v>37</v>
      </c>
      <c r="B161" s="137">
        <f>'DOE25'!F501</f>
        <v>783101.15</v>
      </c>
      <c r="C161" s="137">
        <f>'DOE25'!G501</f>
        <v>2408720.48</v>
      </c>
      <c r="D161" s="137">
        <f>'DOE25'!H501</f>
        <v>0</v>
      </c>
      <c r="E161" s="137">
        <f>'DOE25'!I501</f>
        <v>0</v>
      </c>
      <c r="F161" s="137">
        <f>'DOE25'!J501</f>
        <v>0</v>
      </c>
      <c r="G161" s="138">
        <f t="shared" si="8"/>
        <v>3191821.63</v>
      </c>
    </row>
    <row r="162" spans="1:7" x14ac:dyDescent="0.2">
      <c r="A162" s="22" t="s">
        <v>38</v>
      </c>
      <c r="B162" s="137">
        <f>'DOE25'!F502</f>
        <v>142105.26</v>
      </c>
      <c r="C162" s="137">
        <f>'DOE25'!G502</f>
        <v>77925.86</v>
      </c>
      <c r="D162" s="137">
        <f>'DOE25'!H502</f>
        <v>0</v>
      </c>
      <c r="E162" s="137">
        <f>'DOE25'!I502</f>
        <v>0</v>
      </c>
      <c r="F162" s="137">
        <f>'DOE25'!J502</f>
        <v>0</v>
      </c>
      <c r="G162" s="138">
        <f t="shared" si="8"/>
        <v>220031.12</v>
      </c>
    </row>
    <row r="163" spans="1:7" x14ac:dyDescent="0.2">
      <c r="A163" s="22" t="s">
        <v>39</v>
      </c>
      <c r="B163" s="137">
        <f>'DOE25'!F503</f>
        <v>22861</v>
      </c>
      <c r="C163" s="137">
        <f>'DOE25'!G503</f>
        <v>63967.14</v>
      </c>
      <c r="D163" s="137">
        <f>'DOE25'!H503</f>
        <v>0</v>
      </c>
      <c r="E163" s="137">
        <f>'DOE25'!I503</f>
        <v>0</v>
      </c>
      <c r="F163" s="137">
        <f>'DOE25'!J503</f>
        <v>0</v>
      </c>
      <c r="G163" s="138">
        <f t="shared" si="8"/>
        <v>86828.14</v>
      </c>
    </row>
    <row r="164" spans="1:7" x14ac:dyDescent="0.2">
      <c r="A164" s="22" t="s">
        <v>246</v>
      </c>
      <c r="B164" s="137">
        <f>'DOE25'!F504</f>
        <v>164966.26</v>
      </c>
      <c r="C164" s="137">
        <f>'DOE25'!G504</f>
        <v>141893</v>
      </c>
      <c r="D164" s="137">
        <f>'DOE25'!H504</f>
        <v>0</v>
      </c>
      <c r="E164" s="137">
        <f>'DOE25'!I504</f>
        <v>0</v>
      </c>
      <c r="F164" s="137">
        <f>'DOE25'!J504</f>
        <v>0</v>
      </c>
      <c r="G164" s="138">
        <f t="shared" si="8"/>
        <v>306859.26</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Franklin</v>
      </c>
    </row>
    <row r="3" spans="1:4" x14ac:dyDescent="0.2">
      <c r="B3" s="187" t="s">
        <v>1799</v>
      </c>
    </row>
    <row r="4" spans="1:4" x14ac:dyDescent="0.2">
      <c r="B4" t="s">
        <v>61</v>
      </c>
      <c r="C4" s="178">
        <f>IF('DOE25'!F666+'DOE25'!F671=0,0,ROUND('DOE25'!F673,0))</f>
        <v>17810</v>
      </c>
    </row>
    <row r="5" spans="1:4" x14ac:dyDescent="0.2">
      <c r="B5" t="s">
        <v>700</v>
      </c>
      <c r="C5" s="178">
        <f>IF('DOE25'!G666+'DOE25'!G671=0,0,ROUND('DOE25'!G673,0))</f>
        <v>0</v>
      </c>
    </row>
    <row r="6" spans="1:4" x14ac:dyDescent="0.2">
      <c r="B6" t="s">
        <v>62</v>
      </c>
      <c r="C6" s="178">
        <f>IF('DOE25'!H666+'DOE25'!H671=0,0,ROUND('DOE25'!H673,0))</f>
        <v>19367</v>
      </c>
    </row>
    <row r="7" spans="1:4" x14ac:dyDescent="0.2">
      <c r="B7" t="s">
        <v>701</v>
      </c>
      <c r="C7" s="178">
        <f>IF('DOE25'!I666+'DOE25'!I671=0,0,ROUND('DOE25'!I673,0))</f>
        <v>18258</v>
      </c>
    </row>
    <row r="9" spans="1:4" x14ac:dyDescent="0.2">
      <c r="A9" s="186" t="s">
        <v>94</v>
      </c>
      <c r="B9" s="187" t="s">
        <v>1800</v>
      </c>
      <c r="C9" s="180" t="s">
        <v>720</v>
      </c>
      <c r="D9" s="180" t="s">
        <v>721</v>
      </c>
    </row>
    <row r="10" spans="1:4" x14ac:dyDescent="0.2">
      <c r="A10">
        <v>1100</v>
      </c>
      <c r="B10" t="s">
        <v>702</v>
      </c>
      <c r="C10" s="178">
        <f>ROUND('DOE25'!L198+'DOE25'!L216+'DOE25'!L234+'DOE25'!L277+'DOE25'!L296+'DOE25'!L315,0)</f>
        <v>6104069</v>
      </c>
      <c r="D10" s="181">
        <f>ROUND((C10/$C$28)*100,1)</f>
        <v>32.799999999999997</v>
      </c>
    </row>
    <row r="11" spans="1:4" x14ac:dyDescent="0.2">
      <c r="A11">
        <v>1200</v>
      </c>
      <c r="B11" t="s">
        <v>703</v>
      </c>
      <c r="C11" s="178">
        <f>ROUND('DOE25'!L199+'DOE25'!L217+'DOE25'!L235+'DOE25'!L278+'DOE25'!L297+'DOE25'!L316,0)</f>
        <v>3629625</v>
      </c>
      <c r="D11" s="181">
        <f>ROUND((C11/$C$28)*100,1)</f>
        <v>19.5</v>
      </c>
    </row>
    <row r="12" spans="1:4" x14ac:dyDescent="0.2">
      <c r="A12">
        <v>1300</v>
      </c>
      <c r="B12" t="s">
        <v>704</v>
      </c>
      <c r="C12" s="178">
        <f>ROUND('DOE25'!L200+'DOE25'!L218+'DOE25'!L236+'DOE25'!L279+'DOE25'!L298+'DOE25'!L317,0)</f>
        <v>60350</v>
      </c>
      <c r="D12" s="181">
        <f>ROUND((C12/$C$28)*100,1)</f>
        <v>0.3</v>
      </c>
    </row>
    <row r="13" spans="1:4" x14ac:dyDescent="0.2">
      <c r="A13">
        <v>1400</v>
      </c>
      <c r="B13" t="s">
        <v>705</v>
      </c>
      <c r="C13" s="178">
        <f>ROUND('DOE25'!L201+'DOE25'!L219+'DOE25'!L237+'DOE25'!L280+'DOE25'!L299+'DOE25'!L318,0)</f>
        <v>377490</v>
      </c>
      <c r="D13" s="181">
        <f>ROUND((C13/$C$28)*100,1)</f>
        <v>2</v>
      </c>
    </row>
    <row r="14" spans="1:4" x14ac:dyDescent="0.2">
      <c r="D14" s="181"/>
    </row>
    <row r="15" spans="1:4" x14ac:dyDescent="0.2">
      <c r="A15">
        <v>2100</v>
      </c>
      <c r="B15" t="s">
        <v>706</v>
      </c>
      <c r="C15" s="178">
        <f>ROUND('DOE25'!L203+'DOE25'!L221+'DOE25'!L239+'DOE25'!L282+'DOE25'!L301+'DOE25'!L320,0)</f>
        <v>2201256</v>
      </c>
      <c r="D15" s="181">
        <f t="shared" ref="D15:D27" si="0">ROUND((C15/$C$28)*100,1)</f>
        <v>11.8</v>
      </c>
    </row>
    <row r="16" spans="1:4" x14ac:dyDescent="0.2">
      <c r="A16">
        <v>2200</v>
      </c>
      <c r="B16" t="s">
        <v>707</v>
      </c>
      <c r="C16" s="178">
        <f>ROUND('DOE25'!L204+'DOE25'!L222+'DOE25'!L240+'DOE25'!L283+'DOE25'!L302+'DOE25'!L321,0)</f>
        <v>934311</v>
      </c>
      <c r="D16" s="181">
        <f t="shared" si="0"/>
        <v>5</v>
      </c>
    </row>
    <row r="17" spans="1:4" x14ac:dyDescent="0.2">
      <c r="A17" s="182" t="s">
        <v>723</v>
      </c>
      <c r="B17" t="s">
        <v>738</v>
      </c>
      <c r="C17" s="178">
        <f>ROUND('DOE25'!L205+'DOE25'!L210+'DOE25'!L223+'DOE25'!L228+'DOE25'!L241+'DOE25'!L246+'DOE25'!L284+'DOE25'!L289+'DOE25'!L303+'DOE25'!L308+'DOE25'!L322+'DOE25'!L327,0)</f>
        <v>838099</v>
      </c>
      <c r="D17" s="181">
        <f t="shared" si="0"/>
        <v>4.5</v>
      </c>
    </row>
    <row r="18" spans="1:4" x14ac:dyDescent="0.2">
      <c r="A18">
        <v>2400</v>
      </c>
      <c r="B18" t="s">
        <v>711</v>
      </c>
      <c r="C18" s="178">
        <f>ROUND('DOE25'!L206+'DOE25'!L224+'DOE25'!L242+'DOE25'!L285+'DOE25'!L304+'DOE25'!L323,0)</f>
        <v>1009067</v>
      </c>
      <c r="D18" s="181">
        <f t="shared" si="0"/>
        <v>5.4</v>
      </c>
    </row>
    <row r="19" spans="1:4" x14ac:dyDescent="0.2">
      <c r="A19">
        <v>2500</v>
      </c>
      <c r="B19" t="s">
        <v>708</v>
      </c>
      <c r="C19" s="178">
        <f>ROUND('DOE25'!L207+'DOE25'!L225+'DOE25'!L243+'DOE25'!L286+'DOE25'!L305+'DOE25'!L324,0)</f>
        <v>304082</v>
      </c>
      <c r="D19" s="181">
        <f t="shared" si="0"/>
        <v>1.6</v>
      </c>
    </row>
    <row r="20" spans="1:4" x14ac:dyDescent="0.2">
      <c r="A20">
        <v>2600</v>
      </c>
      <c r="B20" t="s">
        <v>709</v>
      </c>
      <c r="C20" s="178">
        <f>ROUND('DOE25'!L208+'DOE25'!L226+'DOE25'!L244+'DOE25'!L287+'DOE25'!L306+'DOE25'!L325,0)</f>
        <v>1425115</v>
      </c>
      <c r="D20" s="181">
        <f t="shared" si="0"/>
        <v>7.7</v>
      </c>
    </row>
    <row r="21" spans="1:4" x14ac:dyDescent="0.2">
      <c r="A21">
        <v>2700</v>
      </c>
      <c r="B21" t="s">
        <v>710</v>
      </c>
      <c r="C21" s="178">
        <f>ROUND('DOE25'!L209+'DOE25'!L227+'DOE25'!L245+'DOE25'!L288+'DOE25'!L307+'DOE25'!L326,0)</f>
        <v>757499</v>
      </c>
      <c r="D21" s="181">
        <f t="shared" si="0"/>
        <v>4.0999999999999996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58069</v>
      </c>
      <c r="D24" s="181">
        <f t="shared" si="0"/>
        <v>0.3</v>
      </c>
    </row>
    <row r="25" spans="1:4" x14ac:dyDescent="0.2">
      <c r="A25">
        <v>5120</v>
      </c>
      <c r="B25" t="s">
        <v>716</v>
      </c>
      <c r="C25" s="178">
        <f>ROUND('DOE25'!L262+'DOE25'!L343,0)</f>
        <v>92838</v>
      </c>
      <c r="D25" s="181">
        <f t="shared" si="0"/>
        <v>0.5</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794094.82</v>
      </c>
      <c r="D27" s="181">
        <f t="shared" si="0"/>
        <v>4.3</v>
      </c>
    </row>
    <row r="28" spans="1:4" x14ac:dyDescent="0.2">
      <c r="B28" s="186" t="s">
        <v>719</v>
      </c>
      <c r="C28" s="179">
        <f>SUM(C10:C27)</f>
        <v>18585964.82</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18585964.82</v>
      </c>
    </row>
    <row r="31" spans="1:4" x14ac:dyDescent="0.2">
      <c r="B31" s="33"/>
      <c r="C31" s="179"/>
    </row>
    <row r="32" spans="1:4" x14ac:dyDescent="0.2">
      <c r="A32">
        <v>5100</v>
      </c>
      <c r="B32" s="33" t="s">
        <v>726</v>
      </c>
      <c r="C32" s="179">
        <f>ROUND('DOE25'!L261+'DOE25'!L342,0)</f>
        <v>219731</v>
      </c>
    </row>
    <row r="34" spans="1:4" x14ac:dyDescent="0.2">
      <c r="A34" s="186" t="s">
        <v>94</v>
      </c>
      <c r="B34" s="187" t="s">
        <v>1801</v>
      </c>
      <c r="C34" s="180" t="s">
        <v>720</v>
      </c>
      <c r="D34" s="180" t="s">
        <v>721</v>
      </c>
    </row>
    <row r="35" spans="1:4" x14ac:dyDescent="0.2">
      <c r="A35">
        <v>1100</v>
      </c>
      <c r="B35" s="184" t="s">
        <v>727</v>
      </c>
      <c r="C35" s="178">
        <f>ROUND('DOE25'!F60+'DOE25'!G60+'DOE25'!H60+'DOE25'!I60+'DOE25'!J60,0)</f>
        <v>4595004</v>
      </c>
      <c r="D35" s="181">
        <f t="shared" ref="D35:D40" si="1">ROUND((C35/$C$41)*100,1)</f>
        <v>24</v>
      </c>
    </row>
    <row r="36" spans="1:4" x14ac:dyDescent="0.2">
      <c r="B36" s="184" t="s">
        <v>739</v>
      </c>
      <c r="C36" s="178">
        <f>SUM('DOE25'!F112:J112)-SUM('DOE25'!G97:G110)+('DOE25'!F175+'DOE25'!F176+'DOE25'!I175+'DOE25'!I176)-C35</f>
        <v>501699.98000000045</v>
      </c>
      <c r="D36" s="181">
        <f t="shared" si="1"/>
        <v>2.6</v>
      </c>
    </row>
    <row r="37" spans="1:4" x14ac:dyDescent="0.2">
      <c r="A37" s="182" t="s">
        <v>835</v>
      </c>
      <c r="B37" s="184" t="s">
        <v>728</v>
      </c>
      <c r="C37" s="178">
        <f>ROUND('DOE25'!F117+'DOE25'!F118,0)</f>
        <v>9460454</v>
      </c>
      <c r="D37" s="181">
        <f t="shared" si="1"/>
        <v>49.3</v>
      </c>
    </row>
    <row r="38" spans="1:4" x14ac:dyDescent="0.2">
      <c r="A38" s="182" t="s">
        <v>734</v>
      </c>
      <c r="B38" s="184" t="s">
        <v>729</v>
      </c>
      <c r="C38" s="178">
        <f>ROUND(SUM('DOE25'!F140:J140)-SUM('DOE25'!F117:F119),0)</f>
        <v>434649</v>
      </c>
      <c r="D38" s="181">
        <f t="shared" si="1"/>
        <v>2.2999999999999998</v>
      </c>
    </row>
    <row r="39" spans="1:4" x14ac:dyDescent="0.2">
      <c r="A39">
        <v>4000</v>
      </c>
      <c r="B39" s="184" t="s">
        <v>730</v>
      </c>
      <c r="C39" s="178">
        <f>ROUND('DOE25'!F170+'DOE25'!G170+'DOE25'!H170+'DOE25'!I170,0)</f>
        <v>4181446</v>
      </c>
      <c r="D39" s="181">
        <f t="shared" si="1"/>
        <v>21.8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19173252.98</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7" sqref="C7:M7"/>
    </sheetView>
  </sheetViews>
  <sheetFormatPr defaultRowHeight="11.25" x14ac:dyDescent="0.2"/>
  <cols>
    <col min="1" max="1" width="10.33203125" customWidth="1"/>
    <col min="14" max="14" width="6.1640625" customWidth="1"/>
  </cols>
  <sheetData>
    <row r="1" spans="1:26" ht="16.5" thickTop="1" x14ac:dyDescent="0.25">
      <c r="A1" s="397" t="s">
        <v>766</v>
      </c>
      <c r="B1" s="398"/>
      <c r="C1" s="398"/>
      <c r="D1" s="398"/>
      <c r="E1" s="398"/>
      <c r="F1" s="398"/>
      <c r="G1" s="398"/>
      <c r="H1" s="398"/>
      <c r="I1" s="398"/>
      <c r="J1" s="212"/>
      <c r="K1" s="212"/>
      <c r="L1" s="212"/>
      <c r="M1" s="213"/>
    </row>
    <row r="2" spans="1:26" ht="12.75" x14ac:dyDescent="0.2">
      <c r="A2" s="403" t="s">
        <v>763</v>
      </c>
      <c r="B2" s="404"/>
      <c r="C2" s="404"/>
      <c r="D2" s="404"/>
      <c r="E2" s="404"/>
      <c r="F2" s="401" t="str">
        <f>'DOE25'!A2</f>
        <v>Franklin</v>
      </c>
      <c r="G2" s="402"/>
      <c r="H2" s="402"/>
      <c r="I2" s="402"/>
      <c r="J2" s="52"/>
      <c r="K2" s="52"/>
      <c r="L2" s="52"/>
      <c r="M2" s="214"/>
    </row>
    <row r="3" spans="1:26" x14ac:dyDescent="0.2">
      <c r="A3" s="215" t="s">
        <v>764</v>
      </c>
      <c r="B3" s="216" t="s">
        <v>765</v>
      </c>
      <c r="C3" s="399" t="s">
        <v>767</v>
      </c>
      <c r="D3" s="399"/>
      <c r="E3" s="399"/>
      <c r="F3" s="399"/>
      <c r="G3" s="399"/>
      <c r="H3" s="399"/>
      <c r="I3" s="399"/>
      <c r="J3" s="399"/>
      <c r="K3" s="399"/>
      <c r="L3" s="399"/>
      <c r="M3" s="400"/>
    </row>
    <row r="4" spans="1:26" x14ac:dyDescent="0.2">
      <c r="A4" s="217">
        <v>3</v>
      </c>
      <c r="B4" s="218">
        <v>24</v>
      </c>
      <c r="C4" s="388" t="s">
        <v>1806</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v>5</v>
      </c>
      <c r="B6" s="218">
        <v>14</v>
      </c>
      <c r="C6" s="388" t="s">
        <v>1807</v>
      </c>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94"/>
      <c r="Q29" s="394"/>
      <c r="R29" s="394"/>
      <c r="S29" s="394"/>
      <c r="T29" s="394"/>
      <c r="U29" s="394"/>
      <c r="V29" s="394"/>
      <c r="W29" s="394"/>
      <c r="X29" s="394"/>
      <c r="Y29" s="394"/>
      <c r="Z29" s="394"/>
      <c r="AA29" s="206"/>
      <c r="AB29" s="206"/>
      <c r="AC29" s="393"/>
      <c r="AD29" s="393"/>
      <c r="AE29" s="393"/>
      <c r="AF29" s="393"/>
      <c r="AG29" s="393"/>
      <c r="AH29" s="393"/>
      <c r="AI29" s="393"/>
      <c r="AJ29" s="393"/>
      <c r="AK29" s="393"/>
      <c r="AL29" s="393"/>
      <c r="AM29" s="393"/>
      <c r="AN29" s="206"/>
      <c r="AO29" s="206"/>
      <c r="AP29" s="393"/>
      <c r="AQ29" s="393"/>
      <c r="AR29" s="393"/>
      <c r="AS29" s="393"/>
      <c r="AT29" s="393"/>
      <c r="AU29" s="393"/>
      <c r="AV29" s="393"/>
      <c r="AW29" s="393"/>
      <c r="AX29" s="393"/>
      <c r="AY29" s="393"/>
      <c r="AZ29" s="393"/>
      <c r="BA29" s="206"/>
      <c r="BB29" s="206"/>
      <c r="BC29" s="393"/>
      <c r="BD29" s="393"/>
      <c r="BE29" s="393"/>
      <c r="BF29" s="393"/>
      <c r="BG29" s="393"/>
      <c r="BH29" s="393"/>
      <c r="BI29" s="393"/>
      <c r="BJ29" s="393"/>
      <c r="BK29" s="393"/>
      <c r="BL29" s="393"/>
      <c r="BM29" s="393"/>
      <c r="BN29" s="206"/>
      <c r="BO29" s="206"/>
      <c r="BP29" s="393"/>
      <c r="BQ29" s="393"/>
      <c r="BR29" s="393"/>
      <c r="BS29" s="393"/>
      <c r="BT29" s="393"/>
      <c r="BU29" s="393"/>
      <c r="BV29" s="393"/>
      <c r="BW29" s="393"/>
      <c r="BX29" s="393"/>
      <c r="BY29" s="393"/>
      <c r="BZ29" s="393"/>
      <c r="CA29" s="206"/>
      <c r="CB29" s="206"/>
      <c r="CC29" s="393"/>
      <c r="CD29" s="393"/>
      <c r="CE29" s="393"/>
      <c r="CF29" s="393"/>
      <c r="CG29" s="393"/>
      <c r="CH29" s="393"/>
      <c r="CI29" s="393"/>
      <c r="CJ29" s="393"/>
      <c r="CK29" s="393"/>
      <c r="CL29" s="393"/>
      <c r="CM29" s="393"/>
      <c r="CN29" s="206"/>
      <c r="CO29" s="206"/>
      <c r="CP29" s="393"/>
      <c r="CQ29" s="393"/>
      <c r="CR29" s="393"/>
      <c r="CS29" s="393"/>
      <c r="CT29" s="393"/>
      <c r="CU29" s="393"/>
      <c r="CV29" s="393"/>
      <c r="CW29" s="393"/>
      <c r="CX29" s="393"/>
      <c r="CY29" s="393"/>
      <c r="CZ29" s="393"/>
      <c r="DA29" s="206"/>
      <c r="DB29" s="206"/>
      <c r="DC29" s="393"/>
      <c r="DD29" s="393"/>
      <c r="DE29" s="393"/>
      <c r="DF29" s="393"/>
      <c r="DG29" s="393"/>
      <c r="DH29" s="393"/>
      <c r="DI29" s="393"/>
      <c r="DJ29" s="393"/>
      <c r="DK29" s="393"/>
      <c r="DL29" s="393"/>
      <c r="DM29" s="393"/>
      <c r="DN29" s="206"/>
      <c r="DO29" s="206"/>
      <c r="DP29" s="393"/>
      <c r="DQ29" s="393"/>
      <c r="DR29" s="393"/>
      <c r="DS29" s="393"/>
      <c r="DT29" s="393"/>
      <c r="DU29" s="393"/>
      <c r="DV29" s="393"/>
      <c r="DW29" s="393"/>
      <c r="DX29" s="393"/>
      <c r="DY29" s="393"/>
      <c r="DZ29" s="393"/>
      <c r="EA29" s="206"/>
      <c r="EB29" s="206"/>
      <c r="EC29" s="393"/>
      <c r="ED29" s="393"/>
      <c r="EE29" s="393"/>
      <c r="EF29" s="393"/>
      <c r="EG29" s="393"/>
      <c r="EH29" s="393"/>
      <c r="EI29" s="393"/>
      <c r="EJ29" s="393"/>
      <c r="EK29" s="393"/>
      <c r="EL29" s="393"/>
      <c r="EM29" s="393"/>
      <c r="EN29" s="206"/>
      <c r="EO29" s="206"/>
      <c r="EP29" s="393"/>
      <c r="EQ29" s="393"/>
      <c r="ER29" s="393"/>
      <c r="ES29" s="393"/>
      <c r="ET29" s="393"/>
      <c r="EU29" s="393"/>
      <c r="EV29" s="393"/>
      <c r="EW29" s="393"/>
      <c r="EX29" s="393"/>
      <c r="EY29" s="393"/>
      <c r="EZ29" s="393"/>
      <c r="FA29" s="206"/>
      <c r="FB29" s="206"/>
      <c r="FC29" s="393"/>
      <c r="FD29" s="393"/>
      <c r="FE29" s="393"/>
      <c r="FF29" s="393"/>
      <c r="FG29" s="393"/>
      <c r="FH29" s="393"/>
      <c r="FI29" s="393"/>
      <c r="FJ29" s="393"/>
      <c r="FK29" s="393"/>
      <c r="FL29" s="393"/>
      <c r="FM29" s="393"/>
      <c r="FN29" s="206"/>
      <c r="FO29" s="206"/>
      <c r="FP29" s="393"/>
      <c r="FQ29" s="393"/>
      <c r="FR29" s="393"/>
      <c r="FS29" s="393"/>
      <c r="FT29" s="393"/>
      <c r="FU29" s="393"/>
      <c r="FV29" s="393"/>
      <c r="FW29" s="393"/>
      <c r="FX29" s="393"/>
      <c r="FY29" s="393"/>
      <c r="FZ29" s="393"/>
      <c r="GA29" s="206"/>
      <c r="GB29" s="206"/>
      <c r="GC29" s="393"/>
      <c r="GD29" s="393"/>
      <c r="GE29" s="393"/>
      <c r="GF29" s="393"/>
      <c r="GG29" s="393"/>
      <c r="GH29" s="393"/>
      <c r="GI29" s="393"/>
      <c r="GJ29" s="393"/>
      <c r="GK29" s="393"/>
      <c r="GL29" s="393"/>
      <c r="GM29" s="393"/>
      <c r="GN29" s="206"/>
      <c r="GO29" s="206"/>
      <c r="GP29" s="393"/>
      <c r="GQ29" s="393"/>
      <c r="GR29" s="393"/>
      <c r="GS29" s="393"/>
      <c r="GT29" s="393"/>
      <c r="GU29" s="393"/>
      <c r="GV29" s="393"/>
      <c r="GW29" s="393"/>
      <c r="GX29" s="393"/>
      <c r="GY29" s="393"/>
      <c r="GZ29" s="393"/>
      <c r="HA29" s="206"/>
      <c r="HB29" s="206"/>
      <c r="HC29" s="393"/>
      <c r="HD29" s="393"/>
      <c r="HE29" s="393"/>
      <c r="HF29" s="393"/>
      <c r="HG29" s="393"/>
      <c r="HH29" s="393"/>
      <c r="HI29" s="393"/>
      <c r="HJ29" s="393"/>
      <c r="HK29" s="393"/>
      <c r="HL29" s="393"/>
      <c r="HM29" s="393"/>
      <c r="HN29" s="206"/>
      <c r="HO29" s="206"/>
      <c r="HP29" s="393"/>
      <c r="HQ29" s="393"/>
      <c r="HR29" s="393"/>
      <c r="HS29" s="393"/>
      <c r="HT29" s="393"/>
      <c r="HU29" s="393"/>
      <c r="HV29" s="393"/>
      <c r="HW29" s="393"/>
      <c r="HX29" s="393"/>
      <c r="HY29" s="393"/>
      <c r="HZ29" s="393"/>
      <c r="IA29" s="206"/>
      <c r="IB29" s="206"/>
      <c r="IC29" s="393"/>
      <c r="ID29" s="393"/>
      <c r="IE29" s="393"/>
      <c r="IF29" s="393"/>
      <c r="IG29" s="393"/>
      <c r="IH29" s="393"/>
      <c r="II29" s="393"/>
      <c r="IJ29" s="393"/>
      <c r="IK29" s="393"/>
      <c r="IL29" s="393"/>
      <c r="IM29" s="393"/>
      <c r="IN29" s="206"/>
      <c r="IO29" s="206"/>
      <c r="IP29" s="393"/>
      <c r="IQ29" s="393"/>
      <c r="IR29" s="393"/>
      <c r="IS29" s="393"/>
      <c r="IT29" s="393"/>
      <c r="IU29" s="393"/>
      <c r="IV29" s="393"/>
    </row>
    <row r="30" spans="1:256" x14ac:dyDescent="0.2">
      <c r="A30" s="217"/>
      <c r="B30" s="218"/>
      <c r="C30" s="388"/>
      <c r="D30" s="388"/>
      <c r="E30" s="388"/>
      <c r="F30" s="388"/>
      <c r="G30" s="388"/>
      <c r="H30" s="388"/>
      <c r="I30" s="388"/>
      <c r="J30" s="388"/>
      <c r="K30" s="388"/>
      <c r="L30" s="388"/>
      <c r="M30" s="389"/>
      <c r="N30" s="210"/>
      <c r="O30" s="210"/>
      <c r="P30" s="394"/>
      <c r="Q30" s="394"/>
      <c r="R30" s="394"/>
      <c r="S30" s="394"/>
      <c r="T30" s="394"/>
      <c r="U30" s="394"/>
      <c r="V30" s="394"/>
      <c r="W30" s="394"/>
      <c r="X30" s="394"/>
      <c r="Y30" s="394"/>
      <c r="Z30" s="394"/>
      <c r="AA30" s="206"/>
      <c r="AB30" s="206"/>
      <c r="AC30" s="393"/>
      <c r="AD30" s="393"/>
      <c r="AE30" s="393"/>
      <c r="AF30" s="393"/>
      <c r="AG30" s="393"/>
      <c r="AH30" s="393"/>
      <c r="AI30" s="393"/>
      <c r="AJ30" s="393"/>
      <c r="AK30" s="393"/>
      <c r="AL30" s="393"/>
      <c r="AM30" s="393"/>
      <c r="AN30" s="206"/>
      <c r="AO30" s="206"/>
      <c r="AP30" s="393"/>
      <c r="AQ30" s="393"/>
      <c r="AR30" s="393"/>
      <c r="AS30" s="393"/>
      <c r="AT30" s="393"/>
      <c r="AU30" s="393"/>
      <c r="AV30" s="393"/>
      <c r="AW30" s="393"/>
      <c r="AX30" s="393"/>
      <c r="AY30" s="393"/>
      <c r="AZ30" s="393"/>
      <c r="BA30" s="206"/>
      <c r="BB30" s="206"/>
      <c r="BC30" s="393"/>
      <c r="BD30" s="393"/>
      <c r="BE30" s="393"/>
      <c r="BF30" s="393"/>
      <c r="BG30" s="393"/>
      <c r="BH30" s="393"/>
      <c r="BI30" s="393"/>
      <c r="BJ30" s="393"/>
      <c r="BK30" s="393"/>
      <c r="BL30" s="393"/>
      <c r="BM30" s="393"/>
      <c r="BN30" s="206"/>
      <c r="BO30" s="206"/>
      <c r="BP30" s="393"/>
      <c r="BQ30" s="393"/>
      <c r="BR30" s="393"/>
      <c r="BS30" s="393"/>
      <c r="BT30" s="393"/>
      <c r="BU30" s="393"/>
      <c r="BV30" s="393"/>
      <c r="BW30" s="393"/>
      <c r="BX30" s="393"/>
      <c r="BY30" s="393"/>
      <c r="BZ30" s="393"/>
      <c r="CA30" s="206"/>
      <c r="CB30" s="206"/>
      <c r="CC30" s="393"/>
      <c r="CD30" s="393"/>
      <c r="CE30" s="393"/>
      <c r="CF30" s="393"/>
      <c r="CG30" s="393"/>
      <c r="CH30" s="393"/>
      <c r="CI30" s="393"/>
      <c r="CJ30" s="393"/>
      <c r="CK30" s="393"/>
      <c r="CL30" s="393"/>
      <c r="CM30" s="393"/>
      <c r="CN30" s="206"/>
      <c r="CO30" s="206"/>
      <c r="CP30" s="393"/>
      <c r="CQ30" s="393"/>
      <c r="CR30" s="393"/>
      <c r="CS30" s="393"/>
      <c r="CT30" s="393"/>
      <c r="CU30" s="393"/>
      <c r="CV30" s="393"/>
      <c r="CW30" s="393"/>
      <c r="CX30" s="393"/>
      <c r="CY30" s="393"/>
      <c r="CZ30" s="393"/>
      <c r="DA30" s="206"/>
      <c r="DB30" s="206"/>
      <c r="DC30" s="393"/>
      <c r="DD30" s="393"/>
      <c r="DE30" s="393"/>
      <c r="DF30" s="393"/>
      <c r="DG30" s="393"/>
      <c r="DH30" s="393"/>
      <c r="DI30" s="393"/>
      <c r="DJ30" s="393"/>
      <c r="DK30" s="393"/>
      <c r="DL30" s="393"/>
      <c r="DM30" s="393"/>
      <c r="DN30" s="206"/>
      <c r="DO30" s="206"/>
      <c r="DP30" s="393"/>
      <c r="DQ30" s="393"/>
      <c r="DR30" s="393"/>
      <c r="DS30" s="393"/>
      <c r="DT30" s="393"/>
      <c r="DU30" s="393"/>
      <c r="DV30" s="393"/>
      <c r="DW30" s="393"/>
      <c r="DX30" s="393"/>
      <c r="DY30" s="393"/>
      <c r="DZ30" s="393"/>
      <c r="EA30" s="206"/>
      <c r="EB30" s="206"/>
      <c r="EC30" s="393"/>
      <c r="ED30" s="393"/>
      <c r="EE30" s="393"/>
      <c r="EF30" s="393"/>
      <c r="EG30" s="393"/>
      <c r="EH30" s="393"/>
      <c r="EI30" s="393"/>
      <c r="EJ30" s="393"/>
      <c r="EK30" s="393"/>
      <c r="EL30" s="393"/>
      <c r="EM30" s="393"/>
      <c r="EN30" s="206"/>
      <c r="EO30" s="206"/>
      <c r="EP30" s="393"/>
      <c r="EQ30" s="393"/>
      <c r="ER30" s="393"/>
      <c r="ES30" s="393"/>
      <c r="ET30" s="393"/>
      <c r="EU30" s="393"/>
      <c r="EV30" s="393"/>
      <c r="EW30" s="393"/>
      <c r="EX30" s="393"/>
      <c r="EY30" s="393"/>
      <c r="EZ30" s="393"/>
      <c r="FA30" s="206"/>
      <c r="FB30" s="206"/>
      <c r="FC30" s="393"/>
      <c r="FD30" s="393"/>
      <c r="FE30" s="393"/>
      <c r="FF30" s="393"/>
      <c r="FG30" s="393"/>
      <c r="FH30" s="393"/>
      <c r="FI30" s="393"/>
      <c r="FJ30" s="393"/>
      <c r="FK30" s="393"/>
      <c r="FL30" s="393"/>
      <c r="FM30" s="393"/>
      <c r="FN30" s="206"/>
      <c r="FO30" s="206"/>
      <c r="FP30" s="393"/>
      <c r="FQ30" s="393"/>
      <c r="FR30" s="393"/>
      <c r="FS30" s="393"/>
      <c r="FT30" s="393"/>
      <c r="FU30" s="393"/>
      <c r="FV30" s="393"/>
      <c r="FW30" s="393"/>
      <c r="FX30" s="393"/>
      <c r="FY30" s="393"/>
      <c r="FZ30" s="393"/>
      <c r="GA30" s="206"/>
      <c r="GB30" s="206"/>
      <c r="GC30" s="393"/>
      <c r="GD30" s="393"/>
      <c r="GE30" s="393"/>
      <c r="GF30" s="393"/>
      <c r="GG30" s="393"/>
      <c r="GH30" s="393"/>
      <c r="GI30" s="393"/>
      <c r="GJ30" s="393"/>
      <c r="GK30" s="393"/>
      <c r="GL30" s="393"/>
      <c r="GM30" s="393"/>
      <c r="GN30" s="206"/>
      <c r="GO30" s="206"/>
      <c r="GP30" s="393"/>
      <c r="GQ30" s="393"/>
      <c r="GR30" s="393"/>
      <c r="GS30" s="393"/>
      <c r="GT30" s="393"/>
      <c r="GU30" s="393"/>
      <c r="GV30" s="393"/>
      <c r="GW30" s="393"/>
      <c r="GX30" s="393"/>
      <c r="GY30" s="393"/>
      <c r="GZ30" s="393"/>
      <c r="HA30" s="206"/>
      <c r="HB30" s="206"/>
      <c r="HC30" s="393"/>
      <c r="HD30" s="393"/>
      <c r="HE30" s="393"/>
      <c r="HF30" s="393"/>
      <c r="HG30" s="393"/>
      <c r="HH30" s="393"/>
      <c r="HI30" s="393"/>
      <c r="HJ30" s="393"/>
      <c r="HK30" s="393"/>
      <c r="HL30" s="393"/>
      <c r="HM30" s="393"/>
      <c r="HN30" s="206"/>
      <c r="HO30" s="206"/>
      <c r="HP30" s="393"/>
      <c r="HQ30" s="393"/>
      <c r="HR30" s="393"/>
      <c r="HS30" s="393"/>
      <c r="HT30" s="393"/>
      <c r="HU30" s="393"/>
      <c r="HV30" s="393"/>
      <c r="HW30" s="393"/>
      <c r="HX30" s="393"/>
      <c r="HY30" s="393"/>
      <c r="HZ30" s="393"/>
      <c r="IA30" s="206"/>
      <c r="IB30" s="206"/>
      <c r="IC30" s="393"/>
      <c r="ID30" s="393"/>
      <c r="IE30" s="393"/>
      <c r="IF30" s="393"/>
      <c r="IG30" s="393"/>
      <c r="IH30" s="393"/>
      <c r="II30" s="393"/>
      <c r="IJ30" s="393"/>
      <c r="IK30" s="393"/>
      <c r="IL30" s="393"/>
      <c r="IM30" s="393"/>
      <c r="IN30" s="206"/>
      <c r="IO30" s="206"/>
      <c r="IP30" s="393"/>
      <c r="IQ30" s="393"/>
      <c r="IR30" s="393"/>
      <c r="IS30" s="393"/>
      <c r="IT30" s="393"/>
      <c r="IU30" s="393"/>
      <c r="IV30" s="393"/>
    </row>
    <row r="31" spans="1:256" x14ac:dyDescent="0.2">
      <c r="A31" s="217"/>
      <c r="B31" s="218"/>
      <c r="C31" s="388"/>
      <c r="D31" s="388"/>
      <c r="E31" s="388"/>
      <c r="F31" s="388"/>
      <c r="G31" s="388"/>
      <c r="H31" s="388"/>
      <c r="I31" s="388"/>
      <c r="J31" s="388"/>
      <c r="K31" s="388"/>
      <c r="L31" s="388"/>
      <c r="M31" s="389"/>
      <c r="N31" s="210"/>
      <c r="O31" s="210"/>
      <c r="P31" s="394"/>
      <c r="Q31" s="394"/>
      <c r="R31" s="394"/>
      <c r="S31" s="394"/>
      <c r="T31" s="394"/>
      <c r="U31" s="394"/>
      <c r="V31" s="394"/>
      <c r="W31" s="394"/>
      <c r="X31" s="394"/>
      <c r="Y31" s="394"/>
      <c r="Z31" s="394"/>
      <c r="AA31" s="206"/>
      <c r="AB31" s="206"/>
      <c r="AC31" s="393"/>
      <c r="AD31" s="393"/>
      <c r="AE31" s="393"/>
      <c r="AF31" s="393"/>
      <c r="AG31" s="393"/>
      <c r="AH31" s="393"/>
      <c r="AI31" s="393"/>
      <c r="AJ31" s="393"/>
      <c r="AK31" s="393"/>
      <c r="AL31" s="393"/>
      <c r="AM31" s="393"/>
      <c r="AN31" s="206"/>
      <c r="AO31" s="206"/>
      <c r="AP31" s="393"/>
      <c r="AQ31" s="393"/>
      <c r="AR31" s="393"/>
      <c r="AS31" s="393"/>
      <c r="AT31" s="393"/>
      <c r="AU31" s="393"/>
      <c r="AV31" s="393"/>
      <c r="AW31" s="393"/>
      <c r="AX31" s="393"/>
      <c r="AY31" s="393"/>
      <c r="AZ31" s="393"/>
      <c r="BA31" s="206"/>
      <c r="BB31" s="206"/>
      <c r="BC31" s="393"/>
      <c r="BD31" s="393"/>
      <c r="BE31" s="393"/>
      <c r="BF31" s="393"/>
      <c r="BG31" s="393"/>
      <c r="BH31" s="393"/>
      <c r="BI31" s="393"/>
      <c r="BJ31" s="393"/>
      <c r="BK31" s="393"/>
      <c r="BL31" s="393"/>
      <c r="BM31" s="393"/>
      <c r="BN31" s="206"/>
      <c r="BO31" s="206"/>
      <c r="BP31" s="393"/>
      <c r="BQ31" s="393"/>
      <c r="BR31" s="393"/>
      <c r="BS31" s="393"/>
      <c r="BT31" s="393"/>
      <c r="BU31" s="393"/>
      <c r="BV31" s="393"/>
      <c r="BW31" s="393"/>
      <c r="BX31" s="393"/>
      <c r="BY31" s="393"/>
      <c r="BZ31" s="393"/>
      <c r="CA31" s="206"/>
      <c r="CB31" s="206"/>
      <c r="CC31" s="393"/>
      <c r="CD31" s="393"/>
      <c r="CE31" s="393"/>
      <c r="CF31" s="393"/>
      <c r="CG31" s="393"/>
      <c r="CH31" s="393"/>
      <c r="CI31" s="393"/>
      <c r="CJ31" s="393"/>
      <c r="CK31" s="393"/>
      <c r="CL31" s="393"/>
      <c r="CM31" s="393"/>
      <c r="CN31" s="206"/>
      <c r="CO31" s="206"/>
      <c r="CP31" s="393"/>
      <c r="CQ31" s="393"/>
      <c r="CR31" s="393"/>
      <c r="CS31" s="393"/>
      <c r="CT31" s="393"/>
      <c r="CU31" s="393"/>
      <c r="CV31" s="393"/>
      <c r="CW31" s="393"/>
      <c r="CX31" s="393"/>
      <c r="CY31" s="393"/>
      <c r="CZ31" s="393"/>
      <c r="DA31" s="206"/>
      <c r="DB31" s="206"/>
      <c r="DC31" s="393"/>
      <c r="DD31" s="393"/>
      <c r="DE31" s="393"/>
      <c r="DF31" s="393"/>
      <c r="DG31" s="393"/>
      <c r="DH31" s="393"/>
      <c r="DI31" s="393"/>
      <c r="DJ31" s="393"/>
      <c r="DK31" s="393"/>
      <c r="DL31" s="393"/>
      <c r="DM31" s="393"/>
      <c r="DN31" s="206"/>
      <c r="DO31" s="206"/>
      <c r="DP31" s="393"/>
      <c r="DQ31" s="393"/>
      <c r="DR31" s="393"/>
      <c r="DS31" s="393"/>
      <c r="DT31" s="393"/>
      <c r="DU31" s="393"/>
      <c r="DV31" s="393"/>
      <c r="DW31" s="393"/>
      <c r="DX31" s="393"/>
      <c r="DY31" s="393"/>
      <c r="DZ31" s="393"/>
      <c r="EA31" s="206"/>
      <c r="EB31" s="206"/>
      <c r="EC31" s="393"/>
      <c r="ED31" s="393"/>
      <c r="EE31" s="393"/>
      <c r="EF31" s="393"/>
      <c r="EG31" s="393"/>
      <c r="EH31" s="393"/>
      <c r="EI31" s="393"/>
      <c r="EJ31" s="393"/>
      <c r="EK31" s="393"/>
      <c r="EL31" s="393"/>
      <c r="EM31" s="393"/>
      <c r="EN31" s="206"/>
      <c r="EO31" s="206"/>
      <c r="EP31" s="393"/>
      <c r="EQ31" s="393"/>
      <c r="ER31" s="393"/>
      <c r="ES31" s="393"/>
      <c r="ET31" s="393"/>
      <c r="EU31" s="393"/>
      <c r="EV31" s="393"/>
      <c r="EW31" s="393"/>
      <c r="EX31" s="393"/>
      <c r="EY31" s="393"/>
      <c r="EZ31" s="393"/>
      <c r="FA31" s="206"/>
      <c r="FB31" s="206"/>
      <c r="FC31" s="393"/>
      <c r="FD31" s="393"/>
      <c r="FE31" s="393"/>
      <c r="FF31" s="393"/>
      <c r="FG31" s="393"/>
      <c r="FH31" s="393"/>
      <c r="FI31" s="393"/>
      <c r="FJ31" s="393"/>
      <c r="FK31" s="393"/>
      <c r="FL31" s="393"/>
      <c r="FM31" s="393"/>
      <c r="FN31" s="206"/>
      <c r="FO31" s="206"/>
      <c r="FP31" s="393"/>
      <c r="FQ31" s="393"/>
      <c r="FR31" s="393"/>
      <c r="FS31" s="393"/>
      <c r="FT31" s="393"/>
      <c r="FU31" s="393"/>
      <c r="FV31" s="393"/>
      <c r="FW31" s="393"/>
      <c r="FX31" s="393"/>
      <c r="FY31" s="393"/>
      <c r="FZ31" s="393"/>
      <c r="GA31" s="206"/>
      <c r="GB31" s="206"/>
      <c r="GC31" s="393"/>
      <c r="GD31" s="393"/>
      <c r="GE31" s="393"/>
      <c r="GF31" s="393"/>
      <c r="GG31" s="393"/>
      <c r="GH31" s="393"/>
      <c r="GI31" s="393"/>
      <c r="GJ31" s="393"/>
      <c r="GK31" s="393"/>
      <c r="GL31" s="393"/>
      <c r="GM31" s="393"/>
      <c r="GN31" s="206"/>
      <c r="GO31" s="206"/>
      <c r="GP31" s="393"/>
      <c r="GQ31" s="393"/>
      <c r="GR31" s="393"/>
      <c r="GS31" s="393"/>
      <c r="GT31" s="393"/>
      <c r="GU31" s="393"/>
      <c r="GV31" s="393"/>
      <c r="GW31" s="393"/>
      <c r="GX31" s="393"/>
      <c r="GY31" s="393"/>
      <c r="GZ31" s="393"/>
      <c r="HA31" s="206"/>
      <c r="HB31" s="206"/>
      <c r="HC31" s="393"/>
      <c r="HD31" s="393"/>
      <c r="HE31" s="393"/>
      <c r="HF31" s="393"/>
      <c r="HG31" s="393"/>
      <c r="HH31" s="393"/>
      <c r="HI31" s="393"/>
      <c r="HJ31" s="393"/>
      <c r="HK31" s="393"/>
      <c r="HL31" s="393"/>
      <c r="HM31" s="393"/>
      <c r="HN31" s="206"/>
      <c r="HO31" s="206"/>
      <c r="HP31" s="393"/>
      <c r="HQ31" s="393"/>
      <c r="HR31" s="393"/>
      <c r="HS31" s="393"/>
      <c r="HT31" s="393"/>
      <c r="HU31" s="393"/>
      <c r="HV31" s="393"/>
      <c r="HW31" s="393"/>
      <c r="HX31" s="393"/>
      <c r="HY31" s="393"/>
      <c r="HZ31" s="393"/>
      <c r="IA31" s="206"/>
      <c r="IB31" s="206"/>
      <c r="IC31" s="393"/>
      <c r="ID31" s="393"/>
      <c r="IE31" s="393"/>
      <c r="IF31" s="393"/>
      <c r="IG31" s="393"/>
      <c r="IH31" s="393"/>
      <c r="II31" s="393"/>
      <c r="IJ31" s="393"/>
      <c r="IK31" s="393"/>
      <c r="IL31" s="393"/>
      <c r="IM31" s="393"/>
      <c r="IN31" s="206"/>
      <c r="IO31" s="206"/>
      <c r="IP31" s="393"/>
      <c r="IQ31" s="393"/>
      <c r="IR31" s="393"/>
      <c r="IS31" s="393"/>
      <c r="IT31" s="393"/>
      <c r="IU31" s="393"/>
      <c r="IV31" s="393"/>
    </row>
    <row r="32" spans="1:256" x14ac:dyDescent="0.2">
      <c r="A32" s="217"/>
      <c r="B32" s="218"/>
      <c r="C32" s="388"/>
      <c r="D32" s="388"/>
      <c r="E32" s="388"/>
      <c r="F32" s="388"/>
      <c r="G32" s="388"/>
      <c r="H32" s="388"/>
      <c r="I32" s="388"/>
      <c r="J32" s="388"/>
      <c r="K32" s="388"/>
      <c r="L32" s="388"/>
      <c r="M32" s="389"/>
      <c r="N32" s="222"/>
      <c r="O32" s="222"/>
      <c r="P32" s="395"/>
      <c r="Q32" s="395"/>
      <c r="R32" s="395"/>
      <c r="S32" s="395"/>
      <c r="T32" s="395"/>
      <c r="U32" s="395"/>
      <c r="V32" s="395"/>
      <c r="W32" s="395"/>
      <c r="X32" s="395"/>
      <c r="Y32" s="395"/>
      <c r="Z32" s="396"/>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94"/>
      <c r="Q38" s="394"/>
      <c r="R38" s="394"/>
      <c r="S38" s="394"/>
      <c r="T38" s="394"/>
      <c r="U38" s="394"/>
      <c r="V38" s="394"/>
      <c r="W38" s="394"/>
      <c r="X38" s="394"/>
      <c r="Y38" s="394"/>
      <c r="Z38" s="394"/>
      <c r="AA38" s="206"/>
      <c r="AB38" s="206"/>
      <c r="AC38" s="393"/>
      <c r="AD38" s="393"/>
      <c r="AE38" s="393"/>
      <c r="AF38" s="393"/>
      <c r="AG38" s="393"/>
      <c r="AH38" s="393"/>
      <c r="AI38" s="393"/>
      <c r="AJ38" s="393"/>
      <c r="AK38" s="393"/>
      <c r="AL38" s="393"/>
      <c r="AM38" s="393"/>
      <c r="AN38" s="206"/>
      <c r="AO38" s="206"/>
      <c r="AP38" s="393"/>
      <c r="AQ38" s="393"/>
      <c r="AR38" s="393"/>
      <c r="AS38" s="393"/>
      <c r="AT38" s="393"/>
      <c r="AU38" s="393"/>
      <c r="AV38" s="393"/>
      <c r="AW38" s="393"/>
      <c r="AX38" s="393"/>
      <c r="AY38" s="393"/>
      <c r="AZ38" s="393"/>
      <c r="BA38" s="206"/>
      <c r="BB38" s="206"/>
      <c r="BC38" s="393"/>
      <c r="BD38" s="393"/>
      <c r="BE38" s="393"/>
      <c r="BF38" s="393"/>
      <c r="BG38" s="393"/>
      <c r="BH38" s="393"/>
      <c r="BI38" s="393"/>
      <c r="BJ38" s="393"/>
      <c r="BK38" s="393"/>
      <c r="BL38" s="393"/>
      <c r="BM38" s="393"/>
      <c r="BN38" s="206"/>
      <c r="BO38" s="206"/>
      <c r="BP38" s="393"/>
      <c r="BQ38" s="393"/>
      <c r="BR38" s="393"/>
      <c r="BS38" s="393"/>
      <c r="BT38" s="393"/>
      <c r="BU38" s="393"/>
      <c r="BV38" s="393"/>
      <c r="BW38" s="393"/>
      <c r="BX38" s="393"/>
      <c r="BY38" s="393"/>
      <c r="BZ38" s="393"/>
      <c r="CA38" s="206"/>
      <c r="CB38" s="206"/>
      <c r="CC38" s="393"/>
      <c r="CD38" s="393"/>
      <c r="CE38" s="393"/>
      <c r="CF38" s="393"/>
      <c r="CG38" s="393"/>
      <c r="CH38" s="393"/>
      <c r="CI38" s="393"/>
      <c r="CJ38" s="393"/>
      <c r="CK38" s="393"/>
      <c r="CL38" s="393"/>
      <c r="CM38" s="393"/>
      <c r="CN38" s="206"/>
      <c r="CO38" s="206"/>
      <c r="CP38" s="393"/>
      <c r="CQ38" s="393"/>
      <c r="CR38" s="393"/>
      <c r="CS38" s="393"/>
      <c r="CT38" s="393"/>
      <c r="CU38" s="393"/>
      <c r="CV38" s="393"/>
      <c r="CW38" s="393"/>
      <c r="CX38" s="393"/>
      <c r="CY38" s="393"/>
      <c r="CZ38" s="393"/>
      <c r="DA38" s="206"/>
      <c r="DB38" s="206"/>
      <c r="DC38" s="393"/>
      <c r="DD38" s="393"/>
      <c r="DE38" s="393"/>
      <c r="DF38" s="393"/>
      <c r="DG38" s="393"/>
      <c r="DH38" s="393"/>
      <c r="DI38" s="393"/>
      <c r="DJ38" s="393"/>
      <c r="DK38" s="393"/>
      <c r="DL38" s="393"/>
      <c r="DM38" s="393"/>
      <c r="DN38" s="206"/>
      <c r="DO38" s="206"/>
      <c r="DP38" s="393"/>
      <c r="DQ38" s="393"/>
      <c r="DR38" s="393"/>
      <c r="DS38" s="393"/>
      <c r="DT38" s="393"/>
      <c r="DU38" s="393"/>
      <c r="DV38" s="393"/>
      <c r="DW38" s="393"/>
      <c r="DX38" s="393"/>
      <c r="DY38" s="393"/>
      <c r="DZ38" s="393"/>
      <c r="EA38" s="206"/>
      <c r="EB38" s="206"/>
      <c r="EC38" s="393"/>
      <c r="ED38" s="393"/>
      <c r="EE38" s="393"/>
      <c r="EF38" s="393"/>
      <c r="EG38" s="393"/>
      <c r="EH38" s="393"/>
      <c r="EI38" s="393"/>
      <c r="EJ38" s="393"/>
      <c r="EK38" s="393"/>
      <c r="EL38" s="393"/>
      <c r="EM38" s="393"/>
      <c r="EN38" s="206"/>
      <c r="EO38" s="206"/>
      <c r="EP38" s="393"/>
      <c r="EQ38" s="393"/>
      <c r="ER38" s="393"/>
      <c r="ES38" s="393"/>
      <c r="ET38" s="393"/>
      <c r="EU38" s="393"/>
      <c r="EV38" s="393"/>
      <c r="EW38" s="393"/>
      <c r="EX38" s="393"/>
      <c r="EY38" s="393"/>
      <c r="EZ38" s="393"/>
      <c r="FA38" s="206"/>
      <c r="FB38" s="206"/>
      <c r="FC38" s="393"/>
      <c r="FD38" s="393"/>
      <c r="FE38" s="393"/>
      <c r="FF38" s="393"/>
      <c r="FG38" s="393"/>
      <c r="FH38" s="393"/>
      <c r="FI38" s="393"/>
      <c r="FJ38" s="393"/>
      <c r="FK38" s="393"/>
      <c r="FL38" s="393"/>
      <c r="FM38" s="393"/>
      <c r="FN38" s="206"/>
      <c r="FO38" s="206"/>
      <c r="FP38" s="393"/>
      <c r="FQ38" s="393"/>
      <c r="FR38" s="393"/>
      <c r="FS38" s="393"/>
      <c r="FT38" s="393"/>
      <c r="FU38" s="393"/>
      <c r="FV38" s="393"/>
      <c r="FW38" s="393"/>
      <c r="FX38" s="393"/>
      <c r="FY38" s="393"/>
      <c r="FZ38" s="393"/>
      <c r="GA38" s="206"/>
      <c r="GB38" s="206"/>
      <c r="GC38" s="393"/>
      <c r="GD38" s="393"/>
      <c r="GE38" s="393"/>
      <c r="GF38" s="393"/>
      <c r="GG38" s="393"/>
      <c r="GH38" s="393"/>
      <c r="GI38" s="393"/>
      <c r="GJ38" s="393"/>
      <c r="GK38" s="393"/>
      <c r="GL38" s="393"/>
      <c r="GM38" s="393"/>
      <c r="GN38" s="206"/>
      <c r="GO38" s="206"/>
      <c r="GP38" s="393"/>
      <c r="GQ38" s="393"/>
      <c r="GR38" s="393"/>
      <c r="GS38" s="393"/>
      <c r="GT38" s="393"/>
      <c r="GU38" s="393"/>
      <c r="GV38" s="393"/>
      <c r="GW38" s="393"/>
      <c r="GX38" s="393"/>
      <c r="GY38" s="393"/>
      <c r="GZ38" s="393"/>
      <c r="HA38" s="206"/>
      <c r="HB38" s="206"/>
      <c r="HC38" s="393"/>
      <c r="HD38" s="393"/>
      <c r="HE38" s="393"/>
      <c r="HF38" s="393"/>
      <c r="HG38" s="393"/>
      <c r="HH38" s="393"/>
      <c r="HI38" s="393"/>
      <c r="HJ38" s="393"/>
      <c r="HK38" s="393"/>
      <c r="HL38" s="393"/>
      <c r="HM38" s="393"/>
      <c r="HN38" s="206"/>
      <c r="HO38" s="206"/>
      <c r="HP38" s="393"/>
      <c r="HQ38" s="393"/>
      <c r="HR38" s="393"/>
      <c r="HS38" s="393"/>
      <c r="HT38" s="393"/>
      <c r="HU38" s="393"/>
      <c r="HV38" s="393"/>
      <c r="HW38" s="393"/>
      <c r="HX38" s="393"/>
      <c r="HY38" s="393"/>
      <c r="HZ38" s="393"/>
      <c r="IA38" s="206"/>
      <c r="IB38" s="206"/>
      <c r="IC38" s="393"/>
      <c r="ID38" s="393"/>
      <c r="IE38" s="393"/>
      <c r="IF38" s="393"/>
      <c r="IG38" s="393"/>
      <c r="IH38" s="393"/>
      <c r="II38" s="393"/>
      <c r="IJ38" s="393"/>
      <c r="IK38" s="393"/>
      <c r="IL38" s="393"/>
      <c r="IM38" s="393"/>
      <c r="IN38" s="206"/>
      <c r="IO38" s="206"/>
      <c r="IP38" s="393"/>
      <c r="IQ38" s="393"/>
      <c r="IR38" s="393"/>
      <c r="IS38" s="393"/>
      <c r="IT38" s="393"/>
      <c r="IU38" s="393"/>
      <c r="IV38" s="393"/>
    </row>
    <row r="39" spans="1:256" x14ac:dyDescent="0.2">
      <c r="A39" s="217"/>
      <c r="B39" s="218"/>
      <c r="C39" s="388"/>
      <c r="D39" s="388"/>
      <c r="E39" s="388"/>
      <c r="F39" s="388"/>
      <c r="G39" s="388"/>
      <c r="H39" s="388"/>
      <c r="I39" s="388"/>
      <c r="J39" s="388"/>
      <c r="K39" s="388"/>
      <c r="L39" s="388"/>
      <c r="M39" s="389"/>
      <c r="N39" s="210"/>
      <c r="O39" s="210"/>
      <c r="P39" s="394"/>
      <c r="Q39" s="394"/>
      <c r="R39" s="394"/>
      <c r="S39" s="394"/>
      <c r="T39" s="394"/>
      <c r="U39" s="394"/>
      <c r="V39" s="394"/>
      <c r="W39" s="394"/>
      <c r="X39" s="394"/>
      <c r="Y39" s="394"/>
      <c r="Z39" s="394"/>
      <c r="AA39" s="206"/>
      <c r="AB39" s="206"/>
      <c r="AC39" s="393"/>
      <c r="AD39" s="393"/>
      <c r="AE39" s="393"/>
      <c r="AF39" s="393"/>
      <c r="AG39" s="393"/>
      <c r="AH39" s="393"/>
      <c r="AI39" s="393"/>
      <c r="AJ39" s="393"/>
      <c r="AK39" s="393"/>
      <c r="AL39" s="393"/>
      <c r="AM39" s="393"/>
      <c r="AN39" s="206"/>
      <c r="AO39" s="206"/>
      <c r="AP39" s="393"/>
      <c r="AQ39" s="393"/>
      <c r="AR39" s="393"/>
      <c r="AS39" s="393"/>
      <c r="AT39" s="393"/>
      <c r="AU39" s="393"/>
      <c r="AV39" s="393"/>
      <c r="AW39" s="393"/>
      <c r="AX39" s="393"/>
      <c r="AY39" s="393"/>
      <c r="AZ39" s="393"/>
      <c r="BA39" s="206"/>
      <c r="BB39" s="206"/>
      <c r="BC39" s="393"/>
      <c r="BD39" s="393"/>
      <c r="BE39" s="393"/>
      <c r="BF39" s="393"/>
      <c r="BG39" s="393"/>
      <c r="BH39" s="393"/>
      <c r="BI39" s="393"/>
      <c r="BJ39" s="393"/>
      <c r="BK39" s="393"/>
      <c r="BL39" s="393"/>
      <c r="BM39" s="393"/>
      <c r="BN39" s="206"/>
      <c r="BO39" s="206"/>
      <c r="BP39" s="393"/>
      <c r="BQ39" s="393"/>
      <c r="BR39" s="393"/>
      <c r="BS39" s="393"/>
      <c r="BT39" s="393"/>
      <c r="BU39" s="393"/>
      <c r="BV39" s="393"/>
      <c r="BW39" s="393"/>
      <c r="BX39" s="393"/>
      <c r="BY39" s="393"/>
      <c r="BZ39" s="393"/>
      <c r="CA39" s="206"/>
      <c r="CB39" s="206"/>
      <c r="CC39" s="393"/>
      <c r="CD39" s="393"/>
      <c r="CE39" s="393"/>
      <c r="CF39" s="393"/>
      <c r="CG39" s="393"/>
      <c r="CH39" s="393"/>
      <c r="CI39" s="393"/>
      <c r="CJ39" s="393"/>
      <c r="CK39" s="393"/>
      <c r="CL39" s="393"/>
      <c r="CM39" s="393"/>
      <c r="CN39" s="206"/>
      <c r="CO39" s="206"/>
      <c r="CP39" s="393"/>
      <c r="CQ39" s="393"/>
      <c r="CR39" s="393"/>
      <c r="CS39" s="393"/>
      <c r="CT39" s="393"/>
      <c r="CU39" s="393"/>
      <c r="CV39" s="393"/>
      <c r="CW39" s="393"/>
      <c r="CX39" s="393"/>
      <c r="CY39" s="393"/>
      <c r="CZ39" s="393"/>
      <c r="DA39" s="206"/>
      <c r="DB39" s="206"/>
      <c r="DC39" s="393"/>
      <c r="DD39" s="393"/>
      <c r="DE39" s="393"/>
      <c r="DF39" s="393"/>
      <c r="DG39" s="393"/>
      <c r="DH39" s="393"/>
      <c r="DI39" s="393"/>
      <c r="DJ39" s="393"/>
      <c r="DK39" s="393"/>
      <c r="DL39" s="393"/>
      <c r="DM39" s="393"/>
      <c r="DN39" s="206"/>
      <c r="DO39" s="206"/>
      <c r="DP39" s="393"/>
      <c r="DQ39" s="393"/>
      <c r="DR39" s="393"/>
      <c r="DS39" s="393"/>
      <c r="DT39" s="393"/>
      <c r="DU39" s="393"/>
      <c r="DV39" s="393"/>
      <c r="DW39" s="393"/>
      <c r="DX39" s="393"/>
      <c r="DY39" s="393"/>
      <c r="DZ39" s="393"/>
      <c r="EA39" s="206"/>
      <c r="EB39" s="206"/>
      <c r="EC39" s="393"/>
      <c r="ED39" s="393"/>
      <c r="EE39" s="393"/>
      <c r="EF39" s="393"/>
      <c r="EG39" s="393"/>
      <c r="EH39" s="393"/>
      <c r="EI39" s="393"/>
      <c r="EJ39" s="393"/>
      <c r="EK39" s="393"/>
      <c r="EL39" s="393"/>
      <c r="EM39" s="393"/>
      <c r="EN39" s="206"/>
      <c r="EO39" s="206"/>
      <c r="EP39" s="393"/>
      <c r="EQ39" s="393"/>
      <c r="ER39" s="393"/>
      <c r="ES39" s="393"/>
      <c r="ET39" s="393"/>
      <c r="EU39" s="393"/>
      <c r="EV39" s="393"/>
      <c r="EW39" s="393"/>
      <c r="EX39" s="393"/>
      <c r="EY39" s="393"/>
      <c r="EZ39" s="393"/>
      <c r="FA39" s="206"/>
      <c r="FB39" s="206"/>
      <c r="FC39" s="393"/>
      <c r="FD39" s="393"/>
      <c r="FE39" s="393"/>
      <c r="FF39" s="393"/>
      <c r="FG39" s="393"/>
      <c r="FH39" s="393"/>
      <c r="FI39" s="393"/>
      <c r="FJ39" s="393"/>
      <c r="FK39" s="393"/>
      <c r="FL39" s="393"/>
      <c r="FM39" s="393"/>
      <c r="FN39" s="206"/>
      <c r="FO39" s="206"/>
      <c r="FP39" s="393"/>
      <c r="FQ39" s="393"/>
      <c r="FR39" s="393"/>
      <c r="FS39" s="393"/>
      <c r="FT39" s="393"/>
      <c r="FU39" s="393"/>
      <c r="FV39" s="393"/>
      <c r="FW39" s="393"/>
      <c r="FX39" s="393"/>
      <c r="FY39" s="393"/>
      <c r="FZ39" s="393"/>
      <c r="GA39" s="206"/>
      <c r="GB39" s="206"/>
      <c r="GC39" s="393"/>
      <c r="GD39" s="393"/>
      <c r="GE39" s="393"/>
      <c r="GF39" s="393"/>
      <c r="GG39" s="393"/>
      <c r="GH39" s="393"/>
      <c r="GI39" s="393"/>
      <c r="GJ39" s="393"/>
      <c r="GK39" s="393"/>
      <c r="GL39" s="393"/>
      <c r="GM39" s="393"/>
      <c r="GN39" s="206"/>
      <c r="GO39" s="206"/>
      <c r="GP39" s="393"/>
      <c r="GQ39" s="393"/>
      <c r="GR39" s="393"/>
      <c r="GS39" s="393"/>
      <c r="GT39" s="393"/>
      <c r="GU39" s="393"/>
      <c r="GV39" s="393"/>
      <c r="GW39" s="393"/>
      <c r="GX39" s="393"/>
      <c r="GY39" s="393"/>
      <c r="GZ39" s="393"/>
      <c r="HA39" s="206"/>
      <c r="HB39" s="206"/>
      <c r="HC39" s="393"/>
      <c r="HD39" s="393"/>
      <c r="HE39" s="393"/>
      <c r="HF39" s="393"/>
      <c r="HG39" s="393"/>
      <c r="HH39" s="393"/>
      <c r="HI39" s="393"/>
      <c r="HJ39" s="393"/>
      <c r="HK39" s="393"/>
      <c r="HL39" s="393"/>
      <c r="HM39" s="393"/>
      <c r="HN39" s="206"/>
      <c r="HO39" s="206"/>
      <c r="HP39" s="393"/>
      <c r="HQ39" s="393"/>
      <c r="HR39" s="393"/>
      <c r="HS39" s="393"/>
      <c r="HT39" s="393"/>
      <c r="HU39" s="393"/>
      <c r="HV39" s="393"/>
      <c r="HW39" s="393"/>
      <c r="HX39" s="393"/>
      <c r="HY39" s="393"/>
      <c r="HZ39" s="393"/>
      <c r="IA39" s="206"/>
      <c r="IB39" s="206"/>
      <c r="IC39" s="393"/>
      <c r="ID39" s="393"/>
      <c r="IE39" s="393"/>
      <c r="IF39" s="393"/>
      <c r="IG39" s="393"/>
      <c r="IH39" s="393"/>
      <c r="II39" s="393"/>
      <c r="IJ39" s="393"/>
      <c r="IK39" s="393"/>
      <c r="IL39" s="393"/>
      <c r="IM39" s="393"/>
      <c r="IN39" s="206"/>
      <c r="IO39" s="206"/>
      <c r="IP39" s="393"/>
      <c r="IQ39" s="393"/>
      <c r="IR39" s="393"/>
      <c r="IS39" s="393"/>
      <c r="IT39" s="393"/>
      <c r="IU39" s="393"/>
      <c r="IV39" s="393"/>
    </row>
    <row r="40" spans="1:256" x14ac:dyDescent="0.2">
      <c r="A40" s="217"/>
      <c r="B40" s="218"/>
      <c r="C40" s="388"/>
      <c r="D40" s="388"/>
      <c r="E40" s="388"/>
      <c r="F40" s="388"/>
      <c r="G40" s="388"/>
      <c r="H40" s="388"/>
      <c r="I40" s="388"/>
      <c r="J40" s="388"/>
      <c r="K40" s="388"/>
      <c r="L40" s="388"/>
      <c r="M40" s="389"/>
      <c r="N40" s="210"/>
      <c r="O40" s="210"/>
      <c r="P40" s="394"/>
      <c r="Q40" s="394"/>
      <c r="R40" s="394"/>
      <c r="S40" s="394"/>
      <c r="T40" s="394"/>
      <c r="U40" s="394"/>
      <c r="V40" s="394"/>
      <c r="W40" s="394"/>
      <c r="X40" s="394"/>
      <c r="Y40" s="394"/>
      <c r="Z40" s="394"/>
      <c r="AA40" s="206"/>
      <c r="AB40" s="206"/>
      <c r="AC40" s="393"/>
      <c r="AD40" s="393"/>
      <c r="AE40" s="393"/>
      <c r="AF40" s="393"/>
      <c r="AG40" s="393"/>
      <c r="AH40" s="393"/>
      <c r="AI40" s="393"/>
      <c r="AJ40" s="393"/>
      <c r="AK40" s="393"/>
      <c r="AL40" s="393"/>
      <c r="AM40" s="393"/>
      <c r="AN40" s="206"/>
      <c r="AO40" s="206"/>
      <c r="AP40" s="393"/>
      <c r="AQ40" s="393"/>
      <c r="AR40" s="393"/>
      <c r="AS40" s="393"/>
      <c r="AT40" s="393"/>
      <c r="AU40" s="393"/>
      <c r="AV40" s="393"/>
      <c r="AW40" s="393"/>
      <c r="AX40" s="393"/>
      <c r="AY40" s="393"/>
      <c r="AZ40" s="393"/>
      <c r="BA40" s="206"/>
      <c r="BB40" s="206"/>
      <c r="BC40" s="393"/>
      <c r="BD40" s="393"/>
      <c r="BE40" s="393"/>
      <c r="BF40" s="393"/>
      <c r="BG40" s="393"/>
      <c r="BH40" s="393"/>
      <c r="BI40" s="393"/>
      <c r="BJ40" s="393"/>
      <c r="BK40" s="393"/>
      <c r="BL40" s="393"/>
      <c r="BM40" s="393"/>
      <c r="BN40" s="206"/>
      <c r="BO40" s="206"/>
      <c r="BP40" s="393"/>
      <c r="BQ40" s="393"/>
      <c r="BR40" s="393"/>
      <c r="BS40" s="393"/>
      <c r="BT40" s="393"/>
      <c r="BU40" s="393"/>
      <c r="BV40" s="393"/>
      <c r="BW40" s="393"/>
      <c r="BX40" s="393"/>
      <c r="BY40" s="393"/>
      <c r="BZ40" s="393"/>
      <c r="CA40" s="206"/>
      <c r="CB40" s="206"/>
      <c r="CC40" s="393"/>
      <c r="CD40" s="393"/>
      <c r="CE40" s="393"/>
      <c r="CF40" s="393"/>
      <c r="CG40" s="393"/>
      <c r="CH40" s="393"/>
      <c r="CI40" s="393"/>
      <c r="CJ40" s="393"/>
      <c r="CK40" s="393"/>
      <c r="CL40" s="393"/>
      <c r="CM40" s="393"/>
      <c r="CN40" s="206"/>
      <c r="CO40" s="206"/>
      <c r="CP40" s="393"/>
      <c r="CQ40" s="393"/>
      <c r="CR40" s="393"/>
      <c r="CS40" s="393"/>
      <c r="CT40" s="393"/>
      <c r="CU40" s="393"/>
      <c r="CV40" s="393"/>
      <c r="CW40" s="393"/>
      <c r="CX40" s="393"/>
      <c r="CY40" s="393"/>
      <c r="CZ40" s="393"/>
      <c r="DA40" s="206"/>
      <c r="DB40" s="206"/>
      <c r="DC40" s="393"/>
      <c r="DD40" s="393"/>
      <c r="DE40" s="393"/>
      <c r="DF40" s="393"/>
      <c r="DG40" s="393"/>
      <c r="DH40" s="393"/>
      <c r="DI40" s="393"/>
      <c r="DJ40" s="393"/>
      <c r="DK40" s="393"/>
      <c r="DL40" s="393"/>
      <c r="DM40" s="393"/>
      <c r="DN40" s="206"/>
      <c r="DO40" s="206"/>
      <c r="DP40" s="393"/>
      <c r="DQ40" s="393"/>
      <c r="DR40" s="393"/>
      <c r="DS40" s="393"/>
      <c r="DT40" s="393"/>
      <c r="DU40" s="393"/>
      <c r="DV40" s="393"/>
      <c r="DW40" s="393"/>
      <c r="DX40" s="393"/>
      <c r="DY40" s="393"/>
      <c r="DZ40" s="393"/>
      <c r="EA40" s="206"/>
      <c r="EB40" s="206"/>
      <c r="EC40" s="393"/>
      <c r="ED40" s="393"/>
      <c r="EE40" s="393"/>
      <c r="EF40" s="393"/>
      <c r="EG40" s="393"/>
      <c r="EH40" s="393"/>
      <c r="EI40" s="393"/>
      <c r="EJ40" s="393"/>
      <c r="EK40" s="393"/>
      <c r="EL40" s="393"/>
      <c r="EM40" s="393"/>
      <c r="EN40" s="206"/>
      <c r="EO40" s="206"/>
      <c r="EP40" s="393"/>
      <c r="EQ40" s="393"/>
      <c r="ER40" s="393"/>
      <c r="ES40" s="393"/>
      <c r="ET40" s="393"/>
      <c r="EU40" s="393"/>
      <c r="EV40" s="393"/>
      <c r="EW40" s="393"/>
      <c r="EX40" s="393"/>
      <c r="EY40" s="393"/>
      <c r="EZ40" s="393"/>
      <c r="FA40" s="206"/>
      <c r="FB40" s="206"/>
      <c r="FC40" s="393"/>
      <c r="FD40" s="393"/>
      <c r="FE40" s="393"/>
      <c r="FF40" s="393"/>
      <c r="FG40" s="393"/>
      <c r="FH40" s="393"/>
      <c r="FI40" s="393"/>
      <c r="FJ40" s="393"/>
      <c r="FK40" s="393"/>
      <c r="FL40" s="393"/>
      <c r="FM40" s="393"/>
      <c r="FN40" s="206"/>
      <c r="FO40" s="206"/>
      <c r="FP40" s="393"/>
      <c r="FQ40" s="393"/>
      <c r="FR40" s="393"/>
      <c r="FS40" s="393"/>
      <c r="FT40" s="393"/>
      <c r="FU40" s="393"/>
      <c r="FV40" s="393"/>
      <c r="FW40" s="393"/>
      <c r="FX40" s="393"/>
      <c r="FY40" s="393"/>
      <c r="FZ40" s="393"/>
      <c r="GA40" s="206"/>
      <c r="GB40" s="206"/>
      <c r="GC40" s="393"/>
      <c r="GD40" s="393"/>
      <c r="GE40" s="393"/>
      <c r="GF40" s="393"/>
      <c r="GG40" s="393"/>
      <c r="GH40" s="393"/>
      <c r="GI40" s="393"/>
      <c r="GJ40" s="393"/>
      <c r="GK40" s="393"/>
      <c r="GL40" s="393"/>
      <c r="GM40" s="393"/>
      <c r="GN40" s="206"/>
      <c r="GO40" s="206"/>
      <c r="GP40" s="393"/>
      <c r="GQ40" s="393"/>
      <c r="GR40" s="393"/>
      <c r="GS40" s="393"/>
      <c r="GT40" s="393"/>
      <c r="GU40" s="393"/>
      <c r="GV40" s="393"/>
      <c r="GW40" s="393"/>
      <c r="GX40" s="393"/>
      <c r="GY40" s="393"/>
      <c r="GZ40" s="393"/>
      <c r="HA40" s="206"/>
      <c r="HB40" s="206"/>
      <c r="HC40" s="393"/>
      <c r="HD40" s="393"/>
      <c r="HE40" s="393"/>
      <c r="HF40" s="393"/>
      <c r="HG40" s="393"/>
      <c r="HH40" s="393"/>
      <c r="HI40" s="393"/>
      <c r="HJ40" s="393"/>
      <c r="HK40" s="393"/>
      <c r="HL40" s="393"/>
      <c r="HM40" s="393"/>
      <c r="HN40" s="206"/>
      <c r="HO40" s="206"/>
      <c r="HP40" s="393"/>
      <c r="HQ40" s="393"/>
      <c r="HR40" s="393"/>
      <c r="HS40" s="393"/>
      <c r="HT40" s="393"/>
      <c r="HU40" s="393"/>
      <c r="HV40" s="393"/>
      <c r="HW40" s="393"/>
      <c r="HX40" s="393"/>
      <c r="HY40" s="393"/>
      <c r="HZ40" s="393"/>
      <c r="IA40" s="206"/>
      <c r="IB40" s="206"/>
      <c r="IC40" s="393"/>
      <c r="ID40" s="393"/>
      <c r="IE40" s="393"/>
      <c r="IF40" s="393"/>
      <c r="IG40" s="393"/>
      <c r="IH40" s="393"/>
      <c r="II40" s="393"/>
      <c r="IJ40" s="393"/>
      <c r="IK40" s="393"/>
      <c r="IL40" s="393"/>
      <c r="IM40" s="393"/>
      <c r="IN40" s="206"/>
      <c r="IO40" s="206"/>
      <c r="IP40" s="393"/>
      <c r="IQ40" s="393"/>
      <c r="IR40" s="393"/>
      <c r="IS40" s="393"/>
      <c r="IT40" s="393"/>
      <c r="IU40" s="393"/>
      <c r="IV40" s="393"/>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390"/>
      <c r="D70" s="390"/>
      <c r="E70" s="390"/>
      <c r="F70" s="390"/>
      <c r="G70" s="390"/>
      <c r="H70" s="390"/>
      <c r="I70" s="390"/>
      <c r="J70" s="390"/>
      <c r="K70" s="390"/>
      <c r="L70" s="390"/>
      <c r="M70" s="391"/>
    </row>
    <row r="71" spans="1:13" ht="12" thickTop="1" x14ac:dyDescent="0.2">
      <c r="A71" s="207"/>
      <c r="B71" s="207"/>
      <c r="C71" s="208"/>
      <c r="D71" s="208"/>
      <c r="E71" s="208"/>
      <c r="F71" s="208"/>
      <c r="G71" s="208"/>
      <c r="H71" s="208"/>
      <c r="I71" s="208"/>
      <c r="J71" s="208"/>
      <c r="K71" s="208"/>
      <c r="L71" s="208"/>
    </row>
    <row r="72" spans="1:13" ht="12.75" x14ac:dyDescent="0.2">
      <c r="A72" s="392" t="s">
        <v>832</v>
      </c>
      <c r="B72" s="392"/>
      <c r="C72" s="392"/>
      <c r="D72" s="392"/>
      <c r="E72" s="392"/>
      <c r="F72" s="126"/>
      <c r="G72" s="126"/>
      <c r="H72" s="126"/>
      <c r="I72" s="126"/>
      <c r="J72" s="126"/>
      <c r="K72" s="126"/>
      <c r="L72" s="126"/>
      <c r="M72" s="126"/>
    </row>
    <row r="73" spans="1:13" x14ac:dyDescent="0.2">
      <c r="A73" s="209" t="s">
        <v>764</v>
      </c>
      <c r="B73" s="209" t="s">
        <v>765</v>
      </c>
      <c r="C73" s="387"/>
      <c r="D73" s="387"/>
      <c r="E73" s="387"/>
      <c r="F73" s="387"/>
      <c r="G73" s="387"/>
      <c r="H73" s="387"/>
      <c r="I73" s="387"/>
      <c r="J73" s="387"/>
      <c r="K73" s="387"/>
      <c r="L73" s="387"/>
      <c r="M73" s="387"/>
    </row>
    <row r="74" spans="1:13" x14ac:dyDescent="0.2">
      <c r="A74" s="210"/>
      <c r="B74" s="210"/>
      <c r="C74" s="387"/>
      <c r="D74" s="387"/>
      <c r="E74" s="387"/>
      <c r="F74" s="387"/>
      <c r="G74" s="387"/>
      <c r="H74" s="387"/>
      <c r="I74" s="387"/>
      <c r="J74" s="387"/>
      <c r="K74" s="387"/>
      <c r="L74" s="387"/>
      <c r="M74" s="387"/>
    </row>
    <row r="75" spans="1:13" x14ac:dyDescent="0.2">
      <c r="A75" s="210"/>
      <c r="B75" s="210"/>
      <c r="C75" s="387"/>
      <c r="D75" s="387"/>
      <c r="E75" s="387"/>
      <c r="F75" s="387"/>
      <c r="G75" s="387"/>
      <c r="H75" s="387"/>
      <c r="I75" s="387"/>
      <c r="J75" s="387"/>
      <c r="K75" s="387"/>
      <c r="L75" s="387"/>
      <c r="M75" s="387"/>
    </row>
    <row r="76" spans="1:13" x14ac:dyDescent="0.2">
      <c r="A76" s="210"/>
      <c r="B76" s="210"/>
      <c r="C76" s="387"/>
      <c r="D76" s="387"/>
      <c r="E76" s="387"/>
      <c r="F76" s="387"/>
      <c r="G76" s="387"/>
      <c r="H76" s="387"/>
      <c r="I76" s="387"/>
      <c r="J76" s="387"/>
      <c r="K76" s="387"/>
      <c r="L76" s="387"/>
      <c r="M76" s="387"/>
    </row>
    <row r="77" spans="1:13" x14ac:dyDescent="0.2">
      <c r="A77" s="210"/>
      <c r="B77" s="210"/>
      <c r="C77" s="387"/>
      <c r="D77" s="387"/>
      <c r="E77" s="387"/>
      <c r="F77" s="387"/>
      <c r="G77" s="387"/>
      <c r="H77" s="387"/>
      <c r="I77" s="387"/>
      <c r="J77" s="387"/>
      <c r="K77" s="387"/>
      <c r="L77" s="387"/>
      <c r="M77" s="387"/>
    </row>
    <row r="78" spans="1:13" x14ac:dyDescent="0.2">
      <c r="A78" s="210"/>
      <c r="B78" s="210"/>
      <c r="C78" s="387"/>
      <c r="D78" s="387"/>
      <c r="E78" s="387"/>
      <c r="F78" s="387"/>
      <c r="G78" s="387"/>
      <c r="H78" s="387"/>
      <c r="I78" s="387"/>
      <c r="J78" s="387"/>
      <c r="K78" s="387"/>
      <c r="L78" s="387"/>
      <c r="M78" s="387"/>
    </row>
    <row r="79" spans="1:13" x14ac:dyDescent="0.2">
      <c r="A79" s="210"/>
      <c r="B79" s="210"/>
      <c r="C79" s="387"/>
      <c r="D79" s="387"/>
      <c r="E79" s="387"/>
      <c r="F79" s="387"/>
      <c r="G79" s="387"/>
      <c r="H79" s="387"/>
      <c r="I79" s="387"/>
      <c r="J79" s="387"/>
      <c r="K79" s="387"/>
      <c r="L79" s="387"/>
      <c r="M79" s="387"/>
    </row>
    <row r="80" spans="1:13" x14ac:dyDescent="0.2">
      <c r="A80" s="210"/>
      <c r="B80" s="210"/>
      <c r="C80" s="387"/>
      <c r="D80" s="387"/>
      <c r="E80" s="387"/>
      <c r="F80" s="387"/>
      <c r="G80" s="387"/>
      <c r="H80" s="387"/>
      <c r="I80" s="387"/>
      <c r="J80" s="387"/>
      <c r="K80" s="387"/>
      <c r="L80" s="387"/>
      <c r="M80" s="387"/>
    </row>
    <row r="81" spans="1:13" x14ac:dyDescent="0.2">
      <c r="A81" s="210"/>
      <c r="B81" s="210"/>
      <c r="C81" s="387"/>
      <c r="D81" s="387"/>
      <c r="E81" s="387"/>
      <c r="F81" s="387"/>
      <c r="G81" s="387"/>
      <c r="H81" s="387"/>
      <c r="I81" s="387"/>
      <c r="J81" s="387"/>
      <c r="K81" s="387"/>
      <c r="L81" s="387"/>
      <c r="M81" s="387"/>
    </row>
    <row r="82" spans="1:13" x14ac:dyDescent="0.2">
      <c r="A82" s="210"/>
      <c r="B82" s="210"/>
      <c r="C82" s="387"/>
      <c r="D82" s="387"/>
      <c r="E82" s="387"/>
      <c r="F82" s="387"/>
      <c r="G82" s="387"/>
      <c r="H82" s="387"/>
      <c r="I82" s="387"/>
      <c r="J82" s="387"/>
      <c r="K82" s="387"/>
      <c r="L82" s="387"/>
      <c r="M82" s="387"/>
    </row>
    <row r="83" spans="1:13" x14ac:dyDescent="0.2">
      <c r="A83" s="210"/>
      <c r="B83" s="210"/>
      <c r="C83" s="387"/>
      <c r="D83" s="387"/>
      <c r="E83" s="387"/>
      <c r="F83" s="387"/>
      <c r="G83" s="387"/>
      <c r="H83" s="387"/>
      <c r="I83" s="387"/>
      <c r="J83" s="387"/>
      <c r="K83" s="387"/>
      <c r="L83" s="387"/>
      <c r="M83" s="387"/>
    </row>
    <row r="84" spans="1:13" x14ac:dyDescent="0.2">
      <c r="A84" s="210"/>
      <c r="B84" s="210"/>
      <c r="C84" s="387"/>
      <c r="D84" s="387"/>
      <c r="E84" s="387"/>
      <c r="F84" s="387"/>
      <c r="G84" s="387"/>
      <c r="H84" s="387"/>
      <c r="I84" s="387"/>
      <c r="J84" s="387"/>
      <c r="K84" s="387"/>
      <c r="L84" s="387"/>
      <c r="M84" s="387"/>
    </row>
    <row r="85" spans="1:13" x14ac:dyDescent="0.2">
      <c r="A85" s="210"/>
      <c r="B85" s="210"/>
      <c r="C85" s="387"/>
      <c r="D85" s="387"/>
      <c r="E85" s="387"/>
      <c r="F85" s="387"/>
      <c r="G85" s="387"/>
      <c r="H85" s="387"/>
      <c r="I85" s="387"/>
      <c r="J85" s="387"/>
      <c r="K85" s="387"/>
      <c r="L85" s="387"/>
      <c r="M85" s="387"/>
    </row>
    <row r="86" spans="1:13" x14ac:dyDescent="0.2">
      <c r="A86" s="210"/>
      <c r="B86" s="210"/>
      <c r="C86" s="387"/>
      <c r="D86" s="387"/>
      <c r="E86" s="387"/>
      <c r="F86" s="387"/>
      <c r="G86" s="387"/>
      <c r="H86" s="387"/>
      <c r="I86" s="387"/>
      <c r="J86" s="387"/>
      <c r="K86" s="387"/>
      <c r="L86" s="387"/>
      <c r="M86" s="387"/>
    </row>
    <row r="87" spans="1:13" x14ac:dyDescent="0.2">
      <c r="A87" s="210"/>
      <c r="B87" s="210"/>
      <c r="C87" s="387"/>
      <c r="D87" s="387"/>
      <c r="E87" s="387"/>
      <c r="F87" s="387"/>
      <c r="G87" s="387"/>
      <c r="H87" s="387"/>
      <c r="I87" s="387"/>
      <c r="J87" s="387"/>
      <c r="K87" s="387"/>
      <c r="L87" s="387"/>
      <c r="M87" s="387"/>
    </row>
    <row r="88" spans="1:13" x14ac:dyDescent="0.2">
      <c r="A88" s="210"/>
      <c r="B88" s="210"/>
      <c r="C88" s="387"/>
      <c r="D88" s="387"/>
      <c r="E88" s="387"/>
      <c r="F88" s="387"/>
      <c r="G88" s="387"/>
      <c r="H88" s="387"/>
      <c r="I88" s="387"/>
      <c r="J88" s="387"/>
      <c r="K88" s="387"/>
      <c r="L88" s="387"/>
      <c r="M88" s="387"/>
    </row>
    <row r="89" spans="1:13" x14ac:dyDescent="0.2">
      <c r="A89" s="210"/>
      <c r="B89" s="210"/>
      <c r="C89" s="387"/>
      <c r="D89" s="387"/>
      <c r="E89" s="387"/>
      <c r="F89" s="387"/>
      <c r="G89" s="387"/>
      <c r="H89" s="387"/>
      <c r="I89" s="387"/>
      <c r="J89" s="387"/>
      <c r="K89" s="387"/>
      <c r="L89" s="387"/>
      <c r="M89" s="387"/>
    </row>
    <row r="90" spans="1:13" x14ac:dyDescent="0.2">
      <c r="A90" s="210"/>
      <c r="B90" s="210"/>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89</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21</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228</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f>IF('School Level Expenditures'!$B$2='School Tables'!W24,'School Tables'!AD24,"")</f>
        <v>21</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f>IF('School Level Expenditures'!$B$2=A92,'School Tables'!H92,"")</f>
        <v>89</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f>IF('School Level Expenditures'!$B$2=A231,'School Tables'!H231,"")</f>
        <v>228</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2022-12-19T15:14:24Z</dcterms:modified>
</cp:coreProperties>
</file>