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51055B75-D5A8-42D9-A98A-08DFD64AE9D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69" i="1" l="1"/>
  <c r="F50" i="1" l="1"/>
  <c r="F30" i="1"/>
  <c r="J466" i="1"/>
  <c r="F14" i="1"/>
  <c r="G542" i="1" l="1"/>
  <c r="F542" i="1"/>
  <c r="D37" i="14" l="1"/>
  <c r="D25" i="14"/>
  <c r="F26" i="1"/>
  <c r="B11" i="12" l="1"/>
  <c r="G13" i="1"/>
  <c r="G12" i="1"/>
  <c r="H522" i="1" l="1"/>
  <c r="H605" i="1"/>
  <c r="E13" i="17" l="1"/>
  <c r="E9" i="17"/>
  <c r="H155" i="1"/>
  <c r="H154" i="1"/>
  <c r="I277" i="1" l="1"/>
  <c r="H136" i="2" l="1"/>
  <c r="H137" i="2"/>
  <c r="H139" i="2"/>
  <c r="H140" i="2"/>
  <c r="H142" i="2"/>
  <c r="H143" i="2"/>
  <c r="H134" i="2"/>
  <c r="H132" i="2"/>
  <c r="H131" i="2"/>
  <c r="H111" i="2"/>
  <c r="H113" i="2"/>
  <c r="H114" i="2"/>
  <c r="H97" i="2"/>
  <c r="H98" i="2"/>
  <c r="H100" i="2"/>
  <c r="H101" i="2"/>
  <c r="H102" i="2"/>
  <c r="H94" i="2"/>
  <c r="H93" i="2"/>
  <c r="H89" i="2"/>
  <c r="H90" i="2"/>
  <c r="H87" i="2"/>
  <c r="H85" i="2"/>
  <c r="H73" i="2"/>
  <c r="H74" i="2"/>
  <c r="H75" i="2"/>
  <c r="H76" i="2"/>
  <c r="H77" i="2"/>
  <c r="H78" i="2"/>
  <c r="H79" i="2"/>
  <c r="H80" i="2"/>
  <c r="H72" i="2"/>
  <c r="H69" i="2"/>
  <c r="H66" i="2"/>
  <c r="H57" i="2"/>
  <c r="H58" i="2"/>
  <c r="H44" i="2"/>
  <c r="H42" i="2"/>
  <c r="H40" i="2"/>
  <c r="H39" i="2"/>
  <c r="H38" i="2"/>
  <c r="H36" i="2"/>
  <c r="H35" i="2"/>
  <c r="H34" i="2"/>
  <c r="H24" i="2"/>
  <c r="H26" i="2"/>
  <c r="H27" i="2"/>
  <c r="H30" i="2"/>
  <c r="H10" i="2"/>
  <c r="H14" i="2"/>
  <c r="H15"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H48" i="2" s="1"/>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H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H21" i="2" s="1"/>
  <c r="F21" i="2"/>
  <c r="I449" i="1"/>
  <c r="J22" i="1" s="1"/>
  <c r="C22" i="2"/>
  <c r="H22" i="2" s="1"/>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4" i="2"/>
  <c r="C125" i="2"/>
  <c r="H125" i="2" s="1"/>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I170" i="1"/>
  <c r="H99" i="2" l="1"/>
  <c r="G409" i="1"/>
  <c r="H646" i="1" s="1"/>
  <c r="J652" i="1"/>
  <c r="H477" i="1"/>
  <c r="H625" i="1" s="1"/>
  <c r="G477" i="1"/>
  <c r="G662" i="1"/>
  <c r="H112" i="2"/>
  <c r="A40" i="12"/>
  <c r="H23" i="2"/>
  <c r="D15" i="13"/>
  <c r="C15" i="13" s="1"/>
  <c r="C121" i="2"/>
  <c r="H121" i="2" s="1"/>
  <c r="C120" i="2"/>
  <c r="H120" i="2" s="1"/>
  <c r="H96" i="2"/>
  <c r="G646" i="1"/>
  <c r="J646" i="1" s="1"/>
  <c r="H29" i="2"/>
  <c r="H12" i="2"/>
  <c r="H8" i="2"/>
  <c r="H11" i="2"/>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0" i="2" l="1"/>
  <c r="I663" i="1"/>
  <c r="D128" i="2"/>
  <c r="D145" i="2" s="1"/>
  <c r="H127" i="2"/>
  <c r="E128" i="2"/>
  <c r="E115" i="2"/>
  <c r="H109" i="2"/>
  <c r="F661" i="1"/>
  <c r="F665" i="1" s="1"/>
  <c r="F668" i="1" s="1"/>
  <c r="H103" i="2"/>
  <c r="H91" i="2"/>
  <c r="H62" i="2"/>
  <c r="F194" i="1"/>
  <c r="G628" i="1" s="1"/>
  <c r="J628" i="1" s="1"/>
  <c r="C81" i="2"/>
  <c r="H81" i="2" s="1"/>
  <c r="H31" i="2"/>
  <c r="H18" i="2"/>
  <c r="F144" i="2"/>
  <c r="H130" i="2"/>
  <c r="H661" i="1"/>
  <c r="H665" i="1" s="1"/>
  <c r="H668" i="1" s="1"/>
  <c r="H194" i="1"/>
  <c r="G630" i="1" s="1"/>
  <c r="J630" i="1" s="1"/>
  <c r="H649" i="1"/>
  <c r="J649" i="1" s="1"/>
  <c r="C141" i="2"/>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C145" i="2" s="1"/>
  <c r="H141" i="2"/>
  <c r="H673" i="1"/>
  <c r="C6" i="10" s="1"/>
  <c r="C104" i="2"/>
  <c r="H104" i="2" s="1"/>
  <c r="H63" i="2"/>
  <c r="F145" i="2"/>
  <c r="H144"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rgb="FF000000"/>
            <rFont val="Tahoma"/>
            <family val="2"/>
          </rPr>
          <t>Total Current Assets equal Total Liabilities &amp; Equity for General Fund 10</t>
        </r>
      </text>
    </comment>
    <comment ref="J619" authorId="1" shapeId="0" xr:uid="{00000000-0006-0000-0000-00000D000000}">
      <text>
        <r>
          <rPr>
            <b/>
            <sz val="9"/>
            <color rgb="FF000000"/>
            <rFont val="Tahoma"/>
            <family val="2"/>
          </rPr>
          <t>Total Current Assets equal Total Liabilities &amp; Equity for Food Service Fund 21</t>
        </r>
        <r>
          <rPr>
            <sz val="9"/>
            <color rgb="FF000000"/>
            <rFont val="Tahoma"/>
            <family val="2"/>
          </rPr>
          <t xml:space="preserve">
</t>
        </r>
      </text>
    </comment>
    <comment ref="J620" authorId="1" shapeId="0" xr:uid="{00000000-0006-0000-0000-00000E000000}">
      <text>
        <r>
          <rPr>
            <b/>
            <sz val="9"/>
            <color rgb="FF000000"/>
            <rFont val="Tahoma"/>
            <family val="2"/>
          </rPr>
          <t>Total Current Assets equal Total Liabilities &amp; Equity for All Other Special Revenue Fund 22</t>
        </r>
        <r>
          <rPr>
            <sz val="9"/>
            <color rgb="FF000000"/>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rgb="FF000000"/>
            <rFont val="Tahoma"/>
            <family val="2"/>
          </rPr>
          <t>Total Fund Equity on Balance Sheet equals ending fund balance on page 19 for General Fund 10</t>
        </r>
        <r>
          <rPr>
            <sz val="9"/>
            <color rgb="FF000000"/>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rgb="FF000000"/>
            <rFont val="Tahoma"/>
            <family val="2"/>
          </rPr>
          <t>Total Fund Equity on Balance Sheet equals ending fund balance on page 19 for All Other Special Revenue Fund 22</t>
        </r>
        <r>
          <rPr>
            <sz val="9"/>
            <color rgb="FF000000"/>
            <rFont val="Tahoma"/>
            <family val="2"/>
          </rPr>
          <t xml:space="preserve">
</t>
        </r>
      </text>
    </comment>
    <comment ref="J626" authorId="1" shapeId="0" xr:uid="{00000000-0006-0000-0000-000014000000}">
      <text>
        <r>
          <rPr>
            <b/>
            <sz val="9"/>
            <color rgb="FF000000"/>
            <rFont val="Tahoma"/>
            <family val="2"/>
          </rPr>
          <t>Total Fund Equity on Balance Sheet equals ending fund balance on page 19 for Capital Projects Fund 30</t>
        </r>
      </text>
    </comment>
    <comment ref="J627" authorId="1" shapeId="0" xr:uid="{00000000-0006-0000-0000-000015000000}">
      <text>
        <r>
          <rPr>
            <b/>
            <sz val="9"/>
            <color rgb="FF000000"/>
            <rFont val="Tahoma"/>
            <family val="2"/>
          </rPr>
          <t>Total Fund Equity on Balance Sheet equals ending fund balance on page 19 for Trust Agency Fund 70</t>
        </r>
        <r>
          <rPr>
            <sz val="9"/>
            <color rgb="FF000000"/>
            <rFont val="Tahoma"/>
            <family val="2"/>
          </rPr>
          <t xml:space="preserve">
</t>
        </r>
      </text>
    </comment>
    <comment ref="J628" authorId="1" shapeId="0" xr:uid="{00000000-0006-0000-0000-000016000000}">
      <text>
        <r>
          <rPr>
            <b/>
            <sz val="9"/>
            <color rgb="FF000000"/>
            <rFont val="Tahoma"/>
            <family val="2"/>
          </rPr>
          <t>Total Revenue &amp; Other Financing Sources on Page 6 equals Revenue reported on Page 19 for General Fund 10</t>
        </r>
        <r>
          <rPr>
            <sz val="9"/>
            <color rgb="FF000000"/>
            <rFont val="Tahoma"/>
            <family val="2"/>
          </rPr>
          <t xml:space="preserve">
</t>
        </r>
      </text>
    </comment>
    <comment ref="J629" authorId="1" shapeId="0" xr:uid="{00000000-0006-0000-0000-000017000000}">
      <text>
        <r>
          <rPr>
            <b/>
            <sz val="9"/>
            <color rgb="FF000000"/>
            <rFont val="Tahoma"/>
            <family val="2"/>
          </rPr>
          <t>Total Revenue &amp; Other Financing Sources on Page 6 equals Revenue reported on Page 19 for Food Service Fund 21</t>
        </r>
        <r>
          <rPr>
            <sz val="9"/>
            <color rgb="FF000000"/>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rgb="FF000000"/>
            <rFont val="Tahoma"/>
            <family val="2"/>
          </rPr>
          <t>Total Revenue &amp; Other Financing Sources on Page 6 equals Revenue reported on Page 19 for Capital Projects Fund 30</t>
        </r>
        <r>
          <rPr>
            <sz val="9"/>
            <color rgb="FF000000"/>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rgb="FF000000"/>
            <rFont val="Tahoma"/>
            <family val="2"/>
          </rPr>
          <t>Total Expenditures for Page 15 line 17 equals page 19 Expenditures for Capital Fund 30</t>
        </r>
        <r>
          <rPr>
            <sz val="9"/>
            <color rgb="FF000000"/>
            <rFont val="Tahoma"/>
            <family val="2"/>
          </rPr>
          <t xml:space="preserve">
</t>
        </r>
      </text>
    </comment>
    <comment ref="J638" authorId="1" shapeId="0" xr:uid="{00000000-0006-0000-0000-000020000000}">
      <text>
        <r>
          <rPr>
            <b/>
            <sz val="9"/>
            <color rgb="FF000000"/>
            <rFont val="Tahoma"/>
            <family val="2"/>
          </rPr>
          <t>Total Trust Fund Revenue on page 16, line 20 equals Revenues reported on Page 19 for Trust Agency Fund 70</t>
        </r>
        <r>
          <rPr>
            <sz val="9"/>
            <color rgb="FF000000"/>
            <rFont val="Tahoma"/>
            <family val="2"/>
          </rPr>
          <t xml:space="preserve">
</t>
        </r>
      </text>
    </comment>
    <comment ref="J639" authorId="1" shapeId="0" xr:uid="{00000000-0006-0000-0000-000021000000}">
      <text>
        <r>
          <rPr>
            <b/>
            <sz val="9"/>
            <color rgb="FF000000"/>
            <rFont val="Tahoma"/>
            <family val="2"/>
          </rPr>
          <t>Total Trust Fund Expenditures on page 17, line 20 equals Expenditures reported on Page 19 for Trust Agency Fund 70</t>
        </r>
        <r>
          <rPr>
            <sz val="9"/>
            <color rgb="FF000000"/>
            <rFont val="Tahoma"/>
            <family val="2"/>
          </rPr>
          <t xml:space="preserve">
</t>
        </r>
      </text>
    </comment>
    <comment ref="J640" authorId="1" shapeId="0" xr:uid="{00000000-0006-0000-0000-000022000000}">
      <text>
        <r>
          <rPr>
            <b/>
            <sz val="9"/>
            <color rgb="FF000000"/>
            <rFont val="Tahoma"/>
            <family val="2"/>
          </rPr>
          <t>Total Current Trust Assets equal Total Liabilities and Equity on Page 18, column 1 for Capital Reserves</t>
        </r>
        <r>
          <rPr>
            <sz val="9"/>
            <color rgb="FF000000"/>
            <rFont val="Tahoma"/>
            <family val="2"/>
          </rPr>
          <t xml:space="preserve">
</t>
        </r>
      </text>
    </comment>
    <comment ref="J641" authorId="1" shapeId="0" xr:uid="{00000000-0006-0000-0000-000023000000}">
      <text>
        <r>
          <rPr>
            <b/>
            <sz val="9"/>
            <color rgb="FF000000"/>
            <rFont val="Tahoma"/>
            <family val="2"/>
          </rPr>
          <t>Total Current Trust Assets equal Total Liabilities and Equity on Page 18, column 2 for Other Expendable</t>
        </r>
        <r>
          <rPr>
            <sz val="9"/>
            <color rgb="FF000000"/>
            <rFont val="Tahoma"/>
            <family val="2"/>
          </rPr>
          <t xml:space="preserve">
</t>
        </r>
      </text>
    </comment>
    <comment ref="J642" authorId="1" shapeId="0" xr:uid="{00000000-0006-0000-0000-000024000000}">
      <text>
        <r>
          <rPr>
            <b/>
            <sz val="9"/>
            <color rgb="FF000000"/>
            <rFont val="Tahoma"/>
            <family val="2"/>
          </rPr>
          <t>Total Current Trust Assets equal Total Liabilities and Equity on Page 18, column 3 for Non-Expendable</t>
        </r>
        <r>
          <rPr>
            <sz val="9"/>
            <color rgb="FF000000"/>
            <rFont val="Tahoma"/>
            <family val="2"/>
          </rPr>
          <t xml:space="preserve">
</t>
        </r>
      </text>
    </comment>
    <comment ref="J643" authorId="1" shapeId="0" xr:uid="{00000000-0006-0000-0000-000025000000}">
      <text>
        <r>
          <rPr>
            <b/>
            <sz val="9"/>
            <color rgb="FF000000"/>
            <rFont val="Tahoma"/>
            <family val="2"/>
          </rPr>
          <t>Total Current Trust Assets equal Total Liabilities and Equity on Page 18, column 4 for Total Trust</t>
        </r>
        <r>
          <rPr>
            <sz val="9"/>
            <color rgb="FF000000"/>
            <rFont val="Tahoma"/>
            <family val="2"/>
          </rPr>
          <t xml:space="preserve">
</t>
        </r>
      </text>
    </comment>
    <comment ref="J644" authorId="1" shapeId="0" xr:uid="{00000000-0006-0000-0000-000026000000}">
      <text>
        <r>
          <rPr>
            <b/>
            <sz val="9"/>
            <color rgb="FF000000"/>
            <rFont val="Tahoma"/>
            <family val="2"/>
          </rPr>
          <t xml:space="preserve">Total Appropriation for Trust Fund Page 2, Column 5 equals Page 16, column 1 line 20 Total Appropriations </t>
        </r>
        <r>
          <rPr>
            <sz val="9"/>
            <color rgb="FF000000"/>
            <rFont val="Tahoma"/>
            <family val="2"/>
          </rPr>
          <t xml:space="preserve">
</t>
        </r>
      </text>
    </comment>
    <comment ref="J645" authorId="1" shapeId="0" xr:uid="{00000000-0006-0000-0000-000027000000}">
      <text>
        <r>
          <rPr>
            <b/>
            <sz val="9"/>
            <color rgb="FF000000"/>
            <rFont val="Tahoma"/>
            <family val="2"/>
          </rPr>
          <t xml:space="preserve">Total Earnings on Investments Page 3, Column 5 equals Page 16, column 3 line 20 Total Interest Earned </t>
        </r>
        <r>
          <rPr>
            <sz val="9"/>
            <color rgb="FF000000"/>
            <rFont val="Tahoma"/>
            <family val="2"/>
          </rPr>
          <t xml:space="preserve">
</t>
        </r>
      </text>
    </comment>
    <comment ref="J646" authorId="1" shapeId="0" xr:uid="{00000000-0006-0000-0000-000028000000}">
      <text>
        <r>
          <rPr>
            <b/>
            <sz val="9"/>
            <color rgb="FF000000"/>
            <rFont val="Tahoma"/>
            <family val="2"/>
          </rPr>
          <t>Total Inter-fund transfers on page 6 line 10 Fund 70 equals Total Inter-fund Transfers on Page 16, line20 Column 2</t>
        </r>
        <r>
          <rPr>
            <sz val="9"/>
            <color rgb="FF000000"/>
            <rFont val="Tahoma"/>
            <family val="2"/>
          </rPr>
          <t xml:space="preserve">
</t>
        </r>
      </text>
    </comment>
    <comment ref="J647" authorId="1" shapeId="0" xr:uid="{00000000-0006-0000-0000-000029000000}">
      <text>
        <r>
          <rPr>
            <b/>
            <sz val="9"/>
            <color rgb="FF000000"/>
            <rFont val="Tahoma"/>
            <family val="2"/>
          </rPr>
          <t>Total Revenue &amp; Other Financing Sources Page 6 line 19 Fund 70 equals Total Trust Fund Revenue on Page 16 line 20 column 7</t>
        </r>
        <r>
          <rPr>
            <sz val="9"/>
            <color rgb="FF000000"/>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5B16850A-2864-437C-88AA-CE9B9C52C64A}">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<sst xmlns="http://schemas.openxmlformats.org/spreadsheetml/2006/main" count="6531" uniqueCount="1803">
  <si>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</si>
  <si>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</si>
  <si>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</si>
  <si>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</si>
  <si>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</si>
  <si>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</si>
  <si>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</si>
  <si>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</si>
  <si>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</si>
  <si>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</si>
  <si>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</si>
  <si>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</si>
  <si>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</si>
  <si>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</si>
  <si>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</si>
  <si>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</si>
  <si>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</si>
  <si>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</si>
  <si>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</si>
  <si>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</si>
  <si>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</si>
  <si>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</si>
  <si>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</si>
  <si>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</si>
  <si>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</si>
  <si>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</si>
  <si>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</si>
  <si>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</si>
  <si>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</si>
  <si>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</si>
  <si>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</si>
  <si>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</si>
  <si>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</si>
  <si>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</si>
  <si>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</si>
  <si>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</si>
  <si>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</si>
  <si>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</si>
  <si>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</si>
  <si>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</si>
  <si>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</si>
  <si>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</si>
  <si>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</si>
  <si>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</si>
  <si>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</si>
  <si>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</si>
  <si>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</si>
  <si>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</si>
  <si>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</si>
  <si>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</si>
  <si>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</si>
  <si>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</si>
  <si>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</si>
  <si>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</si>
  <si>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</si>
  <si>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</si>
  <si>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</si>
  <si>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</si>
  <si>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</si>
  <si>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</si>
  <si>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</si>
  <si>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</si>
  <si>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</si>
  <si>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</si>
  <si>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</si>
  <si>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</si>
  <si>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</si>
  <si>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</si>
  <si>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</si>
  <si>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</si>
  <si>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</si>
  <si>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</si>
  <si>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</si>
  <si>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</si>
  <si>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</si>
  <si>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</si>
  <si>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</si>
  <si>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</si>
  <si>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</si>
  <si>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</si>
  <si>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</si>
  <si>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</si>
  <si>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</si>
  <si>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</si>
  <si>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</si>
  <si>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</si>
  <si>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</si>
  <si>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</si>
  <si>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</si>
  <si>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</si>
  <si>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</si>
  <si>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</si>
  <si>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</si>
  <si>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</si>
  <si>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</si>
  <si>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</si>
  <si>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</si>
  <si>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</si>
  <si>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</si>
  <si>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</si>
  <si>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</si>
  <si>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</si>
  <si>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</si>
  <si>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</si>
  <si>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</si>
  <si>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</si>
  <si>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</si>
  <si>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</si>
  <si>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</si>
  <si>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</si>
  <si>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</si>
  <si>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</si>
  <si>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</si>
  <si>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</si>
  <si>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</si>
  <si>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</si>
  <si>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</si>
  <si>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</si>
  <si>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</si>
  <si>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</si>
  <si>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</si>
  <si>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</si>
  <si>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</si>
  <si>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</si>
  <si>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</si>
  <si>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</si>
  <si>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</si>
  <si>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</si>
  <si>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</si>
  <si>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</si>
  <si>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</si>
  <si>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</si>
  <si>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</si>
  <si>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</si>
  <si>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</si>
  <si>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</si>
  <si>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</si>
  <si>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</si>
  <si>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</si>
  <si>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</si>
  <si>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</si>
  <si>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</si>
  <si>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</si>
  <si>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</si>
  <si>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</si>
  <si>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</si>
  <si>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</si>
  <si>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</si>
  <si>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</si>
  <si>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</si>
  <si>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</si>
  <si>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</si>
  <si>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</si>
  <si>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</si>
  <si>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</si>
  <si>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</si>
  <si>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</si>
  <si>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</si>
  <si>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</si>
  <si>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</si>
  <si>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</si>
  <si>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</si>
  <si>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</si>
  <si>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</si>
  <si>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</si>
  <si>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</si>
  <si>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</si>
  <si>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</si>
  <si>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</si>
  <si>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</si>
  <si>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</si>
  <si>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</si>
  <si>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</si>
  <si>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</si>
  <si>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</si>
  <si>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</si>
  <si>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</si>
  <si>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</si>
  <si>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</si>
  <si>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</si>
  <si>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</si>
  <si>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</si>
  <si>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</si>
  <si>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</si>
  <si>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</si>
  <si>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</si>
  <si>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</si>
  <si>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</si>
  <si>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</si>
  <si>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</si>
  <si>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</si>
  <si>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</si>
  <si>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</si>
  <si>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</si>
  <si>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</si>
  <si>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</si>
  <si>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</si>
  <si>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</si>
  <si>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</si>
  <si>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</si>
  <si>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</si>
  <si>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</si>
  <si>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</si>
  <si>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</si>
  <si>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</si>
  <si>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</si>
  <si>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</si>
  <si>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</si>
  <si>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</si>
  <si>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</si>
  <si>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</si>
  <si>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</si>
  <si>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</si>
  <si>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</si>
  <si>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</si>
  <si>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</si>
  <si>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</si>
  <si>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</si>
  <si>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</si>
  <si>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</si>
  <si>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</si>
  <si>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</si>
  <si>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</si>
  <si>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</si>
  <si>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</si>
  <si>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</si>
  <si>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</si>
  <si>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</si>
  <si>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</si>
  <si>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</si>
  <si>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</si>
  <si>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</si>
  <si>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</si>
  <si>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</si>
  <si>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</si>
  <si>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</si>
  <si>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</si>
  <si>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</si>
  <si>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</si>
  <si>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</si>
  <si>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</si>
  <si>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</si>
  <si>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</si>
  <si>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</si>
  <si>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</si>
  <si>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</si>
  <si>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</si>
  <si>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</si>
  <si>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</si>
  <si>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</si>
  <si>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</si>
  <si>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</si>
  <si>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</si>
  <si>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</si>
  <si>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</si>
  <si>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</si>
  <si>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</si>
  <si>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</si>
  <si>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</si>
  <si>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</si>
  <si>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</si>
  <si>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</si>
  <si>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</si>
  <si>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</si>
  <si>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</si>
  <si>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</si>
  <si>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</si>
  <si>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</si>
  <si>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</si>
  <si>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</si>
  <si>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</si>
  <si>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</si>
  <si>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</si>
  <si>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</si>
  <si>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</si>
  <si>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</si>
  <si>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</si>
  <si>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</si>
  <si>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</si>
  <si>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</si>
  <si>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</si>
  <si>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</si>
  <si>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</si>
  <si>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</si>
  <si>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</si>
  <si>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</si>
  <si>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</si>
  <si>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</si>
  <si>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</si>
  <si>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</si>
  <si>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</si>
  <si>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</si>
  <si>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</si>
  <si>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</si>
  <si>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</si>
  <si>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</si>
  <si>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</si>
  <si>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</si>
  <si>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</si>
  <si>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</si>
  <si>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</si>
  <si>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</si>
  <si>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</si>
  <si>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</si>
  <si>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</si>
  <si>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</si>
  <si>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</si>
  <si>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</si>
  <si>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</si>
  <si>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</si>
  <si>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</si>
  <si>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</si>
  <si>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</si>
  <si>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</si>
  <si>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</si>
  <si>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</si>
  <si>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</si>
  <si>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</si>
  <si>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</si>
  <si>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</si>
  <si>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</si>
  <si>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</si>
  <si>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</si>
  <si>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</si>
  <si>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</si>
  <si>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</si>
  <si>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</si>
  <si>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</si>
  <si>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</si>
  <si>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</si>
  <si>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</si>
  <si>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</si>
  <si>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</si>
  <si>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</si>
  <si>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</si>
  <si>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</si>
  <si>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</si>
  <si>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</si>
  <si>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</si>
  <si>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</si>
  <si>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</si>
  <si>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</si>
  <si>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</si>
  <si>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</si>
  <si>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</si>
  <si>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</si>
  <si>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</si>
  <si>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</si>
  <si>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</si>
  <si>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</si>
  <si>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</si>
  <si>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</si>
  <si>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</si>
  <si>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</si>
  <si>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</si>
  <si>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</si>
  <si>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</si>
  <si>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</si>
  <si>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</si>
  <si>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</si>
  <si>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</si>
  <si>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</si>
  <si>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</si>
  <si>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</si>
  <si>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</si>
  <si>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</si>
  <si>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</si>
  <si>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</si>
  <si>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</si>
  <si>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</si>
  <si>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</si>
  <si>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</si>
  <si>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</si>
  <si>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</si>
  <si>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</si>
  <si>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</si>
  <si>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</si>
  <si>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</si>
  <si>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</si>
  <si>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</si>
  <si>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</si>
  <si>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</si>
  <si>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</si>
  <si>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</si>
  <si>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</si>
  <si>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</si>
  <si>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</si>
  <si>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</si>
  <si>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</si>
  <si>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</si>
  <si>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</si>
  <si>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</si>
  <si>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</si>
  <si>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</si>
  <si>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</si>
  <si>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</si>
  <si>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</si>
  <si>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</si>
  <si>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</si>
  <si>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</si>
  <si>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</si>
  <si>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</si>
  <si>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</si>
  <si>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</si>
  <si>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</si>
  <si>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</si>
  <si>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</si>
  <si>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</si>
  <si>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</si>
  <si>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</si>
  <si>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</si>
  <si>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</si>
  <si>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</si>
  <si>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</si>
  <si>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</si>
  <si>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</si>
  <si>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</si>
  <si>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</si>
  <si>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</si>
  <si>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</si>
  <si>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</si>
  <si>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</si>
  <si>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</si>
  <si>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</si>
  <si>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</si>
  <si>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</si>
  <si>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</si>
  <si>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</si>
  <si>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</si>
  <si>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</si>
  <si>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</si>
  <si>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</si>
  <si>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</si>
  <si>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</si>
  <si>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</si>
  <si>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</si>
  <si>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</si>
  <si>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</si>
  <si>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</si>
  <si>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</si>
  <si>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</si>
  <si>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</si>
  <si>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</si>
  <si>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</si>
  <si>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</si>
  <si>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</si>
  <si>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</si>
  <si>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</si>
  <si>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</si>
  <si>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</si>
  <si>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</si>
  <si>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</si>
  <si>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</si>
  <si>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</si>
  <si>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</si>
  <si>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</si>
  <si>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</si>
  <si>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</si>
  <si>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</si>
  <si>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</si>
  <si>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</si>
  <si>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</si>
  <si>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</si>
  <si>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</si>
  <si>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</si>
  <si>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</si>
  <si>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</si>
  <si>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</si>
  <si>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</si>
  <si>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</si>
  <si>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</si>
  <si>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</si>
  <si>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</si>
  <si>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</si>
  <si>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</si>
  <si>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</si>
  <si>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</si>
  <si>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</si>
  <si>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</si>
  <si>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</si>
  <si>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</si>
  <si>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</si>
  <si>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</si>
  <si>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</si>
  <si>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</si>
  <si>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</si>
  <si>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</si>
  <si>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</si>
  <si>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</si>
  <si>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</si>
  <si>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</si>
  <si>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</si>
  <si>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</si>
  <si>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</si>
  <si>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</si>
  <si>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</si>
  <si>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</si>
  <si>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</si>
  <si>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</si>
  <si>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</si>
  <si>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</si>
  <si>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</si>
  <si>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</si>
  <si>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</si>
  <si>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</si>
  <si>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</si>
  <si>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</si>
  <si>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</si>
  <si>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</si>
  <si>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</si>
  <si>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</si>
  <si>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</si>
  <si>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</si>
  <si>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</si>
  <si>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</si>
  <si>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</si>
  <si>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</si>
  <si>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</si>
  <si>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</si>
  <si>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</si>
  <si>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</si>
  <si>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</si>
  <si>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</si>
  <si>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</si>
  <si>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</si>
  <si>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</si>
  <si>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</si>
  <si>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</si>
  <si>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</si>
  <si>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</si>
  <si>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</si>
  <si>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</si>
  <si>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</si>
  <si>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</si>
  <si>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</si>
  <si>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</si>
  <si>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</si>
  <si>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</si>
  <si>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</si>
  <si>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</si>
  <si>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</si>
  <si>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</si>
  <si>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</si>
  <si>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</si>
  <si>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</si>
  <si>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</si>
  <si>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</si>
  <si>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</si>
  <si>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</si>
  <si>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</si>
  <si>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</si>
  <si>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</si>
  <si>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</si>
  <si>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</si>
  <si>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</si>
  <si>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</si>
  <si>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</si>
  <si>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</si>
  <si>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</si>
  <si>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</si>
  <si>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</si>
  <si>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</si>
  <si>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</si>
  <si>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</si>
  <si>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</si>
  <si>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</si>
  <si>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</si>
  <si>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</si>
  <si>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</si>
  <si>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</si>
  <si>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</si>
  <si>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</si>
  <si>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</si>
  <si>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</si>
  <si>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</si>
  <si>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</si>
  <si>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</si>
  <si>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</si>
  <si>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</si>
  <si>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</si>
  <si>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</si>
  <si>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</si>
  <si>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</si>
  <si>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</si>
  <si>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</si>
  <si>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</si>
  <si>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</si>
  <si>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</si>
  <si>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</si>
  <si>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</si>
  <si>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</si>
  <si>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</si>
  <si>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</si>
  <si>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</si>
  <si>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</si>
  <si>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</si>
  <si>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</si>
  <si>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</si>
  <si>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</si>
  <si>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</si>
  <si>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</si>
  <si>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</si>
  <si>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</si>
  <si>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</si>
  <si>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</si>
  <si>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</si>
  <si>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</si>
  <si>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</si>
  <si>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</si>
  <si>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</si>
  <si>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</si>
  <si>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</si>
  <si>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</si>
  <si>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</si>
  <si>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</si>
  <si>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</si>
  <si>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</si>
  <si>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</si>
  <si>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</si>
  <si>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</si>
  <si>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</si>
  <si>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</si>
  <si>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</si>
  <si>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</si>
  <si>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</si>
  <si>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</si>
  <si>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</si>
  <si>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</si>
  <si>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</si>
  <si>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</si>
  <si>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</si>
  <si>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</si>
  <si>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</si>
  <si>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</si>
  <si>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</si>
  <si>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</si>
  <si>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</si>
  <si>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</si>
  <si>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</si>
  <si>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</si>
  <si>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</si>
  <si>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</si>
  <si>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</si>
  <si>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</si>
  <si>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</si>
  <si>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</si>
  <si>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</si>
  <si>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</si>
  <si>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</si>
  <si>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</si>
  <si>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</si>
  <si>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</si>
  <si>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</si>
  <si>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</si>
  <si>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</si>
  <si>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</si>
  <si>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</si>
  <si>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</si>
  <si>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</si>
  <si>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</si>
  <si>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</si>
  <si>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</si>
  <si>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</si>
  <si>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</si>
  <si>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</si>
  <si>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</si>
  <si>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</si>
  <si>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</si>
  <si>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</si>
  <si>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</si>
  <si>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</si>
  <si>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</si>
  <si>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</si>
  <si>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</si>
  <si>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</si>
  <si>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</si>
  <si>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</si>
  <si>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</si>
  <si>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</si>
  <si>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</si>
  <si>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</si>
  <si>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</si>
  <si>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</si>
  <si>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</si>
  <si>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</si>
  <si>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</si>
  <si>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</si>
  <si>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</si>
  <si>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</si>
  <si>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</si>
  <si>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</si>
  <si>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</si>
  <si>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</si>
  <si>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</si>
  <si>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</si>
  <si>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</si>
  <si>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</si>
  <si>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</si>
  <si>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</si>
  <si>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</si>
  <si>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</si>
  <si>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</si>
  <si>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</si>
  <si>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</si>
  <si>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</si>
  <si>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</si>
  <si>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</si>
  <si>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</si>
  <si>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</si>
  <si>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</si>
  <si>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</si>
  <si>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</si>
  <si>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</si>
  <si>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</si>
  <si>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</si>
  <si>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</si>
  <si>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</si>
  <si>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</si>
  <si>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</si>
  <si>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</si>
  <si>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</si>
  <si>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</si>
  <si>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</si>
  <si>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</si>
  <si>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</si>
  <si>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</si>
  <si>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</si>
  <si>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</si>
  <si>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</si>
  <si>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</si>
  <si>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</si>
  <si>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</si>
  <si>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</si>
  <si>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</si>
  <si>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</si>
  <si>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</si>
  <si>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</si>
  <si>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</si>
  <si>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</si>
  <si>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</si>
  <si>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</si>
  <si>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</si>
  <si>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</si>
  <si>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</si>
  <si>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</si>
  <si>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</si>
  <si>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</si>
  <si>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</si>
  <si>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</si>
  <si>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</si>
  <si>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</si>
  <si>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</si>
  <si>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</si>
  <si>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</si>
  <si>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</si>
  <si>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</si>
  <si>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</si>
  <si>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</si>
  <si>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</si>
  <si>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</si>
  <si>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</si>
  <si>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</si>
  <si>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</si>
  <si>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</si>
  <si>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</si>
  <si>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</si>
  <si>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</si>
  <si>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</si>
  <si>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</si>
  <si>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</si>
  <si>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</si>
  <si>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</si>
  <si>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</si>
  <si>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</si>
  <si>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</si>
  <si>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</si>
  <si>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</si>
  <si>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</si>
  <si>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</si>
  <si>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</si>
  <si>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</si>
  <si>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</si>
  <si>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</si>
  <si>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</si>
  <si>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</si>
  <si>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</si>
  <si>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</si>
  <si>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</si>
  <si>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</si>
  <si>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</si>
  <si>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</si>
  <si>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</si>
  <si>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</si>
  <si>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</si>
  <si>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</si>
  <si>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</si>
  <si>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</si>
  <si>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</si>
  <si>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</si>
  <si>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</si>
  <si>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</si>
  <si>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</si>
  <si>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</si>
  <si>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</si>
  <si>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</si>
  <si>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</si>
  <si>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</si>
  <si>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</si>
  <si>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</si>
  <si>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</si>
  <si>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</si>
  <si>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</si>
  <si>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</si>
  <si>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</si>
  <si>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</si>
  <si>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</si>
  <si>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</si>
  <si>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</si>
  <si>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</si>
  <si>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</si>
  <si>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</si>
  <si>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</si>
  <si>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</si>
  <si>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</si>
  <si>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</si>
  <si>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</si>
  <si>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</si>
  <si>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</si>
  <si>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</si>
  <si>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</si>
  <si>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</si>
  <si>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</si>
  <si>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</si>
  <si>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</si>
  <si>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</si>
  <si>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</si>
  <si>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</si>
  <si>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</si>
  <si>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</si>
  <si>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</si>
  <si>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</si>
  <si>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</si>
  <si>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</si>
  <si>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</si>
  <si>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</si>
  <si>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</si>
  <si>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</si>
  <si>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</si>
  <si>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</si>
  <si>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</si>
  <si>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</si>
  <si>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</si>
  <si>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</si>
  <si>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</si>
  <si>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</si>
  <si>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</si>
  <si>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</si>
  <si>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</si>
  <si>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</si>
  <si>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</si>
  <si>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</si>
  <si>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</si>
  <si>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</si>
  <si>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</si>
  <si>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</si>
  <si>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</si>
  <si>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</si>
  <si>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</si>
  <si>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</si>
  <si>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</si>
  <si>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</si>
  <si>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</si>
  <si>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</si>
  <si>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</si>
  <si>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</si>
  <si>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</si>
  <si>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</si>
  <si>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</si>
  <si>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</si>
  <si>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</si>
  <si>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</si>
  <si>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</si>
  <si>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</si>
  <si>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</si>
  <si>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</si>
  <si>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</si>
  <si>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</si>
  <si>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</si>
  <si>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</si>
  <si>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</si>
  <si>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</si>
  <si>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</si>
  <si>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</si>
  <si>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</si>
  <si>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</si>
  <si>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</si>
  <si>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</si>
  <si>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</si>
  <si>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</si>
  <si>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</si>
  <si>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</si>
  <si>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</si>
  <si>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</si>
  <si>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</si>
  <si>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</si>
  <si>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</si>
  <si>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</si>
  <si>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</si>
  <si>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</si>
  <si>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</si>
  <si>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</si>
  <si>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</si>
  <si>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</si>
  <si>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</si>
  <si>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</si>
  <si>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</si>
  <si>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</si>
  <si>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</si>
  <si>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</si>
  <si>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</si>
  <si>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</si>
  <si>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</si>
  <si>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</si>
  <si>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</si>
  <si>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</si>
  <si>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</si>
  <si>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</si>
  <si>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</si>
  <si>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</si>
  <si>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</si>
  <si>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</si>
  <si>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</si>
  <si>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</si>
  <si>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</si>
  <si>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</si>
  <si>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</si>
  <si>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</si>
  <si>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</si>
  <si>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</si>
  <si>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</si>
  <si>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</si>
  <si>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</si>
  <si>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</si>
  <si>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</si>
  <si>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</si>
  <si>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</si>
  <si>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</si>
  <si>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</si>
  <si>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</si>
  <si>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</si>
  <si>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</si>
  <si>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</si>
  <si>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</si>
  <si>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</si>
  <si>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</si>
  <si>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</si>
  <si>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</si>
  <si>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</si>
  <si>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</si>
  <si>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</si>
  <si>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</si>
  <si>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</si>
  <si>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</si>
  <si>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</si>
  <si>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</si>
  <si>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</si>
  <si>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</si>
  <si>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</si>
  <si>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</si>
  <si>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</si>
  <si>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</si>
  <si>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</si>
  <si>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</si>
  <si>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</si>
  <si>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</si>
  <si>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</si>
  <si>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</si>
  <si>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</si>
  <si>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</si>
  <si>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</si>
  <si>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</si>
  <si>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</si>
  <si>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</si>
  <si>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</si>
  <si>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</si>
  <si>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</si>
  <si>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</si>
  <si>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</si>
  <si>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</si>
  <si>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</si>
  <si>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</si>
  <si>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</si>
  <si>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</si>
  <si>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</si>
  <si>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</si>
  <si>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</si>
  <si>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</si>
  <si>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</si>
  <si>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</si>
  <si>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</si>
  <si>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</si>
  <si>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</si>
  <si>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</si>
  <si>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</si>
  <si>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</si>
  <si>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</si>
  <si>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</si>
  <si>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</si>
  <si>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</si>
  <si>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</si>
  <si>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</si>
  <si>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</si>
  <si>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</si>
  <si>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</si>
  <si>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</si>
  <si>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</si>
  <si>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</si>
  <si>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</si>
  <si>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</si>
  <si>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</si>
  <si>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</si>
  <si>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</si>
  <si>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</si>
  <si>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</si>
  <si>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</si>
  <si>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</si>
  <si>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</si>
  <si>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</si>
  <si>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</si>
  <si>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</si>
  <si>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</si>
  <si>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</si>
  <si>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</si>
  <si>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</si>
  <si>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</si>
  <si>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</si>
  <si>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</si>
  <si>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</si>
  <si>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</si>
  <si>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</si>
  <si>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</si>
  <si>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</si>
  <si>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</si>
  <si>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</si>
  <si>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</si>
  <si>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</si>
  <si>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</si>
  <si>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</si>
  <si>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</si>
  <si>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</si>
  <si>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</si>
  <si>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</si>
  <si>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</si>
  <si>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</si>
  <si>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</si>
  <si>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</si>
  <si>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</si>
  <si>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</si>
  <si>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</si>
  <si>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</si>
  <si>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</si>
  <si>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</si>
  <si>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</si>
  <si>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</si>
  <si>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</si>
  <si>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</si>
  <si>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</si>
  <si>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</si>
  <si>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</si>
  <si>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</si>
  <si>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</si>
  <si>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</si>
  <si>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</si>
  <si>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</si>
  <si>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</si>
  <si>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</si>
  <si>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</si>
  <si>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</si>
  <si>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</si>
  <si>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</si>
  <si>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</si>
  <si>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</si>
  <si>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</si>
  <si>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</si>
  <si>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</si>
  <si>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</si>
  <si>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</si>
  <si>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</si>
  <si>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</si>
  <si>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</si>
  <si>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</si>
  <si>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</si>
  <si>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</si>
  <si>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</si>
  <si>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</si>
  <si>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</si>
  <si>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</si>
  <si>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</si>
  <si>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</si>
  <si>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</si>
  <si>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</si>
  <si>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</si>
  <si>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</si>
  <si>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</si>
  <si>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</si>
  <si>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</si>
  <si>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</si>
  <si>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</si>
  <si>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</si>
  <si>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</si>
  <si>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</si>
  <si>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</si>
  <si>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</si>
  <si>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</si>
  <si>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</si>
  <si>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</si>
  <si>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</si>
  <si>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</si>
  <si>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</si>
  <si>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</si>
  <si>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</si>
  <si>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</si>
  <si>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</si>
  <si>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</si>
  <si>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</si>
  <si>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</si>
  <si>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</si>
  <si>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</si>
  <si>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</si>
  <si>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</si>
  <si>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</si>
  <si>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</si>
  <si>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</si>
  <si>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</si>
  <si>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</si>
  <si>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</si>
  <si>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</si>
  <si>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</si>
  <si>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</si>
  <si>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</si>
  <si>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</si>
  <si>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</si>
  <si>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</si>
  <si>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</si>
  <si>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</si>
  <si>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</si>
  <si>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</si>
  <si>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</si>
  <si>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</si>
  <si>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</si>
  <si>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</si>
  <si>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</si>
  <si>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</si>
  <si>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</si>
  <si>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</si>
  <si>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</si>
  <si>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</si>
  <si>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</si>
  <si>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</si>
  <si>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</si>
  <si>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</si>
  <si>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</si>
  <si>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</si>
  <si>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</si>
  <si>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</si>
  <si>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</si>
  <si>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</si>
  <si>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</si>
  <si>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</si>
  <si>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</si>
  <si>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</si>
  <si>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</si>
  <si>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</si>
  <si>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</si>
  <si>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</si>
  <si>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</si>
  <si>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</si>
  <si>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</si>
  <si>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</si>
  <si>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</si>
  <si>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</si>
  <si>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</si>
  <si>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</si>
  <si>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</si>
  <si>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</si>
  <si>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</si>
  <si>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</si>
  <si>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</si>
  <si>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</si>
  <si>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</si>
  <si>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</si>
  <si>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</si>
  <si>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</si>
  <si>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</si>
  <si>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</si>
  <si>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</si>
  <si>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</si>
  <si>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</si>
  <si>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</si>
  <si>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</si>
  <si>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</si>
  <si>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</si>
  <si>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</si>
  <si>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</si>
  <si>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</si>
  <si>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</si>
  <si>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</si>
  <si>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</si>
  <si>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</si>
  <si>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</si>
  <si>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</si>
  <si>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</si>
  <si>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</si>
  <si>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</si>
  <si>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</si>
  <si>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</si>
  <si>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</si>
  <si>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</si>
  <si>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</si>
  <si>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</si>
  <si>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</si>
  <si>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</si>
  <si>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</si>
  <si>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</si>
  <si>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</si>
  <si>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</si>
  <si>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</si>
  <si>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</si>
  <si>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</si>
  <si>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</si>
  <si>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</si>
  <si>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</si>
  <si>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</si>
  <si>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</si>
  <si>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</si>
  <si>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</si>
  <si>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</si>
  <si>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</si>
  <si>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</si>
  <si>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</si>
  <si>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</si>
  <si>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</si>
  <si>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</si>
  <si>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</si>
  <si>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</si>
  <si>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</si>
  <si>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</si>
  <si>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</si>
  <si>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</si>
  <si>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</si>
  <si>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</si>
  <si>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</si>
  <si>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</si>
  <si>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</si>
  <si>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</si>
  <si>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</si>
  <si>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</si>
  <si>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</si>
  <si>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</si>
  <si>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</si>
  <si>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</si>
  <si>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</si>
  <si>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</si>
  <si>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</si>
  <si>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</si>
  <si>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</si>
  <si>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</si>
  <si>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</si>
  <si>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</si>
  <si>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</si>
  <si>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</si>
  <si>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</si>
  <si>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</si>
  <si>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</si>
  <si>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</si>
  <si>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</si>
  <si>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</si>
  <si>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</si>
  <si>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</si>
  <si>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</si>
  <si>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</si>
  <si>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</si>
  <si>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</si>
  <si>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</si>
  <si>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</si>
  <si>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</si>
  <si>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</si>
  <si>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</si>
  <si>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</si>
  <si>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</si>
  <si>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</si>
  <si>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</si>
  <si>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</si>
  <si>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</si>
  <si>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</si>
  <si>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</si>
  <si>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</si>
  <si>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</si>
  <si>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</si>
  <si>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</si>
  <si>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</si>
  <si>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</si>
  <si>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</si>
  <si>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</si>
  <si>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</si>
  <si>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</si>
  <si>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</si>
  <si>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</si>
  <si>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</si>
  <si>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</si>
  <si>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</si>
  <si>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</si>
  <si>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</si>
  <si>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</si>
  <si>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</si>
  <si>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</si>
  <si>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</si>
  <si>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</si>
  <si>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</si>
  <si>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</si>
  <si>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</si>
  <si>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</si>
  <si>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</si>
  <si>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</si>
  <si>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</si>
  <si>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</si>
  <si>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</si>
  <si>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</si>
  <si>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</si>
  <si>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</si>
  <si>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</si>
  <si>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</si>
  <si>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</si>
  <si>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</si>
  <si>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</si>
  <si>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</si>
  <si>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</si>
  <si>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</si>
  <si>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</si>
  <si>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</si>
  <si>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</si>
  <si>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</si>
  <si>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</si>
  <si>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</si>
  <si>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</si>
  <si>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</si>
  <si>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</si>
  <si>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</si>
  <si>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</si>
  <si>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</si>
  <si>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</si>
  <si>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</si>
  <si>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</si>
  <si>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</si>
  <si>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</si>
  <si>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</si>
  <si>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</si>
  <si>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</si>
  <si>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</si>
  <si>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</si>
  <si>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</si>
  <si>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</si>
  <si>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</si>
  <si>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</si>
  <si>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</si>
  <si>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</si>
  <si>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</si>
  <si>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</si>
  <si>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</si>
  <si>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</si>
  <si>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</si>
  <si>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</si>
  <si>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</si>
  <si>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</si>
  <si>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</si>
  <si>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</si>
  <si>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</si>
  <si>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</si>
  <si>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</si>
  <si>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</si>
  <si>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</si>
  <si>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</si>
  <si>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</si>
  <si>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</si>
  <si>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</si>
  <si>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</si>
  <si>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</si>
  <si>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</si>
  <si>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</si>
  <si>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</si>
  <si>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</si>
  <si>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</si>
  <si>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</si>
  <si>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</si>
  <si>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</si>
  <si>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</si>
  <si>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</si>
  <si>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</si>
  <si>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</si>
  <si>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</si>
  <si>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</si>
  <si>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</si>
  <si>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</si>
  <si>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</si>
  <si>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</si>
  <si>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</si>
  <si>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</si>
  <si>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</si>
  <si>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</si>
  <si>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</si>
  <si>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</si>
  <si>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</si>
  <si>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</si>
  <si>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</si>
  <si>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</si>
  <si>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</si>
  <si>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</si>
  <si>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</si>
  <si>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</si>
  <si>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</si>
  <si>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</si>
  <si>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</si>
  <si>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</si>
  <si>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</si>
  <si>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</si>
  <si>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</si>
  <si>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</si>
  <si>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</si>
  <si>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</si>
  <si>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</si>
  <si>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</si>
  <si>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</si>
  <si>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</si>
  <si>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</si>
  <si>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</si>
  <si>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</si>
  <si>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</si>
  <si>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</si>
  <si>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</si>
  <si>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</si>
  <si>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</si>
  <si>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</si>
  <si>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</si>
  <si>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</si>
  <si>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</si>
  <si>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</si>
  <si>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</si>
  <si>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</si>
  <si>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</si>
  <si>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</si>
  <si>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</si>
  <si>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</si>
  <si>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</si>
  <si>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</si>
  <si>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</si>
  <si>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</si>
  <si>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</si>
  <si>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</si>
  <si>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</si>
  <si>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</si>
  <si>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</si>
  <si>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</si>
  <si>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</si>
  <si>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</si>
  <si>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</si>
  <si>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</si>
  <si>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</si>
  <si>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</si>
  <si>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</si>
  <si>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</si>
  <si>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</si>
  <si>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</si>
  <si>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</si>
  <si>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</si>
  <si>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</si>
  <si>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</si>
  <si>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</si>
  <si>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</si>
  <si>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</si>
  <si>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</si>
  <si>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</si>
  <si>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</si>
  <si>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</si>
  <si>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</si>
  <si>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</si>
  <si>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</si>
  <si>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</si>
  <si>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</si>
  <si>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</si>
  <si>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</si>
  <si>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</si>
  <si>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</si>
  <si>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</si>
  <si>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</si>
  <si>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</si>
  <si>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</si>
  <si>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</si>
  <si>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</si>
  <si>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</si>
  <si>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</si>
  <si>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</si>
  <si>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</si>
  <si>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</si>
  <si>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</si>
  <si>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</si>
  <si>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</si>
  <si>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</si>
  <si>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</si>
  <si>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</si>
  <si>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</si>
  <si>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</si>
  <si>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</si>
  <si>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</si>
  <si>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</si>
  <si>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</si>
  <si>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</si>
  <si>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</si>
  <si>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</si>
  <si>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</si>
  <si>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</si>
  <si>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</si>
  <si>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</si>
  <si>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</si>
  <si>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</si>
  <si>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</si>
  <si>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</si>
  <si>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</si>
  <si>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</si>
  <si>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</si>
  <si>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</si>
  <si>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</si>
  <si>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</si>
  <si>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</si>
  <si>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</si>
  <si>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</si>
  <si>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</si>
  <si>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</si>
  <si>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</si>
  <si>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</si>
  <si>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</si>
  <si>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</si>
  <si>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</si>
  <si>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</si>
  <si>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</si>
  <si>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</si>
  <si>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</si>
  <si>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</si>
  <si>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</si>
  <si>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</si>
  <si>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</si>
  <si>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</si>
  <si>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</si>
  <si>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</si>
  <si>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</si>
  <si>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</si>
  <si>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</si>
  <si>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</si>
  <si>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</si>
  <si>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</si>
  <si>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</si>
  <si>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</si>
  <si>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</si>
  <si>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</si>
  <si>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</si>
  <si>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</si>
  <si>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</si>
  <si>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</si>
  <si>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</si>
  <si>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</si>
  <si>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</si>
  <si>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</si>
  <si>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</si>
  <si>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</si>
  <si>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</si>
  <si>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</si>
  <si>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</si>
  <si>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</si>
  <si>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</si>
  <si>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</si>
  <si>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</si>
  <si>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</si>
  <si>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</si>
  <si>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</si>
  <si>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</si>
  <si>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</si>
  <si>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</si>
  <si>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</si>
  <si>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</si>
  <si>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</si>
  <si>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</si>
  <si>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</si>
  <si>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</si>
  <si>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</si>
  <si>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</si>
  <si>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</si>
  <si>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</si>
  <si>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</si>
  <si>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</si>
  <si>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</si>
  <si>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</si>
  <si>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</si>
  <si>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</si>
  <si>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</si>
  <si>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</si>
  <si>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</si>
  <si>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</si>
  <si>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</si>
  <si>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</si>
  <si>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</si>
  <si>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</si>
  <si>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</si>
  <si>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</si>
  <si>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</si>
  <si>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</si>
  <si>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</si>
  <si>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</si>
  <si>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</si>
  <si>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</si>
  <si>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</si>
  <si>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</si>
  <si>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</si>
  <si>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</si>
  <si>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</si>
  <si>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</si>
  <si>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</si>
  <si>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</si>
  <si>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</si>
  <si>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</si>
  <si>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</si>
  <si>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</si>
  <si>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</si>
  <si>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</si>
  <si>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</si>
  <si>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</si>
  <si>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</si>
  <si>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</si>
  <si>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</si>
  <si>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</si>
  <si>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</si>
  <si>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</si>
  <si>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</si>
  <si>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</si>
  <si>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</si>
  <si>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</si>
  <si>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</si>
  <si>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</si>
  <si>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</si>
  <si>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</si>
  <si>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</si>
  <si>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</si>
  <si>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</si>
  <si>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</si>
  <si>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</si>
  <si>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</si>
  <si>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</si>
  <si>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</si>
  <si>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</si>
  <si>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</si>
  <si>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</si>
  <si>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</si>
  <si>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</si>
  <si>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</si>
  <si>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</si>
  <si>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</si>
  <si>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</si>
  <si>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</si>
  <si>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</si>
  <si>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</si>
  <si>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</si>
  <si>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</si>
  <si>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</si>
  <si>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</si>
  <si>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</si>
  <si>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</si>
  <si>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</si>
  <si>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</si>
  <si>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</si>
  <si>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</si>
  <si>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</si>
  <si>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</si>
  <si>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</si>
  <si>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</si>
  <si>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</si>
  <si>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</si>
  <si>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</si>
  <si>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</si>
  <si>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</si>
  <si>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</si>
  <si>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</si>
  <si>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</si>
  <si>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</si>
  <si>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</si>
  <si>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</si>
  <si>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</si>
  <si>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</si>
  <si>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</si>
  <si>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</si>
  <si>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</si>
  <si>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</si>
  <si>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</si>
  <si>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</si>
  <si>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</si>
  <si>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</si>
  <si>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</si>
  <si>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</si>
  <si>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</si>
  <si>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</si>
  <si>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</si>
  <si>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</si>
  <si>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</si>
  <si>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</si>
  <si>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</si>
  <si>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</si>
  <si>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</si>
  <si>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</si>
  <si>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</si>
  <si>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</si>
  <si>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</si>
  <si>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</si>
  <si>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</si>
  <si>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</si>
  <si>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</si>
  <si>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</si>
  <si>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</si>
  <si>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</si>
  <si>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</si>
  <si>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</si>
  <si>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</si>
  <si>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</si>
  <si>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</si>
  <si>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</si>
  <si>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</si>
  <si>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</si>
  <si>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</si>
  <si>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</si>
  <si>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</si>
  <si>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</si>
  <si>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</si>
  <si>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</si>
  <si>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</si>
  <si>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</si>
  <si>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</si>
  <si>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</si>
  <si>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</si>
  <si>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</si>
  <si>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</si>
  <si>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</si>
  <si>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</si>
  <si>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</si>
  <si>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</si>
  <si>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</si>
  <si>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</si>
  <si>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</si>
  <si>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</si>
  <si>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</si>
  <si>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</si>
  <si>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</si>
  <si>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</si>
  <si>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</si>
  <si>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</si>
  <si>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</si>
  <si>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</si>
  <si>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</si>
  <si>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</si>
  <si>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</si>
  <si>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</si>
  <si>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</si>
  <si>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</si>
  <si>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</si>
  <si>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</si>
  <si>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</si>
  <si>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</si>
  <si>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</si>
  <si>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</si>
  <si>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</si>
  <si>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</si>
  <si>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</si>
  <si>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</si>
  <si>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</si>
  <si>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</si>
  <si>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</si>
  <si>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</si>
  <si>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</si>
  <si>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</si>
  <si>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</si>
  <si>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</si>
  <si>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</si>
  <si>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</si>
  <si>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</si>
  <si>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</si>
  <si>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</si>
  <si>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</si>
  <si>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</si>
  <si>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</si>
  <si>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</si>
  <si>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</si>
  <si>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</si>
  <si>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</si>
  <si>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</si>
  <si>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</si>
  <si>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</si>
  <si>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</si>
  <si>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Post 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</si>
</sst>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124" zoomScaleNormal="125" workbookViewId="0">
      <selection activeCell="F667" sqref="F667"/>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7.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1053</v>
      </c>
      <c r="B2" s="126">
        <f>INDEX('School Tables'!$AH$3:$AH$208,MATCH('DOE25'!A2,'School Tables'!$AJ$3:$AJ$208,0))</f>
        <v>187</v>
      </c>
      <c r="C2" s="126">
        <f>INDEX('School Tables'!$AI$3:$AI$208,MATCH('DOE25'!A2,'School Tables'!$AJ$3:$AJ$208,0))</f>
        <v>187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626125.63</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1007267.89</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30333.24</v>
      </c>
      <c r="G12" s="18">
        <f>-921.32-347.55</f>
        <v>-1268.8700000000001</v>
      </c>
      <c r="H12" s="18">
        <v>-15227.1</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-1628.11</v>
      </c>
      <c r="G13" s="18">
        <f>921.32+347.55</f>
        <v>1268.8700000000001</v>
      </c>
      <c r="H13" s="18">
        <v>30730.14</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f>2537.99+95000</f>
        <v>97537.99</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752368.75</v>
      </c>
      <c r="G19" s="41">
        <f>SUM(G9:G18)</f>
        <v>0</v>
      </c>
      <c r="H19" s="41">
        <f>SUM(H9:H18)</f>
        <v>15503.039999999999</v>
      </c>
      <c r="I19" s="41">
        <f>SUM(I9:I18)</f>
        <v>0</v>
      </c>
      <c r="J19" s="41">
        <f>SUM(J9:J18)</f>
        <v>1007267.89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14184.82</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303734.64</v>
      </c>
      <c r="G24" s="18"/>
      <c r="H24" s="18">
        <v>818.22</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f>-633.69</f>
        <v>-633.69000000000005</v>
      </c>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1878.28</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f>2103.32+347.55</f>
        <v>2450.8700000000003</v>
      </c>
      <c r="G30" s="18"/>
      <c r="H30" s="18">
        <v>500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307430.10000000003</v>
      </c>
      <c r="G32" s="41">
        <f>SUM(G22:G31)</f>
        <v>0</v>
      </c>
      <c r="H32" s="41">
        <f>SUM(H22:H31)</f>
        <v>15503.039999999999</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194445</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1007267.89</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135841.2+95000-347.55</f>
        <v>230493.65000000002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444938.65</v>
      </c>
      <c r="G51" s="41">
        <f>SUM(G35:G50)</f>
        <v>0</v>
      </c>
      <c r="H51" s="41">
        <f>SUM(H35:H50)</f>
        <v>0</v>
      </c>
      <c r="I51" s="41">
        <f>SUM(I35:I50)</f>
        <v>0</v>
      </c>
      <c r="J51" s="41">
        <f>SUM(J35:J50)</f>
        <v>1007267.89</v>
      </c>
      <c r="K51" s="45" t="s">
        <v>288</v>
      </c>
      <c r="L51" s="45" t="s">
        <v>288</v>
      </c>
      <c r="N51" s="263"/>
    </row>
    <row r="52" spans="1:14" s="3" customFormat="1" ht="12.2" customHeight="1" thickTop="1" x14ac:dyDescent="0.15">
      <c r="A52" s="38" t="s">
        <v>455</v>
      </c>
      <c r="B52" s="39" t="s">
        <v>289</v>
      </c>
      <c r="C52" s="6">
        <v>37</v>
      </c>
      <c r="D52" s="39" t="s">
        <v>653</v>
      </c>
      <c r="E52" s="39"/>
      <c r="F52" s="41">
        <f>F51+F32</f>
        <v>752368.75</v>
      </c>
      <c r="G52" s="41">
        <f>G51+G32</f>
        <v>0</v>
      </c>
      <c r="H52" s="41">
        <f>H51+H32</f>
        <v>15503.039999999999</v>
      </c>
      <c r="I52" s="41">
        <f>I51+I32</f>
        <v>0</v>
      </c>
      <c r="J52" s="41">
        <f>J51+J32</f>
        <v>1007267.89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2795358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2795358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141.75</v>
      </c>
      <c r="G96" s="18"/>
      <c r="H96" s="18"/>
      <c r="I96" s="18"/>
      <c r="J96" s="18">
        <v>2160.7399999999998</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2173.42</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2315.17</v>
      </c>
      <c r="G111" s="41">
        <f>SUM(G96:G110)</f>
        <v>0</v>
      </c>
      <c r="H111" s="41">
        <f>SUM(H96:H110)</f>
        <v>0</v>
      </c>
      <c r="I111" s="41">
        <f>SUM(I96:I110)</f>
        <v>0</v>
      </c>
      <c r="J111" s="41">
        <f>SUM(J96:J110)</f>
        <v>2160.7399999999998</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2797673.17</v>
      </c>
      <c r="G112" s="41">
        <f>G60+G111</f>
        <v>0</v>
      </c>
      <c r="H112" s="41">
        <f>H60+H79+H94+H111</f>
        <v>0</v>
      </c>
      <c r="I112" s="41">
        <f>I60+I111</f>
        <v>0</v>
      </c>
      <c r="J112" s="41">
        <f>J60+J111</f>
        <v>2160.7399999999998</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1093545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1093545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1093545</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7901.03+19290.04</f>
        <v>27191.07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33429.22+23068.61+4630.68+3614.21+0.03+10241.31+770.34</f>
        <v>75754.399999999994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3591.81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9125.23</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11041.6</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38414.39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9125.23</v>
      </c>
      <c r="G163" s="41">
        <f>SUM(G150:G162)</f>
        <v>3591.81</v>
      </c>
      <c r="H163" s="41">
        <f>SUM(H150:H162)</f>
        <v>152401.46000000002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9125.23</v>
      </c>
      <c r="G170" s="41">
        <f>G147+G163+SUM(G164:G169)</f>
        <v>3591.81</v>
      </c>
      <c r="H170" s="41">
        <f>H147+H163+SUM(H164:H169)</f>
        <v>152401.46000000002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35668.400000000001</v>
      </c>
      <c r="H180" s="18"/>
      <c r="I180" s="18"/>
      <c r="J180" s="18">
        <v>65000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35668.400000000001</v>
      </c>
      <c r="H184" s="41">
        <f>SUM(H180:H183)</f>
        <v>0</v>
      </c>
      <c r="I184" s="41">
        <f>SUM(I180:I183)</f>
        <v>0</v>
      </c>
      <c r="J184" s="41">
        <f>SUM(J180:J183)</f>
        <v>65000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93328</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93328</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93328</v>
      </c>
      <c r="G193" s="41">
        <f>G184+SUM(G189:G192)</f>
        <v>35668.400000000001</v>
      </c>
      <c r="H193" s="41">
        <f>+H184+SUM(H189:H192)</f>
        <v>0</v>
      </c>
      <c r="I193" s="41">
        <f>I178+I184+SUM(I189:I192)</f>
        <v>0</v>
      </c>
      <c r="J193" s="41">
        <f>J184</f>
        <v>65000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3993671.4</v>
      </c>
      <c r="G194" s="47">
        <f>G112+G140+G170+G193</f>
        <v>39260.21</v>
      </c>
      <c r="H194" s="47">
        <f>H112+H140+H170+H193</f>
        <v>152401.46000000002</v>
      </c>
      <c r="I194" s="47">
        <f>I112+I140+I170+I193</f>
        <v>0</v>
      </c>
      <c r="J194" s="47">
        <f>J112+J140+J193</f>
        <v>67160.740000000005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380581.45</v>
      </c>
      <c r="G198" s="18">
        <v>220037.27</v>
      </c>
      <c r="H198" s="18">
        <v>41571.089999999997</v>
      </c>
      <c r="I198" s="18">
        <v>18307.78</v>
      </c>
      <c r="J198" s="18">
        <v>6749.28</v>
      </c>
      <c r="K198" s="18"/>
      <c r="L198" s="19">
        <f>SUM(F198:K198)</f>
        <v>667246.87</v>
      </c>
      <c r="M198" s="8"/>
      <c r="N198" s="265"/>
    </row>
    <row r="199" spans="1:14" s="3" customFormat="1" ht="12.2" customHeight="1" x14ac:dyDescent="0.15">
      <c r="A199" s="1" t="s">
        <v>439</v>
      </c>
      <c r="B199" s="2" t="s">
        <v>341</v>
      </c>
      <c r="C199" s="2" t="s">
        <v>291</v>
      </c>
      <c r="D199" s="2" t="s">
        <v>431</v>
      </c>
      <c r="E199" s="6">
        <v>1200</v>
      </c>
      <c r="F199" s="18">
        <v>61780.72</v>
      </c>
      <c r="G199" s="18">
        <v>46894.95</v>
      </c>
      <c r="H199" s="18">
        <v>65054.44</v>
      </c>
      <c r="I199" s="18">
        <v>323.99</v>
      </c>
      <c r="J199" s="18"/>
      <c r="K199" s="18"/>
      <c r="L199" s="19">
        <f>SUM(F199:K199)</f>
        <v>174054.09999999998</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v>19.149999999999999</v>
      </c>
      <c r="H201" s="18">
        <v>4859.6499999999996</v>
      </c>
      <c r="I201" s="18"/>
      <c r="J201" s="18"/>
      <c r="K201" s="18"/>
      <c r="L201" s="19">
        <f>SUM(F201:K201)</f>
        <v>4878.7999999999993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46880.160000000003</v>
      </c>
      <c r="G203" s="18">
        <v>22549.23</v>
      </c>
      <c r="H203" s="18">
        <v>52178.28</v>
      </c>
      <c r="I203" s="18">
        <v>242.57</v>
      </c>
      <c r="J203" s="18">
        <v>226.95</v>
      </c>
      <c r="K203" s="18"/>
      <c r="L203" s="19">
        <f t="shared" ref="L203:L209" si="0">SUM(F203:K203)</f>
        <v>122077.19</v>
      </c>
      <c r="M203" s="8"/>
      <c r="N203" s="265"/>
    </row>
    <row r="204" spans="1:14" s="3" customFormat="1" ht="12.2" customHeight="1" x14ac:dyDescent="0.15">
      <c r="A204" s="1" t="s">
        <v>443</v>
      </c>
      <c r="B204" s="2" t="s">
        <v>341</v>
      </c>
      <c r="C204" s="2" t="s">
        <v>295</v>
      </c>
      <c r="D204" s="2" t="s">
        <v>431</v>
      </c>
      <c r="E204" s="6">
        <v>2200</v>
      </c>
      <c r="F204" s="18"/>
      <c r="G204" s="18"/>
      <c r="H204" s="18">
        <v>101.8</v>
      </c>
      <c r="I204" s="18">
        <v>1060.96</v>
      </c>
      <c r="J204" s="18"/>
      <c r="K204" s="18"/>
      <c r="L204" s="19">
        <f t="shared" si="0"/>
        <v>1162.76</v>
      </c>
      <c r="M204" s="8"/>
      <c r="N204" s="265"/>
    </row>
    <row r="205" spans="1:14" s="3" customFormat="1" ht="12.2" customHeight="1" x14ac:dyDescent="0.15">
      <c r="A205" s="1" t="s">
        <v>444</v>
      </c>
      <c r="B205" s="2" t="s">
        <v>341</v>
      </c>
      <c r="C205" s="2" t="s">
        <v>296</v>
      </c>
      <c r="D205" s="2" t="s">
        <v>431</v>
      </c>
      <c r="E205" s="6">
        <v>2300</v>
      </c>
      <c r="F205" s="18">
        <v>19250</v>
      </c>
      <c r="G205" s="18">
        <v>1472.63</v>
      </c>
      <c r="H205" s="18">
        <v>191553.99</v>
      </c>
      <c r="I205" s="18"/>
      <c r="J205" s="18"/>
      <c r="K205" s="18">
        <v>3091.49</v>
      </c>
      <c r="L205" s="19">
        <f t="shared" si="0"/>
        <v>215368.11</v>
      </c>
      <c r="M205" s="8"/>
      <c r="N205" s="265"/>
    </row>
    <row r="206" spans="1:14" s="3" customFormat="1" ht="12.2" customHeight="1" x14ac:dyDescent="0.15">
      <c r="A206" s="1" t="s">
        <v>445</v>
      </c>
      <c r="B206" s="2" t="s">
        <v>341</v>
      </c>
      <c r="C206" s="2" t="s">
        <v>297</v>
      </c>
      <c r="D206" s="2" t="s">
        <v>431</v>
      </c>
      <c r="E206" s="6">
        <v>2400</v>
      </c>
      <c r="F206" s="18">
        <v>103957.01</v>
      </c>
      <c r="G206" s="18">
        <v>26373.61</v>
      </c>
      <c r="H206" s="18">
        <v>6769.26</v>
      </c>
      <c r="I206" s="18">
        <v>2124.5</v>
      </c>
      <c r="J206" s="18">
        <v>5718.93</v>
      </c>
      <c r="K206" s="18">
        <v>150</v>
      </c>
      <c r="L206" s="19">
        <f t="shared" si="0"/>
        <v>145093.31</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39397.58</v>
      </c>
      <c r="G208" s="18">
        <v>20992.95</v>
      </c>
      <c r="H208" s="18">
        <v>26595.119999999999</v>
      </c>
      <c r="I208" s="18">
        <v>50492.52</v>
      </c>
      <c r="J208" s="18">
        <v>306810.95</v>
      </c>
      <c r="K208" s="18"/>
      <c r="L208" s="19">
        <f t="shared" si="0"/>
        <v>444289.12</v>
      </c>
      <c r="M208" s="8"/>
      <c r="N208" s="265"/>
    </row>
    <row r="209" spans="1:14" s="3" customFormat="1" ht="12.2" customHeight="1" x14ac:dyDescent="0.15">
      <c r="A209" s="1" t="s">
        <v>448</v>
      </c>
      <c r="B209" s="2" t="s">
        <v>341</v>
      </c>
      <c r="C209" s="2" t="s">
        <v>300</v>
      </c>
      <c r="D209" s="2" t="s">
        <v>431</v>
      </c>
      <c r="E209" s="6">
        <v>2700</v>
      </c>
      <c r="F209" s="18">
        <v>51363.65</v>
      </c>
      <c r="G209" s="18">
        <v>55377.47</v>
      </c>
      <c r="H209" s="18">
        <v>10776.44</v>
      </c>
      <c r="I209" s="18">
        <v>9044.2800000000007</v>
      </c>
      <c r="J209" s="18">
        <v>39629.300000000003</v>
      </c>
      <c r="K209" s="18">
        <v>192.08</v>
      </c>
      <c r="L209" s="19">
        <f t="shared" si="0"/>
        <v>166383.22</v>
      </c>
      <c r="M209" s="8"/>
      <c r="N209" s="265"/>
    </row>
    <row r="210" spans="1:14" s="3" customFormat="1" ht="12.2" customHeight="1" x14ac:dyDescent="0.15">
      <c r="A210" s="1" t="s">
        <v>449</v>
      </c>
      <c r="B210" s="2" t="s">
        <v>341</v>
      </c>
      <c r="C210" s="2" t="s">
        <v>343</v>
      </c>
      <c r="D210" s="2" t="s">
        <v>431</v>
      </c>
      <c r="E210" s="6">
        <v>2800</v>
      </c>
      <c r="F210" s="18">
        <v>150</v>
      </c>
      <c r="G210" s="18">
        <v>11.48</v>
      </c>
      <c r="H210" s="18"/>
      <c r="I210" s="18"/>
      <c r="J210" s="18"/>
      <c r="K210" s="18"/>
      <c r="L210" s="19">
        <f>SUM(F210:K210)</f>
        <v>161.47999999999999</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703360.57000000007</v>
      </c>
      <c r="G212" s="41">
        <f t="shared" si="1"/>
        <v>393728.74</v>
      </c>
      <c r="H212" s="41">
        <f t="shared" si="1"/>
        <v>399460.07</v>
      </c>
      <c r="I212" s="41">
        <f t="shared" si="1"/>
        <v>81596.599999999991</v>
      </c>
      <c r="J212" s="41">
        <f t="shared" si="1"/>
        <v>359135.41</v>
      </c>
      <c r="K212" s="41">
        <f t="shared" si="1"/>
        <v>3433.5699999999997</v>
      </c>
      <c r="L212" s="41">
        <f t="shared" si="1"/>
        <v>1940714.9600000002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430024</v>
      </c>
      <c r="I216" s="18"/>
      <c r="J216" s="18"/>
      <c r="K216" s="18"/>
      <c r="L216" s="19">
        <f>SUM(F216:K216)</f>
        <v>430024</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v>21790.639999999999</v>
      </c>
      <c r="G227" s="18">
        <v>23493.47</v>
      </c>
      <c r="H227" s="18">
        <v>4571.82</v>
      </c>
      <c r="I227" s="18">
        <v>3836.97</v>
      </c>
      <c r="J227" s="18">
        <v>16812.43</v>
      </c>
      <c r="K227" s="18">
        <v>81.489999999999995</v>
      </c>
      <c r="L227" s="19">
        <f t="shared" si="2"/>
        <v>70586.820000000007</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21790.639999999999</v>
      </c>
      <c r="G230" s="41">
        <f>SUM(G216:G229)</f>
        <v>23493.47</v>
      </c>
      <c r="H230" s="41">
        <f>SUM(H216:H229)</f>
        <v>434595.82</v>
      </c>
      <c r="I230" s="41">
        <f>SUM(I216:I229)</f>
        <v>3836.97</v>
      </c>
      <c r="J230" s="41">
        <f>SUM(J216:J229)</f>
        <v>16812.43</v>
      </c>
      <c r="K230" s="41">
        <f t="shared" si="3"/>
        <v>81.489999999999995</v>
      </c>
      <c r="L230" s="41">
        <f t="shared" si="3"/>
        <v>500610.82</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1019150</v>
      </c>
      <c r="I234" s="18"/>
      <c r="J234" s="18"/>
      <c r="K234" s="18"/>
      <c r="L234" s="19">
        <f>SUM(F234:K234)</f>
        <v>1019150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v>48250.71</v>
      </c>
      <c r="G245" s="18">
        <v>52021.26</v>
      </c>
      <c r="H245" s="18">
        <v>10123.32</v>
      </c>
      <c r="I245" s="18">
        <v>8496.15</v>
      </c>
      <c r="J245" s="18">
        <v>37227.53</v>
      </c>
      <c r="K245" s="18">
        <v>180.42</v>
      </c>
      <c r="L245" s="19">
        <f t="shared" si="4"/>
        <v>156299.39000000001</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48250.71</v>
      </c>
      <c r="G248" s="41">
        <f t="shared" si="5"/>
        <v>52021.26</v>
      </c>
      <c r="H248" s="41">
        <f t="shared" si="5"/>
        <v>1029273.32</v>
      </c>
      <c r="I248" s="41">
        <f t="shared" si="5"/>
        <v>8496.15</v>
      </c>
      <c r="J248" s="41">
        <f t="shared" si="5"/>
        <v>37227.53</v>
      </c>
      <c r="K248" s="41">
        <f t="shared" si="5"/>
        <v>180.42</v>
      </c>
      <c r="L248" s="41">
        <f t="shared" si="5"/>
        <v>1175449.3900000001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773401.92</v>
      </c>
      <c r="G258" s="41">
        <f t="shared" si="8"/>
        <v>469243.47</v>
      </c>
      <c r="H258" s="41">
        <f t="shared" si="8"/>
        <v>1863329.21</v>
      </c>
      <c r="I258" s="41">
        <f t="shared" si="8"/>
        <v>93929.719999999987</v>
      </c>
      <c r="J258" s="41">
        <f t="shared" si="8"/>
        <v>413175.37</v>
      </c>
      <c r="K258" s="41">
        <f t="shared" si="8"/>
        <v>3695.4799999999996</v>
      </c>
      <c r="L258" s="41">
        <f t="shared" si="8"/>
        <v>3616775.1700000004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35668.400000000001</v>
      </c>
      <c r="L264" s="19">
        <f>SUM(F264:K264)</f>
        <v>35668.400000000001</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65000</v>
      </c>
      <c r="L267" s="19">
        <f t="shared" si="9"/>
        <v>65000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100668.4</v>
      </c>
      <c r="L271" s="41">
        <f t="shared" si="9"/>
        <v>100668.4</v>
      </c>
      <c r="M271" s="8"/>
      <c r="N271" s="265"/>
    </row>
    <row r="272" spans="1:14" s="34" customFormat="1" ht="12.2" customHeight="1" thickTop="1" x14ac:dyDescent="0.2">
      <c r="A272" s="43" t="s">
        <v>464</v>
      </c>
      <c r="B272" s="40">
        <v>10</v>
      </c>
      <c r="C272" s="40">
        <v>18</v>
      </c>
      <c r="D272" s="39" t="s">
        <v>431</v>
      </c>
      <c r="E272" s="40"/>
      <c r="F272" s="42">
        <f t="shared" ref="F272:L272" si="11">F258+F271</f>
        <v>773401.92</v>
      </c>
      <c r="G272" s="42">
        <f t="shared" si="11"/>
        <v>469243.47</v>
      </c>
      <c r="H272" s="42">
        <f t="shared" si="11"/>
        <v>1863329.21</v>
      </c>
      <c r="I272" s="42">
        <f t="shared" si="11"/>
        <v>93929.719999999987</v>
      </c>
      <c r="J272" s="42">
        <f t="shared" si="11"/>
        <v>413175.37</v>
      </c>
      <c r="K272" s="42">
        <f t="shared" si="11"/>
        <v>104363.87999999999</v>
      </c>
      <c r="L272" s="42">
        <f t="shared" si="11"/>
        <v>3717443.5700000003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35927.43</v>
      </c>
      <c r="G277" s="18">
        <v>15684.63</v>
      </c>
      <c r="H277" s="18"/>
      <c r="I277" s="18">
        <f>9898.14+143.34</f>
        <v>10041.48</v>
      </c>
      <c r="J277" s="18">
        <v>22588.67</v>
      </c>
      <c r="K277" s="18"/>
      <c r="L277" s="19">
        <f>SUM(F277:K277)</f>
        <v>84242.209999999992</v>
      </c>
      <c r="M277" s="8"/>
      <c r="N277" s="265"/>
    </row>
    <row r="278" spans="1:14" s="3" customFormat="1" ht="12.2" customHeight="1" x14ac:dyDescent="0.15">
      <c r="A278" s="1" t="s">
        <v>439</v>
      </c>
      <c r="B278" s="2" t="s">
        <v>357</v>
      </c>
      <c r="C278" s="2" t="s">
        <v>291</v>
      </c>
      <c r="D278" s="2" t="s">
        <v>431</v>
      </c>
      <c r="E278" s="6">
        <v>1200</v>
      </c>
      <c r="F278" s="18"/>
      <c r="G278" s="18"/>
      <c r="H278" s="18">
        <v>10348.49</v>
      </c>
      <c r="I278" s="18"/>
      <c r="J278" s="18"/>
      <c r="K278" s="18"/>
      <c r="L278" s="19">
        <f>SUM(F278:K278)</f>
        <v>10348.49</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3508.75</v>
      </c>
      <c r="G280" s="18">
        <v>1005.96</v>
      </c>
      <c r="H280" s="18"/>
      <c r="I280" s="18">
        <v>100</v>
      </c>
      <c r="J280" s="18"/>
      <c r="K280" s="18"/>
      <c r="L280" s="19">
        <f>SUM(F280:K280)</f>
        <v>4614.71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v>42</v>
      </c>
      <c r="J282" s="18">
        <v>3375.9</v>
      </c>
      <c r="K282" s="18"/>
      <c r="L282" s="19">
        <f t="shared" ref="L282:L288" si="12">SUM(F282:K282)</f>
        <v>3417.9</v>
      </c>
      <c r="M282" s="8"/>
      <c r="N282" s="265"/>
    </row>
    <row r="283" spans="1:14" s="3" customFormat="1" ht="12.2" customHeight="1" x14ac:dyDescent="0.15">
      <c r="A283" s="1" t="s">
        <v>443</v>
      </c>
      <c r="B283" s="2" t="s">
        <v>357</v>
      </c>
      <c r="C283" s="2" t="s">
        <v>295</v>
      </c>
      <c r="D283" s="2" t="s">
        <v>431</v>
      </c>
      <c r="E283" s="6">
        <v>2200</v>
      </c>
      <c r="F283" s="18">
        <v>9600</v>
      </c>
      <c r="G283" s="18">
        <v>2752.34</v>
      </c>
      <c r="H283" s="18">
        <v>30670.14</v>
      </c>
      <c r="I283" s="18"/>
      <c r="J283" s="18"/>
      <c r="K283" s="18"/>
      <c r="L283" s="19">
        <f t="shared" si="12"/>
        <v>43022.479999999996</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v>5411.16</v>
      </c>
      <c r="L284" s="19">
        <f t="shared" si="12"/>
        <v>5411.16</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393.96</v>
      </c>
      <c r="L286" s="19">
        <f t="shared" si="12"/>
        <v>393.96</v>
      </c>
      <c r="M286" s="8"/>
      <c r="N286" s="265"/>
    </row>
    <row r="287" spans="1:14" s="3" customFormat="1" ht="12.2" customHeight="1" x14ac:dyDescent="0.15">
      <c r="A287" s="1" t="s">
        <v>447</v>
      </c>
      <c r="B287" s="2" t="s">
        <v>357</v>
      </c>
      <c r="C287" s="2" t="s">
        <v>299</v>
      </c>
      <c r="D287" s="2" t="s">
        <v>431</v>
      </c>
      <c r="E287" s="6">
        <v>2600</v>
      </c>
      <c r="F287" s="18"/>
      <c r="G287" s="18"/>
      <c r="H287" s="18"/>
      <c r="I287" s="18">
        <v>98.49</v>
      </c>
      <c r="J287" s="18"/>
      <c r="K287" s="18"/>
      <c r="L287" s="19">
        <f t="shared" si="12"/>
        <v>98.49</v>
      </c>
      <c r="M287" s="8"/>
      <c r="N287" s="265"/>
    </row>
    <row r="288" spans="1:14" s="3" customFormat="1" ht="12.2" customHeight="1" x14ac:dyDescent="0.15">
      <c r="A288" s="1" t="s">
        <v>448</v>
      </c>
      <c r="B288" s="2" t="s">
        <v>357</v>
      </c>
      <c r="C288" s="2" t="s">
        <v>300</v>
      </c>
      <c r="D288" s="2" t="s">
        <v>431</v>
      </c>
      <c r="E288" s="6">
        <v>2700</v>
      </c>
      <c r="F288" s="18">
        <v>746.64</v>
      </c>
      <c r="G288" s="18">
        <v>57.12</v>
      </c>
      <c r="H288" s="18"/>
      <c r="I288" s="18">
        <v>48.3</v>
      </c>
      <c r="J288" s="18"/>
      <c r="K288" s="18"/>
      <c r="L288" s="19">
        <f t="shared" si="12"/>
        <v>852.06</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49782.82</v>
      </c>
      <c r="G291" s="42">
        <f t="shared" si="13"/>
        <v>19500.05</v>
      </c>
      <c r="H291" s="42">
        <f t="shared" si="13"/>
        <v>41018.629999999997</v>
      </c>
      <c r="I291" s="42">
        <f t="shared" si="13"/>
        <v>10330.269999999999</v>
      </c>
      <c r="J291" s="42">
        <f t="shared" si="13"/>
        <v>25964.57</v>
      </c>
      <c r="K291" s="42">
        <f t="shared" si="13"/>
        <v>5805.12</v>
      </c>
      <c r="L291" s="41">
        <f t="shared" si="13"/>
        <v>152401.45999999996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49782.82</v>
      </c>
      <c r="G339" s="41">
        <f t="shared" si="20"/>
        <v>19500.05</v>
      </c>
      <c r="H339" s="41">
        <f t="shared" si="20"/>
        <v>41018.629999999997</v>
      </c>
      <c r="I339" s="41">
        <f t="shared" si="20"/>
        <v>10330.269999999999</v>
      </c>
      <c r="J339" s="41">
        <f t="shared" si="20"/>
        <v>25964.57</v>
      </c>
      <c r="K339" s="41">
        <f t="shared" si="20"/>
        <v>5805.12</v>
      </c>
      <c r="L339" s="41">
        <f t="shared" si="20"/>
        <v>152401.45999999996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49782.82</v>
      </c>
      <c r="G353" s="41">
        <f>G339</f>
        <v>19500.05</v>
      </c>
      <c r="H353" s="41">
        <f>H339</f>
        <v>41018.629999999997</v>
      </c>
      <c r="I353" s="41">
        <f>I339</f>
        <v>10330.269999999999</v>
      </c>
      <c r="J353" s="41">
        <f>J339</f>
        <v>25964.57</v>
      </c>
      <c r="K353" s="47">
        <f>K339+K352</f>
        <v>5805.12</v>
      </c>
      <c r="L353" s="41">
        <f>L339+L352</f>
        <v>152401.45999999996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18581.82</v>
      </c>
      <c r="G359" s="18">
        <v>1713.07</v>
      </c>
      <c r="H359" s="18">
        <v>15675.18</v>
      </c>
      <c r="I359" s="18">
        <v>3290.14</v>
      </c>
      <c r="J359" s="18"/>
      <c r="K359" s="18"/>
      <c r="L359" s="13">
        <f>SUM(F359:K359)</f>
        <v>39260.21</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18581.82</v>
      </c>
      <c r="G363" s="47">
        <f t="shared" si="22"/>
        <v>1713.07</v>
      </c>
      <c r="H363" s="47">
        <f t="shared" si="22"/>
        <v>15675.18</v>
      </c>
      <c r="I363" s="47">
        <f t="shared" si="22"/>
        <v>3290.14</v>
      </c>
      <c r="J363" s="47">
        <f t="shared" si="22"/>
        <v>0</v>
      </c>
      <c r="K363" s="47">
        <f t="shared" si="22"/>
        <v>0</v>
      </c>
      <c r="L363" s="47">
        <f t="shared" si="22"/>
        <v>39260.21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2346.17</v>
      </c>
      <c r="G368" s="18"/>
      <c r="H368" s="18"/>
      <c r="I368" s="56">
        <f>SUM(F368:H368)</f>
        <v>2346.17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943.97</v>
      </c>
      <c r="G369" s="63"/>
      <c r="H369" s="63"/>
      <c r="I369" s="56">
        <f>SUM(F369:H369)</f>
        <v>943.97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3290.1400000000003</v>
      </c>
      <c r="G370" s="47">
        <f>SUM(G368:G369)</f>
        <v>0</v>
      </c>
      <c r="H370" s="47">
        <f>SUM(H368:H369)</f>
        <v>0</v>
      </c>
      <c r="I370" s="47">
        <f>SUM(I368:I369)</f>
        <v>3290.1400000000003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25000</v>
      </c>
      <c r="H390" s="18"/>
      <c r="I390" s="18"/>
      <c r="J390" s="24" t="s">
        <v>288</v>
      </c>
      <c r="K390" s="24" t="s">
        <v>288</v>
      </c>
      <c r="L390" s="56">
        <f t="shared" si="25"/>
        <v>25000</v>
      </c>
      <c r="M390" s="8"/>
      <c r="N390" s="265"/>
    </row>
    <row r="391" spans="1:14" s="3" customFormat="1" ht="12.2" customHeight="1" x14ac:dyDescent="0.15">
      <c r="A391" s="79" t="s">
        <v>553</v>
      </c>
      <c r="B391" s="2" t="s">
        <v>381</v>
      </c>
      <c r="C391" s="6">
        <v>4</v>
      </c>
      <c r="D391" s="2" t="s">
        <v>432</v>
      </c>
      <c r="E391" s="6"/>
      <c r="F391" s="18"/>
      <c r="G391" s="18">
        <v>40000</v>
      </c>
      <c r="H391" s="18"/>
      <c r="I391" s="18"/>
      <c r="J391" s="24" t="s">
        <v>288</v>
      </c>
      <c r="K391" s="24" t="s">
        <v>288</v>
      </c>
      <c r="L391" s="56">
        <f t="shared" si="25"/>
        <v>40000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2160.7399999999998</v>
      </c>
      <c r="I393" s="18"/>
      <c r="J393" s="24" t="s">
        <v>288</v>
      </c>
      <c r="K393" s="24" t="s">
        <v>288</v>
      </c>
      <c r="L393" s="56">
        <f t="shared" si="25"/>
        <v>2160.7399999999998</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65000</v>
      </c>
      <c r="H394" s="139">
        <f>SUM(H388:H393)</f>
        <v>2160.7399999999998</v>
      </c>
      <c r="I394" s="65">
        <f>SUM(I388:I393)</f>
        <v>0</v>
      </c>
      <c r="J394" s="45" t="s">
        <v>288</v>
      </c>
      <c r="K394" s="45" t="s">
        <v>288</v>
      </c>
      <c r="L394" s="47">
        <f>SUM(L388:L393)</f>
        <v>67160.740000000005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65000</v>
      </c>
      <c r="H409" s="47">
        <f>H394+H402+H408</f>
        <v>2160.7399999999998</v>
      </c>
      <c r="I409" s="47">
        <f>I394+I402+I408</f>
        <v>0</v>
      </c>
      <c r="J409" s="24" t="s">
        <v>288</v>
      </c>
      <c r="K409" s="24" t="s">
        <v>288</v>
      </c>
      <c r="L409" s="47">
        <f>L394+L402+L408</f>
        <v>67160.740000000005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v>93328</v>
      </c>
      <c r="K417" s="18"/>
      <c r="L417" s="56">
        <f t="shared" si="27"/>
        <v>93328</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93328</v>
      </c>
      <c r="K420" s="139">
        <f t="shared" si="28"/>
        <v>0</v>
      </c>
      <c r="L420" s="47">
        <f t="shared" si="28"/>
        <v>93328</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93328</v>
      </c>
      <c r="K435" s="47">
        <f t="shared" si="32"/>
        <v>0</v>
      </c>
      <c r="L435" s="47">
        <f t="shared" si="32"/>
        <v>93328</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1007267.89</v>
      </c>
      <c r="H441" s="18"/>
      <c r="I441" s="56">
        <f t="shared" si="33"/>
        <v>1007267.89</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1007267.89</v>
      </c>
      <c r="H447" s="13">
        <f>SUM(H440:H446)</f>
        <v>0</v>
      </c>
      <c r="I447" s="13">
        <f>SUM(I440:I446)</f>
        <v>1007267.89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1007267.89</v>
      </c>
      <c r="H460" s="18"/>
      <c r="I460" s="56">
        <f t="shared" si="34"/>
        <v>1007267.89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1007267.89</v>
      </c>
      <c r="H461" s="83">
        <f>SUM(H455:H460)</f>
        <v>0</v>
      </c>
      <c r="I461" s="83">
        <f>SUM(I455:I460)</f>
        <v>1007267.89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1007267.89</v>
      </c>
      <c r="H462" s="42">
        <f>H453+H461</f>
        <v>0</v>
      </c>
      <c r="I462" s="42">
        <f>I453+I461</f>
        <v>1007267.89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168710.82</v>
      </c>
      <c r="G466" s="18"/>
      <c r="H466" s="18"/>
      <c r="I466" s="18"/>
      <c r="J466" s="18">
        <f>1033435.15</f>
        <v>1033435.15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3994018.95-347.55</f>
        <v>3993671.4000000004</v>
      </c>
      <c r="G469" s="18">
        <v>39260.21</v>
      </c>
      <c r="H469" s="18">
        <v>152401.46</v>
      </c>
      <c r="I469" s="18"/>
      <c r="J469" s="18">
        <v>67160.740000000005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3993671.4000000004</v>
      </c>
      <c r="G471" s="53">
        <f>SUM(G469:G470)</f>
        <v>39260.21</v>
      </c>
      <c r="H471" s="53">
        <f>SUM(H469:H470)</f>
        <v>152401.46</v>
      </c>
      <c r="I471" s="53">
        <f>SUM(I469:I470)</f>
        <v>0</v>
      </c>
      <c r="J471" s="53">
        <f>SUM(J469:J470)</f>
        <v>67160.740000000005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3717443.57</v>
      </c>
      <c r="G473" s="18">
        <v>39260.21</v>
      </c>
      <c r="H473" s="18">
        <v>152401.46</v>
      </c>
      <c r="I473" s="18"/>
      <c r="J473" s="18">
        <v>93328</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3717443.57</v>
      </c>
      <c r="G475" s="53">
        <f>SUM(G473:G474)</f>
        <v>39260.21</v>
      </c>
      <c r="H475" s="53">
        <f>SUM(H473:H474)</f>
        <v>152401.46</v>
      </c>
      <c r="I475" s="53">
        <f>SUM(I473:I474)</f>
        <v>0</v>
      </c>
      <c r="J475" s="53">
        <f>SUM(J473:J474)</f>
        <v>93328</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444938.65000000037</v>
      </c>
      <c r="G477" s="53">
        <f>(G466+G471)- G475</f>
        <v>0</v>
      </c>
      <c r="H477" s="53">
        <f>(H466+H471)- H475</f>
        <v>0</v>
      </c>
      <c r="I477" s="53">
        <f>(I466+I471)- I475</f>
        <v>0</v>
      </c>
      <c r="J477" s="53">
        <f>(J466+J471)- J475</f>
        <v>1007267.8900000001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10454.44</v>
      </c>
      <c r="G508" s="144">
        <v>72.38</v>
      </c>
      <c r="H508" s="144">
        <v>0</v>
      </c>
      <c r="I508" s="144">
        <v>10526.82</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61780.72</v>
      </c>
      <c r="G522" s="18">
        <v>46864.94</v>
      </c>
      <c r="H522" s="18">
        <f>65054+10348.49</f>
        <v>75402.490000000005</v>
      </c>
      <c r="I522" s="18">
        <v>323.99</v>
      </c>
      <c r="J522" s="18"/>
      <c r="K522" s="18"/>
      <c r="L522" s="88">
        <f>SUM(F522:K522)</f>
        <v>184372.14</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61780.72</v>
      </c>
      <c r="G525" s="108">
        <f t="shared" ref="G525:L525" si="36">SUM(G522:G524)</f>
        <v>46864.94</v>
      </c>
      <c r="H525" s="108">
        <f t="shared" si="36"/>
        <v>75402.490000000005</v>
      </c>
      <c r="I525" s="108">
        <f t="shared" si="36"/>
        <v>323.99</v>
      </c>
      <c r="J525" s="108">
        <f t="shared" si="36"/>
        <v>0</v>
      </c>
      <c r="K525" s="108">
        <f t="shared" si="36"/>
        <v>0</v>
      </c>
      <c r="L525" s="89">
        <f t="shared" si="36"/>
        <v>184372.14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23710.05</v>
      </c>
      <c r="G527" s="18">
        <v>12052.34</v>
      </c>
      <c r="H527" s="18">
        <v>145.99</v>
      </c>
      <c r="I527" s="18">
        <v>121.84</v>
      </c>
      <c r="J527" s="18">
        <v>317.39</v>
      </c>
      <c r="K527" s="18">
        <v>176.88</v>
      </c>
      <c r="L527" s="88">
        <f>SUM(F527:K527)</f>
        <v>36524.489999999991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23710.05</v>
      </c>
      <c r="G530" s="89">
        <f t="shared" ref="G530:L530" si="37">SUM(G527:G529)</f>
        <v>12052.34</v>
      </c>
      <c r="H530" s="89">
        <f t="shared" si="37"/>
        <v>145.99</v>
      </c>
      <c r="I530" s="89">
        <f t="shared" si="37"/>
        <v>121.84</v>
      </c>
      <c r="J530" s="89">
        <f t="shared" si="37"/>
        <v>317.39</v>
      </c>
      <c r="K530" s="89">
        <f t="shared" si="37"/>
        <v>176.88</v>
      </c>
      <c r="L530" s="89">
        <f t="shared" si="37"/>
        <v>36524.489999999991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39595.86</v>
      </c>
      <c r="G532" s="18"/>
      <c r="H532" s="18"/>
      <c r="I532" s="18"/>
      <c r="J532" s="18"/>
      <c r="K532" s="18"/>
      <c r="L532" s="88">
        <f>SUM(F532:K532)</f>
        <v>39595.86</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39595.86</v>
      </c>
      <c r="G535" s="89">
        <f t="shared" ref="G535:L535" si="38">SUM(G532:G534)</f>
        <v>0</v>
      </c>
      <c r="H535" s="89">
        <f t="shared" si="38"/>
        <v>0</v>
      </c>
      <c r="I535" s="89">
        <f t="shared" si="38"/>
        <v>0</v>
      </c>
      <c r="J535" s="89">
        <f t="shared" si="38"/>
        <v>0</v>
      </c>
      <c r="K535" s="89">
        <f t="shared" si="38"/>
        <v>0</v>
      </c>
      <c r="L535" s="89">
        <f t="shared" si="38"/>
        <v>39595.86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f>19547.38+150</f>
        <v>19697.38</v>
      </c>
      <c r="G542" s="18">
        <f>24493.79</f>
        <v>24493.79</v>
      </c>
      <c r="H542" s="18">
        <v>5267.7</v>
      </c>
      <c r="I542" s="18">
        <v>5290.98</v>
      </c>
      <c r="J542" s="18">
        <v>129.36000000000001</v>
      </c>
      <c r="K542" s="18"/>
      <c r="L542" s="88">
        <f>SUM(F542:K542)</f>
        <v>54879.209999999992</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19697.38</v>
      </c>
      <c r="G545" s="192">
        <f t="shared" ref="G545:L545" si="40">SUM(G542:G544)</f>
        <v>24493.79</v>
      </c>
      <c r="H545" s="192">
        <f t="shared" si="40"/>
        <v>5267.7</v>
      </c>
      <c r="I545" s="192">
        <f t="shared" si="40"/>
        <v>5290.98</v>
      </c>
      <c r="J545" s="192">
        <f t="shared" si="40"/>
        <v>129.36000000000001</v>
      </c>
      <c r="K545" s="192">
        <f t="shared" si="40"/>
        <v>0</v>
      </c>
      <c r="L545" s="192">
        <f t="shared" si="40"/>
        <v>54879.209999999992</v>
      </c>
      <c r="M545" s="8"/>
      <c r="N545" s="265"/>
    </row>
    <row r="546" spans="1:14" s="3" customFormat="1" ht="12.2" customHeight="1" thickTop="1" x14ac:dyDescent="0.15">
      <c r="A546" s="98" t="s">
        <v>72</v>
      </c>
      <c r="B546" s="107">
        <v>21</v>
      </c>
      <c r="C546" s="107">
        <v>21</v>
      </c>
      <c r="D546" s="158" t="s">
        <v>432</v>
      </c>
      <c r="E546" s="107"/>
      <c r="F546" s="89">
        <f>F525+F530+F535+F540+F545</f>
        <v>144784.01</v>
      </c>
      <c r="G546" s="89">
        <f t="shared" ref="G546:L546" si="41">G525+G530+G535+G540+G545</f>
        <v>83411.070000000007</v>
      </c>
      <c r="H546" s="89">
        <f t="shared" si="41"/>
        <v>80816.180000000008</v>
      </c>
      <c r="I546" s="89">
        <f t="shared" si="41"/>
        <v>5736.8099999999995</v>
      </c>
      <c r="J546" s="89">
        <f t="shared" si="41"/>
        <v>446.75</v>
      </c>
      <c r="K546" s="89">
        <f t="shared" si="41"/>
        <v>176.88</v>
      </c>
      <c r="L546" s="89">
        <f t="shared" si="41"/>
        <v>315371.69999999995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184372.14</v>
      </c>
      <c r="G550" s="87">
        <f>L527</f>
        <v>36524.489999999991</v>
      </c>
      <c r="H550" s="87">
        <f>L532</f>
        <v>39595.86</v>
      </c>
      <c r="I550" s="87">
        <f>L537</f>
        <v>0</v>
      </c>
      <c r="J550" s="87">
        <f>L542</f>
        <v>54879.209999999992</v>
      </c>
      <c r="K550" s="87">
        <f>SUM(F550:J550)</f>
        <v>315371.69999999995</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184372.14</v>
      </c>
      <c r="G553" s="89">
        <f t="shared" si="42"/>
        <v>36524.489999999991</v>
      </c>
      <c r="H553" s="89">
        <f t="shared" si="42"/>
        <v>39595.86</v>
      </c>
      <c r="I553" s="89">
        <f t="shared" si="42"/>
        <v>0</v>
      </c>
      <c r="J553" s="89">
        <f t="shared" si="42"/>
        <v>54879.209999999992</v>
      </c>
      <c r="K553" s="89">
        <f t="shared" si="42"/>
        <v>315371.69999999995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v>430024</v>
      </c>
      <c r="H576" s="18">
        <v>1019150</v>
      </c>
      <c r="I576" s="87">
        <f>SUM(F576:H576)</f>
        <v>1449174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23542.73</v>
      </c>
      <c r="G581" s="18"/>
      <c r="H581" s="18"/>
      <c r="I581" s="87">
        <f t="shared" si="47"/>
        <v>23542.73</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110792.41</v>
      </c>
      <c r="I592" s="18">
        <v>70586.820000000007</v>
      </c>
      <c r="J592" s="18">
        <v>156299.39000000001</v>
      </c>
      <c r="K592" s="104">
        <f t="shared" ref="K592:K598" si="48">SUM(H592:J592)</f>
        <v>337678.62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54879.22</v>
      </c>
      <c r="I593" s="18"/>
      <c r="J593" s="18"/>
      <c r="K593" s="104">
        <f t="shared" si="48"/>
        <v>54879.22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711.59</v>
      </c>
      <c r="I596" s="18"/>
      <c r="J596" s="18"/>
      <c r="K596" s="104">
        <f t="shared" si="48"/>
        <v>711.59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166383.22</v>
      </c>
      <c r="I599" s="108">
        <f>SUM(I592:I598)</f>
        <v>70586.820000000007</v>
      </c>
      <c r="J599" s="108">
        <f>SUM(J592:J598)</f>
        <v>156299.39000000001</v>
      </c>
      <c r="K599" s="108">
        <f>SUM(K592:K598)</f>
        <v>393269.43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39484.92+345811.94</f>
        <v>385296.86</v>
      </c>
      <c r="I605" s="18">
        <v>16751.18</v>
      </c>
      <c r="J605" s="18">
        <v>37091.9</v>
      </c>
      <c r="K605" s="104">
        <f>SUM(H605:J605)</f>
        <v>439139.94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385296.86</v>
      </c>
      <c r="I606" s="108">
        <f>SUM(I603:I605)</f>
        <v>16751.18</v>
      </c>
      <c r="J606" s="108">
        <f>SUM(J603:J605)</f>
        <v>37091.9</v>
      </c>
      <c r="K606" s="108">
        <f>SUM(K603:K605)</f>
        <v>439139.94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1756.53</v>
      </c>
      <c r="G612" s="18">
        <v>193.27</v>
      </c>
      <c r="H612" s="18"/>
      <c r="I612" s="18"/>
      <c r="J612" s="18"/>
      <c r="K612" s="18"/>
      <c r="L612" s="88">
        <f>SUM(F612:K612)</f>
        <v>1949.8</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1756.53</v>
      </c>
      <c r="G615" s="108">
        <f t="shared" si="49"/>
        <v>193.27</v>
      </c>
      <c r="H615" s="108">
        <f t="shared" si="49"/>
        <v>0</v>
      </c>
      <c r="I615" s="108">
        <f t="shared" si="49"/>
        <v>0</v>
      </c>
      <c r="J615" s="108">
        <f t="shared" si="49"/>
        <v>0</v>
      </c>
      <c r="K615" s="108">
        <f t="shared" si="49"/>
        <v>0</v>
      </c>
      <c r="L615" s="89">
        <f t="shared" si="49"/>
        <v>1949.8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752368.75</v>
      </c>
      <c r="H618" s="109">
        <f>SUM(F52)</f>
        <v>752368.75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15503.039999999999</v>
      </c>
      <c r="H620" s="109">
        <f>SUM(H52)</f>
        <v>15503.039999999999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1007267.89</v>
      </c>
      <c r="H622" s="109">
        <f>SUM(J52)</f>
        <v>1007267.89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444938.65</v>
      </c>
      <c r="H623" s="109">
        <f>F477</f>
        <v>444938.65000000037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1007267.89</v>
      </c>
      <c r="H627" s="109">
        <f>J477</f>
        <v>1007267.8900000001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3993671.4</v>
      </c>
      <c r="H628" s="104">
        <f>SUM(F469)</f>
        <v>3993671.4000000004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39260.21</v>
      </c>
      <c r="H629" s="104">
        <f>SUM(G469)</f>
        <v>39260.21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152401.46000000002</v>
      </c>
      <c r="H630" s="104">
        <f>SUM(H469)</f>
        <v>152401.46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67160.740000000005</v>
      </c>
      <c r="H632" s="104">
        <f>SUM(J469)</f>
        <v>67160.740000000005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3717443.5700000003</v>
      </c>
      <c r="H633" s="104">
        <f>SUM(F473)</f>
        <v>3717443.57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152401.45999999996</v>
      </c>
      <c r="H634" s="104">
        <f>SUM(H473)</f>
        <v>152401.46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3290.14</v>
      </c>
      <c r="H635" s="104">
        <f>I370</f>
        <v>3290.1400000000003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39260.21</v>
      </c>
      <c r="H636" s="104">
        <f>SUM(G473)</f>
        <v>39260.21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67160.740000000005</v>
      </c>
      <c r="H638" s="164">
        <f>SUM(J469)</f>
        <v>67160.740000000005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93328</v>
      </c>
      <c r="H639" s="164">
        <f>SUM(J473)</f>
        <v>93328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1007267.89</v>
      </c>
      <c r="H641" s="104">
        <f>SUM(G462)</f>
        <v>1007267.89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1007267.89</v>
      </c>
      <c r="H643" s="104">
        <f>SUM(I462)</f>
        <v>1007267.89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2160.7399999999998</v>
      </c>
      <c r="H645" s="104">
        <f>H409</f>
        <v>2160.7399999999998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65000</v>
      </c>
      <c r="H646" s="104">
        <f>G409</f>
        <v>65000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67160.740000000005</v>
      </c>
      <c r="H647" s="104">
        <f>L409</f>
        <v>67160.740000000005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393269.43</v>
      </c>
      <c r="H648" s="104">
        <f>L209+L227+L245</f>
        <v>393269.43000000005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439139.94</v>
      </c>
      <c r="H649" s="104">
        <f>(J258+J339)-(J256+J337)</f>
        <v>439139.94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166383.22</v>
      </c>
      <c r="H650" s="104">
        <f>H599</f>
        <v>166383.22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70586.820000000007</v>
      </c>
      <c r="H651" s="104">
        <f>I599</f>
        <v>70586.820000000007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156299.39000000001</v>
      </c>
      <c r="H652" s="104">
        <f>J599</f>
        <v>156299.39000000001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35668.400000000001</v>
      </c>
      <c r="H653" s="104">
        <f>K264+K346</f>
        <v>35668.400000000001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65000</v>
      </c>
      <c r="H656" s="104">
        <f>K267+K348</f>
        <v>65000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2132376.6300000004</v>
      </c>
      <c r="G661" s="19">
        <f>(L230+L310+L360)</f>
        <v>500610.82</v>
      </c>
      <c r="H661" s="19">
        <f>(L248+L329+L361)</f>
        <v>1175449.3900000001</v>
      </c>
      <c r="I661" s="19">
        <f>SUM(F661:H661)</f>
        <v>3808436.8400000003</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127605.98</v>
      </c>
      <c r="G663" s="19">
        <f>(L227+L307)-(J227+J307)</f>
        <v>53774.390000000007</v>
      </c>
      <c r="H663" s="19">
        <f>(L245+L326)-(J245+J326)</f>
        <v>119071.86000000002</v>
      </c>
      <c r="I663" s="19">
        <f>SUM(F663:H663)</f>
        <v>300452.23</v>
      </c>
      <c r="J663"/>
      <c r="K663" s="13"/>
      <c r="L663" s="13"/>
      <c r="M663" s="9"/>
    </row>
    <row r="664" spans="1:13" s="3" customFormat="1" ht="12.2" customHeight="1" x14ac:dyDescent="0.15">
      <c r="A664" s="197" t="s">
        <v>129</v>
      </c>
      <c r="B664" s="169"/>
      <c r="C664" s="169"/>
      <c r="D664" s="169"/>
      <c r="E664" s="169"/>
      <c r="F664" s="198">
        <f>SUM(F576:F588)+SUM(H603:H605)+SUM(L612)</f>
        <v>410789.38999999996</v>
      </c>
      <c r="G664" s="198">
        <f>SUM(G576:G588)+SUM(I603:I605)+L613</f>
        <v>446775.18</v>
      </c>
      <c r="H664" s="198">
        <f>SUM(H576:H588)+SUM(J603:J605)+L614</f>
        <v>1056241.8999999999</v>
      </c>
      <c r="I664" s="19">
        <f>SUM(F664:H664)</f>
        <v>1913806.4699999997</v>
      </c>
      <c r="J664" s="13"/>
      <c r="K664" s="13"/>
      <c r="L664" s="13"/>
      <c r="M664" s="9"/>
    </row>
    <row r="665" spans="1:13" s="3" customFormat="1" ht="12.2" customHeight="1" x14ac:dyDescent="0.15">
      <c r="A665" s="1" t="s">
        <v>130</v>
      </c>
      <c r="F665" s="19">
        <f>F661-SUM(F662:F664)</f>
        <v>1593981.2600000002</v>
      </c>
      <c r="G665" s="19">
        <f>G661-SUM(G662:G664)</f>
        <v>61.25</v>
      </c>
      <c r="H665" s="19">
        <f>H661-SUM(H662:H664)</f>
        <v>135.63000000012107</v>
      </c>
      <c r="I665" s="19">
        <f>I661-SUM(I662:I664)</f>
        <v>1594178.1400000006</v>
      </c>
      <c r="J665" s="13"/>
      <c r="K665" s="13"/>
      <c r="L665" s="13"/>
      <c r="M665" s="8"/>
    </row>
    <row r="666" spans="1:13" s="3" customFormat="1" ht="12.2" customHeight="1" x14ac:dyDescent="0.2">
      <c r="A666" s="1" t="s">
        <v>131</v>
      </c>
      <c r="F666" s="245">
        <v>36.409999999999997</v>
      </c>
      <c r="G666" s="246"/>
      <c r="H666" s="246"/>
      <c r="I666" s="19">
        <f>SUM(F666:H666)</f>
        <v>36.409999999999997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43778.67</v>
      </c>
      <c r="G668" s="19" t="e">
        <f>ROUND(G665/G666,2)</f>
        <v>#DIV/0!</v>
      </c>
      <c r="H668" s="19" t="e">
        <f>ROUND(H665/H666,2)</f>
        <v>#DIV/0!</v>
      </c>
      <c r="I668" s="19">
        <f>ROUND(I665/I666,2)</f>
        <v>43784.07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-61.25</v>
      </c>
      <c r="H670" s="18">
        <v>-135.63</v>
      </c>
      <c r="I670" s="19">
        <f>SUM(F670:H670)</f>
        <v>-196.88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43778.67</v>
      </c>
      <c r="G673" s="19" t="e">
        <f>ROUND((G665+G670)/(G666+G671),2)</f>
        <v>#DIV/0!</v>
      </c>
      <c r="H673" s="19" t="e">
        <f>ROUND((H665+H670)/(H666+H671),2)</f>
        <v>#DIV/0!</v>
      </c>
      <c r="I673" s="19">
        <f>ROUND((I665+I670)/(I666+I671),2)</f>
        <v>43778.67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23" sqref="H23"/>
    </sheetView>
  </sheetViews>
  <sheetFormatPr defaultColWidth="9.1640625" defaultRowHeight="15" x14ac:dyDescent="0.25"/>
  <cols>
    <col min="1" max="2" width="9.1640625" style="335"/>
    <col min="3" max="3" width="154.5" style="335" customWidth="1"/>
    <col min="4" max="4" width="9.1640625" style="335"/>
    <col min="5" max="5" width="14.1640625" style="335" customWidth="1"/>
    <col min="6" max="6" width="13.1640625" style="335" customWidth="1"/>
    <col min="7" max="7" width="9.1640625" style="335"/>
    <col min="8" max="8" width="23.1640625" style="335" customWidth="1"/>
    <col min="9" max="9" width="14.1640625" style="335" customWidth="1"/>
    <col min="10" max="16384" width="9.16406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75754.399999999994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4630.68+3614.21+0.03</f>
        <v>8244.92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10241.31+33429.22+23068.61</f>
        <v>66739.14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770.34</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Freedom</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3591.81</v>
      </c>
      <c r="F12" s="310" t="s">
        <v>1585</v>
      </c>
    </row>
    <row r="13" spans="1:9" ht="15" x14ac:dyDescent="0.2">
      <c r="A13" s="310" t="s">
        <v>1573</v>
      </c>
      <c r="B13" s="313">
        <f>'DOE25'!G193-'DOE25'!G180</f>
        <v>0</v>
      </c>
      <c r="F13" s="310" t="s">
        <v>1595</v>
      </c>
    </row>
    <row r="14" spans="1:9" ht="18" x14ac:dyDescent="0.25">
      <c r="A14" s="312" t="s">
        <v>732</v>
      </c>
      <c r="B14" s="314">
        <f>SUM(B9:B13)</f>
        <v>3591.81</v>
      </c>
    </row>
    <row r="16" spans="1:9" ht="18" x14ac:dyDescent="0.25">
      <c r="A16" s="312" t="s">
        <v>786</v>
      </c>
      <c r="F16" s="319" t="s">
        <v>1587</v>
      </c>
    </row>
    <row r="17" spans="1:6" ht="15" x14ac:dyDescent="0.2">
      <c r="A17" s="310" t="s">
        <v>1574</v>
      </c>
      <c r="B17" s="313">
        <f>'DOE25'!L363-'DOE25'!L362</f>
        <v>39260.21</v>
      </c>
      <c r="F17" s="310" t="s">
        <v>1588</v>
      </c>
    </row>
    <row r="18" spans="1:6" ht="15" x14ac:dyDescent="0.2">
      <c r="A18" s="310" t="s">
        <v>1575</v>
      </c>
      <c r="B18" s="323"/>
      <c r="F18" s="319" t="s">
        <v>1612</v>
      </c>
    </row>
    <row r="19" spans="1:6" ht="18" x14ac:dyDescent="0.25">
      <c r="A19" s="312" t="s">
        <v>725</v>
      </c>
      <c r="B19" s="314">
        <f>SUM(B17:B18)</f>
        <v>39260.21</v>
      </c>
    </row>
    <row r="21" spans="1:6" ht="18.75" thickBot="1" x14ac:dyDescent="0.3">
      <c r="A21" s="312" t="s">
        <v>1576</v>
      </c>
    </row>
    <row r="22" spans="1:6" ht="18.75" thickTop="1" x14ac:dyDescent="0.25">
      <c r="A22" s="312" t="s">
        <v>1577</v>
      </c>
      <c r="B22" s="318">
        <f>B14-B19</f>
        <v>-35668.400000000001</v>
      </c>
      <c r="F22" s="310" t="s">
        <v>1589</v>
      </c>
    </row>
    <row r="26" spans="1:6" ht="18" x14ac:dyDescent="0.25">
      <c r="A26" s="312" t="s">
        <v>186</v>
      </c>
    </row>
    <row r="27" spans="1:6" ht="15" x14ac:dyDescent="0.2">
      <c r="A27" s="310" t="s">
        <v>1578</v>
      </c>
      <c r="B27" s="313">
        <f>'DOE25'!G180</f>
        <v>35668.400000000001</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50" zoomScaleNormal="150" workbookViewId="0">
      <selection activeCell="C20" sqref="C20"/>
    </sheetView>
  </sheetViews>
  <sheetFormatPr defaultColWidth="8.6640625" defaultRowHeight="11.25" x14ac:dyDescent="0.2"/>
  <cols>
    <col min="1" max="1" width="26.6640625" customWidth="1"/>
    <col min="2" max="2" width="33.6640625" customWidth="1"/>
    <col min="3" max="3" width="29.5" customWidth="1"/>
  </cols>
  <sheetData>
    <row r="1" spans="1:3" x14ac:dyDescent="0.2">
      <c r="A1" s="232" t="s">
        <v>781</v>
      </c>
      <c r="B1" s="231" t="str">
        <f>'DOE25'!A2</f>
        <v>Freedom</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416508.88</v>
      </c>
      <c r="C9" s="228">
        <f>'DOE25'!G198+'DOE25'!G216+'DOE25'!G234+'DOE25'!G277+'DOE25'!G296+'DOE25'!G315</f>
        <v>235721.9</v>
      </c>
    </row>
    <row r="10" spans="1:3" x14ac:dyDescent="0.2">
      <c r="A10" t="s">
        <v>775</v>
      </c>
      <c r="B10" s="239">
        <v>372949.2</v>
      </c>
      <c r="C10" s="239">
        <v>218753.28</v>
      </c>
    </row>
    <row r="11" spans="1:3" x14ac:dyDescent="0.2">
      <c r="A11" t="s">
        <v>776</v>
      </c>
      <c r="B11" s="239">
        <f>89.32+17035.76</f>
        <v>17125.079999999998</v>
      </c>
      <c r="C11" s="239">
        <v>1346.92</v>
      </c>
    </row>
    <row r="12" spans="1:3" x14ac:dyDescent="0.2">
      <c r="A12" t="s">
        <v>777</v>
      </c>
      <c r="B12" s="239">
        <v>26434.6</v>
      </c>
      <c r="C12" s="239">
        <v>15621.7</v>
      </c>
    </row>
    <row r="13" spans="1:3" x14ac:dyDescent="0.2">
      <c r="A13" t="str">
        <f>IF(B9=B13,IF(C9=C13,"Check Total OK","Check Total Error"),"Check Total Error")</f>
        <v>Check Total OK</v>
      </c>
      <c r="B13" s="230">
        <f>SUM(B10:B12)</f>
        <v>416508.88</v>
      </c>
      <c r="C13" s="230">
        <f>SUM(C10:C12)</f>
        <v>235721.90000000002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61780.72</v>
      </c>
      <c r="C18" s="228">
        <f>'DOE25'!G199+'DOE25'!G217+'DOE25'!G235+'DOE25'!G278+'DOE25'!G297+'DOE25'!G316</f>
        <v>46894.95</v>
      </c>
    </row>
    <row r="19" spans="1:3" x14ac:dyDescent="0.2">
      <c r="A19" t="s">
        <v>775</v>
      </c>
      <c r="B19" s="239">
        <v>58331.519999999997</v>
      </c>
      <c r="C19" s="239">
        <v>36805.230000000003</v>
      </c>
    </row>
    <row r="20" spans="1:3" x14ac:dyDescent="0.2">
      <c r="A20" t="s">
        <v>776</v>
      </c>
      <c r="B20" s="239">
        <v>2999.2</v>
      </c>
      <c r="C20" s="239">
        <v>10089.719999999999</v>
      </c>
    </row>
    <row r="21" spans="1:3" x14ac:dyDescent="0.2">
      <c r="A21" t="s">
        <v>777</v>
      </c>
      <c r="B21" s="239">
        <v>450</v>
      </c>
      <c r="C21" s="239"/>
    </row>
    <row r="22" spans="1:3" x14ac:dyDescent="0.2">
      <c r="A22" t="str">
        <f>IF(B18=B22,IF(C18=C22,"Check Total OK","Check Total Error"),"Check Total Error")</f>
        <v>Check Total OK</v>
      </c>
      <c r="B22" s="230">
        <f>SUM(B19:B21)</f>
        <v>61780.719999999994</v>
      </c>
      <c r="C22" s="230">
        <f>SUM(C19:C21)</f>
        <v>46894.950000000004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3508.75</v>
      </c>
      <c r="C36" s="234">
        <f>'DOE25'!G201+'DOE25'!G219+'DOE25'!G237+'DOE25'!G280+'DOE25'!G299+'DOE25'!G318</f>
        <v>1025.1100000000001</v>
      </c>
    </row>
    <row r="37" spans="1:3" x14ac:dyDescent="0.2">
      <c r="A37" t="s">
        <v>775</v>
      </c>
      <c r="B37" s="239">
        <v>3508.75</v>
      </c>
      <c r="C37" s="239">
        <v>1025.1099999999999</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3508.75</v>
      </c>
      <c r="C40" s="230">
        <f>SUM(C37:C39)</f>
        <v>1025.1099999999999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25" zoomScaleNormal="125" workbookViewId="0">
      <pane ySplit="4" topLeftCell="A5" activePane="bottomLeft" state="frozen"/>
      <selection activeCell="F46" sqref="F46"/>
      <selection pane="bottomLeft" activeCell="E8" sqref="E8"/>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78" t="s">
        <v>892</v>
      </c>
      <c r="B1" s="381"/>
      <c r="C1" s="381"/>
      <c r="D1" s="381"/>
      <c r="E1" s="381"/>
      <c r="F1" s="381"/>
      <c r="G1" s="381"/>
      <c r="H1" s="381"/>
      <c r="I1" s="180"/>
    </row>
    <row r="2" spans="1:9" x14ac:dyDescent="0.2">
      <c r="A2" s="33" t="s">
        <v>713</v>
      </c>
      <c r="B2" s="259" t="str">
        <f>'DOE25'!A2</f>
        <v>Freedom</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2295353.77</v>
      </c>
      <c r="D5" s="20">
        <f>SUM('DOE25'!L198:L201)+SUM('DOE25'!L216:L219)+SUM('DOE25'!L234:L237)-F5-G5-H5</f>
        <v>2288604.4900000002</v>
      </c>
      <c r="E5" s="242"/>
      <c r="F5" s="243"/>
      <c r="G5" s="53">
        <f>SUM('DOE25'!J198:J201)+SUM('DOE25'!J216:J219)+SUM('DOE25'!J234:J237)</f>
        <v>6749.28</v>
      </c>
      <c r="H5" s="53">
        <f>SUM('DOE25'!K198:K201)+SUM('DOE25'!K216:K219)+SUM('DOE25'!K234:K237)</f>
        <v>0</v>
      </c>
      <c r="I5" s="255"/>
    </row>
    <row r="6" spans="1:9" x14ac:dyDescent="0.2">
      <c r="A6" s="32">
        <v>2100</v>
      </c>
      <c r="B6" t="s">
        <v>796</v>
      </c>
      <c r="C6" s="274">
        <f t="shared" si="0"/>
        <v>122077.19</v>
      </c>
      <c r="D6" s="20">
        <f>'DOE25'!L203+'DOE25'!L221+'DOE25'!L239-F6-G6-H6</f>
        <v>121850.24000000001</v>
      </c>
      <c r="E6" s="242"/>
      <c r="F6" s="243"/>
      <c r="G6" s="53">
        <f>'DOE25'!J203+'DOE25'!J221+'DOE25'!J239</f>
        <v>226.95</v>
      </c>
      <c r="H6" s="53">
        <f>'DOE25'!K203+'DOE25'!K221+'DOE25'!K239</f>
        <v>0</v>
      </c>
      <c r="I6" s="255"/>
    </row>
    <row r="7" spans="1:9" x14ac:dyDescent="0.2">
      <c r="A7" s="32">
        <v>2200</v>
      </c>
      <c r="B7" t="s">
        <v>821</v>
      </c>
      <c r="C7" s="274">
        <f t="shared" si="0"/>
        <v>1162.76</v>
      </c>
      <c r="D7" s="20">
        <f>'DOE25'!L204+'DOE25'!L222+'DOE25'!L240-F7-G7-H7</f>
        <v>1162.76</v>
      </c>
      <c r="E7" s="242"/>
      <c r="F7" s="243"/>
      <c r="G7" s="53">
        <f>'DOE25'!J204+'DOE25'!J222+'DOE25'!J240</f>
        <v>0</v>
      </c>
      <c r="H7" s="53">
        <f>'DOE25'!K204+'DOE25'!K222+'DOE25'!K240</f>
        <v>0</v>
      </c>
      <c r="I7" s="255"/>
    </row>
    <row r="8" spans="1:9" x14ac:dyDescent="0.2">
      <c r="A8" s="32">
        <v>2300</v>
      </c>
      <c r="B8" t="s">
        <v>797</v>
      </c>
      <c r="C8" s="274">
        <f t="shared" si="0"/>
        <v>116491.09999999999</v>
      </c>
      <c r="D8" s="242"/>
      <c r="E8" s="20">
        <f>'DOE25'!L205+'DOE25'!L223+'DOE25'!L241-F8-G8-H8-D9-D11</f>
        <v>113399.60999999999</v>
      </c>
      <c r="F8" s="243"/>
      <c r="G8" s="53">
        <f>'DOE25'!J205+'DOE25'!J223+'DOE25'!J241</f>
        <v>0</v>
      </c>
      <c r="H8" s="53">
        <f>'DOE25'!K205+'DOE25'!K223+'DOE25'!K241</f>
        <v>3091.49</v>
      </c>
      <c r="I8" s="255"/>
    </row>
    <row r="9" spans="1:9" ht="14.25" x14ac:dyDescent="0.2">
      <c r="A9" s="32">
        <v>2310</v>
      </c>
      <c r="B9" s="184" t="s">
        <v>888</v>
      </c>
      <c r="C9" s="274">
        <f t="shared" si="0"/>
        <v>37122.79</v>
      </c>
      <c r="D9" s="243">
        <v>37122.79</v>
      </c>
      <c r="E9" s="242"/>
      <c r="F9" s="252"/>
      <c r="G9" s="252"/>
      <c r="H9" s="252"/>
      <c r="I9" s="255"/>
    </row>
    <row r="10" spans="1:9" ht="14.25" x14ac:dyDescent="0.2">
      <c r="A10" s="32">
        <v>2317</v>
      </c>
      <c r="B10" s="184" t="s">
        <v>889</v>
      </c>
      <c r="C10" s="274">
        <f t="shared" si="0"/>
        <v>7000</v>
      </c>
      <c r="D10" s="242"/>
      <c r="E10" s="243">
        <v>7000</v>
      </c>
      <c r="F10" s="252"/>
      <c r="G10" s="252"/>
      <c r="H10" s="252"/>
      <c r="I10" s="255"/>
    </row>
    <row r="11" spans="1:9" ht="14.25" x14ac:dyDescent="0.2">
      <c r="A11" s="32">
        <v>2321</v>
      </c>
      <c r="B11" s="184" t="s">
        <v>890</v>
      </c>
      <c r="C11" s="274">
        <f t="shared" si="0"/>
        <v>61754.22</v>
      </c>
      <c r="D11" s="243">
        <v>61754.22</v>
      </c>
      <c r="E11" s="242"/>
      <c r="F11" s="252"/>
      <c r="G11" s="252"/>
      <c r="H11" s="252"/>
      <c r="I11" s="255"/>
    </row>
    <row r="12" spans="1:9" x14ac:dyDescent="0.2">
      <c r="A12" s="32">
        <v>2400</v>
      </c>
      <c r="B12" t="s">
        <v>711</v>
      </c>
      <c r="C12" s="274">
        <f t="shared" si="0"/>
        <v>145093.31</v>
      </c>
      <c r="D12" s="20">
        <f>'DOE25'!L206+'DOE25'!L224+'DOE25'!L242-F12-G12-H12</f>
        <v>139224.38</v>
      </c>
      <c r="E12" s="242"/>
      <c r="F12" s="243"/>
      <c r="G12" s="53">
        <f>'DOE25'!J206+'DOE25'!J224+'DOE25'!J242</f>
        <v>5718.93</v>
      </c>
      <c r="H12" s="53">
        <f>'DOE25'!K206+'DOE25'!K224+'DOE25'!K242</f>
        <v>150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444289.12</v>
      </c>
      <c r="D14" s="20">
        <f>'DOE25'!L208+'DOE25'!L226+'DOE25'!L244-F14-G14-H14</f>
        <v>137478.16999999998</v>
      </c>
      <c r="E14" s="242"/>
      <c r="F14" s="243"/>
      <c r="G14" s="53">
        <f>'DOE25'!J208+'DOE25'!J226+'DOE25'!J244</f>
        <v>306810.95</v>
      </c>
      <c r="H14" s="53">
        <f>'DOE25'!K208+'DOE25'!K226+'DOE25'!K244</f>
        <v>0</v>
      </c>
      <c r="I14" s="255"/>
    </row>
    <row r="15" spans="1:9" x14ac:dyDescent="0.2">
      <c r="A15" s="32">
        <v>2700</v>
      </c>
      <c r="B15" t="s">
        <v>799</v>
      </c>
      <c r="C15" s="274">
        <f t="shared" si="0"/>
        <v>393269.43000000005</v>
      </c>
      <c r="D15" s="20">
        <f>'DOE25'!L209+'DOE25'!L227+'DOE25'!L245-F15-G15-H15</f>
        <v>299146.18000000005</v>
      </c>
      <c r="E15" s="242"/>
      <c r="F15" s="243"/>
      <c r="G15" s="53">
        <f>'DOE25'!J209+'DOE25'!J227+'DOE25'!J245</f>
        <v>93669.260000000009</v>
      </c>
      <c r="H15" s="53">
        <f>'DOE25'!K209+'DOE25'!K227+'DOE25'!K245</f>
        <v>453.99</v>
      </c>
      <c r="I15" s="255"/>
    </row>
    <row r="16" spans="1:9" x14ac:dyDescent="0.2">
      <c r="A16" s="32">
        <v>2800</v>
      </c>
      <c r="B16" t="s">
        <v>800</v>
      </c>
      <c r="C16" s="274">
        <f t="shared" si="0"/>
        <v>161.47999999999999</v>
      </c>
      <c r="D16" s="242"/>
      <c r="E16" s="20">
        <f>'DOE25'!L210+'DOE25'!L228+'DOE25'!L246-F16-G16-H16</f>
        <v>161.47999999999999</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36914.04</v>
      </c>
      <c r="D29" s="282">
        <f>'DOE25'!L359+'DOE25'!L360+'DOE25'!L361-'DOE25'!I368-F29-G29-H29</f>
        <v>36914.04</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152401.45999999996</v>
      </c>
      <c r="D31" s="20">
        <f>'DOE25'!L291+'DOE25'!L310+'DOE25'!L329+'DOE25'!L334+'DOE25'!L335+'DOE25'!L336-F31-G31-H31</f>
        <v>120631.76999999996</v>
      </c>
      <c r="E31" s="242"/>
      <c r="F31" s="243"/>
      <c r="G31" s="53">
        <f>'DOE25'!J291+'DOE25'!J310+'DOE25'!J329+'DOE25'!J334+'DOE25'!J335+'DOE25'!J336</f>
        <v>25964.57</v>
      </c>
      <c r="H31" s="53">
        <f>'DOE25'!K291+'DOE25'!K310+'DOE25'!K329+'DOE25'!K334+'DOE25'!K335+'DOE25'!K336</f>
        <v>5805.12</v>
      </c>
      <c r="I31" s="255"/>
    </row>
    <row r="32" spans="1:9" ht="12" thickBot="1" x14ac:dyDescent="0.25">
      <c r="C32" s="275"/>
      <c r="G32" s="250"/>
      <c r="H32" s="250"/>
      <c r="I32" s="257"/>
    </row>
    <row r="33" spans="1:9" ht="12" thickTop="1" x14ac:dyDescent="0.2">
      <c r="B33" t="s">
        <v>809</v>
      </c>
      <c r="D33" s="244">
        <f t="shared" ref="D33:I33" si="1">SUM(D5:D31)</f>
        <v>3243889.0400000005</v>
      </c>
      <c r="E33" s="244">
        <f t="shared" si="1"/>
        <v>120561.08999999998</v>
      </c>
      <c r="F33" s="244">
        <f t="shared" si="1"/>
        <v>0</v>
      </c>
      <c r="G33" s="244">
        <f t="shared" si="1"/>
        <v>439139.94</v>
      </c>
      <c r="H33" s="244">
        <f t="shared" si="1"/>
        <v>9500.5999999999985</v>
      </c>
      <c r="I33" s="244">
        <f t="shared" si="1"/>
        <v>0</v>
      </c>
    </row>
    <row r="35" spans="1:9" ht="12" thickBot="1" x14ac:dyDescent="0.25">
      <c r="B35" s="250" t="s">
        <v>831</v>
      </c>
      <c r="D35" s="251">
        <f>E33</f>
        <v>120561.08999999998</v>
      </c>
      <c r="E35" s="247"/>
      <c r="F35" s="328" t="s">
        <v>1617</v>
      </c>
      <c r="G35" s="329"/>
      <c r="H35" s="329"/>
      <c r="I35" s="329"/>
    </row>
    <row r="36" spans="1:9" ht="12" thickTop="1" x14ac:dyDescent="0.2">
      <c r="B36" t="s">
        <v>810</v>
      </c>
      <c r="D36" s="20">
        <f>D33</f>
        <v>3243889.0400000005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6" sqref="E6"/>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Freedom</v>
      </c>
      <c r="B2" s="126">
        <f>'DOE25'!B2</f>
        <v>187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2093116.42</v>
      </c>
      <c r="G4" s="299">
        <f>'DOE25'!L212+'DOE25'!L291</f>
        <v>2093116.4200000002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0</v>
      </c>
      <c r="E5" s="290"/>
      <c r="F5" s="303">
        <f>D5+E5</f>
        <v>0</v>
      </c>
      <c r="G5" s="293"/>
      <c r="H5" s="293"/>
      <c r="I5" s="384"/>
      <c r="N5"/>
    </row>
    <row r="6" spans="1:18" x14ac:dyDescent="0.2">
      <c r="A6" s="126" t="str" cm="1">
        <f t="array" ref="A6">IFERROR(INDEX('School Tables'!$A$4:$G$325,'School Tables'!$J4,3),"")</f>
        <v>Freedom Elementary School</v>
      </c>
      <c r="B6" s="300">
        <f>IFERROR(VLOOKUP(A6,'School Tables'!$C$3:$D$365,2,FALSE),"")</f>
        <v>20350</v>
      </c>
      <c r="C6" s="293" t="str">
        <f>IFERROR(INDEX('School Tables'!$B$3:$B$365,MATCH('School Level Expenditures'!B6,'School Tables'!$D$3:$D$365,0)),"")</f>
        <v>Freedom</v>
      </c>
      <c r="D6" s="290">
        <v>1940714.95</v>
      </c>
      <c r="E6" s="290">
        <v>152401.47</v>
      </c>
      <c r="F6" s="303">
        <f t="shared" ref="F6:F20" si="0">D6+E6</f>
        <v>2093116.42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1940714.95</v>
      </c>
      <c r="E21" s="338">
        <f>SUM(E5:E20)</f>
        <v>152401.47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500610.82</v>
      </c>
      <c r="G24" s="299">
        <f>'DOE25'!L230+'DOE25'!L310</f>
        <v>500610.82</v>
      </c>
      <c r="H24" s="340">
        <f>F24-G24</f>
        <v>0</v>
      </c>
      <c r="I24" s="383" t="str">
        <f>IF(H24=0,"","ISSUES!! Please review page 8 and 12 totals in comparison with total on this page")</f>
        <v/>
      </c>
      <c r="N24"/>
    </row>
    <row r="25" spans="1:14" x14ac:dyDescent="0.2">
      <c r="A25" s="126" t="s">
        <v>1548</v>
      </c>
      <c r="B25" s="300">
        <v>99999</v>
      </c>
      <c r="C25" s="293" t="s">
        <v>1548</v>
      </c>
      <c r="D25" s="290">
        <f>430024+70586.82</f>
        <v>500610.82</v>
      </c>
      <c r="E25" s="290"/>
      <c r="F25" s="303">
        <f>D25+E25</f>
        <v>500610.82</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500610.82</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1175449.3900000001</v>
      </c>
      <c r="G36" s="299">
        <f>'DOE25'!L248+'DOE25'!L329</f>
        <v>1175449.3900000001</v>
      </c>
      <c r="H36" s="340">
        <f>F36-G36</f>
        <v>0</v>
      </c>
      <c r="I36" s="383" t="str">
        <f>IF(H36=0,"","ISSUES!! Please review page 9 and 13 totals in comparison with total on this page")</f>
        <v/>
      </c>
      <c r="N36"/>
    </row>
    <row r="37" spans="1:14" x14ac:dyDescent="0.2">
      <c r="A37" s="126" t="s">
        <v>1548</v>
      </c>
      <c r="B37" s="300">
        <v>99999</v>
      </c>
      <c r="C37" s="293" t="s">
        <v>1548</v>
      </c>
      <c r="D37" s="290">
        <f>128330+890820+156299.39</f>
        <v>1175449.3900000001</v>
      </c>
      <c r="E37" s="290"/>
      <c r="F37" s="303">
        <f t="shared" ref="F37:F42" si="2">D37+E37</f>
        <v>1175449.3900000001</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1175449.3900000001</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Freedom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626125.63</v>
      </c>
      <c r="D8" s="95">
        <f>'DOE25'!G9</f>
        <v>0</v>
      </c>
      <c r="E8" s="95">
        <f>'DOE25'!H9</f>
        <v>0</v>
      </c>
      <c r="F8" s="95">
        <f>'DOE25'!I9</f>
        <v>0</v>
      </c>
      <c r="G8" s="95">
        <f>'DOE25'!J9</f>
        <v>0</v>
      </c>
      <c r="H8" s="124">
        <f>SUM(C8:G8)</f>
        <v>626125.63</v>
      </c>
      <c r="I8" s="124"/>
    </row>
    <row r="9" spans="1:9" x14ac:dyDescent="0.2">
      <c r="A9" s="1" t="s">
        <v>140</v>
      </c>
      <c r="B9" s="6">
        <v>110</v>
      </c>
      <c r="C9" s="95">
        <f>'DOE25'!F10</f>
        <v>0</v>
      </c>
      <c r="D9" s="95">
        <f>'DOE25'!G10</f>
        <v>0</v>
      </c>
      <c r="E9" s="95">
        <f>'DOE25'!H10</f>
        <v>0</v>
      </c>
      <c r="F9" s="95">
        <f>'DOE25'!I10</f>
        <v>0</v>
      </c>
      <c r="G9" s="95">
        <f>'DOE25'!J10</f>
        <v>1007267.89</v>
      </c>
      <c r="H9" s="124">
        <f t="shared" ref="H9:H18" si="0">SUM(C9:G9)</f>
        <v>1007267.89</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30333.24</v>
      </c>
      <c r="D11" s="95">
        <f>'DOE25'!G12</f>
        <v>-1268.8700000000001</v>
      </c>
      <c r="E11" s="95">
        <f>'DOE25'!H12</f>
        <v>-15227.1</v>
      </c>
      <c r="F11" s="95">
        <f>'DOE25'!I12</f>
        <v>0</v>
      </c>
      <c r="G11" s="95">
        <f>'DOE25'!J12</f>
        <v>0</v>
      </c>
      <c r="H11" s="124">
        <f t="shared" si="0"/>
        <v>13837.270000000002</v>
      </c>
      <c r="I11" s="124"/>
    </row>
    <row r="12" spans="1:9" x14ac:dyDescent="0.2">
      <c r="A12" s="1" t="s">
        <v>143</v>
      </c>
      <c r="B12" s="6">
        <v>140</v>
      </c>
      <c r="C12" s="95">
        <f>'DOE25'!F13</f>
        <v>-1628.11</v>
      </c>
      <c r="D12" s="95">
        <f>'DOE25'!G13</f>
        <v>1268.8700000000001</v>
      </c>
      <c r="E12" s="95">
        <f>'DOE25'!H13</f>
        <v>30730.14</v>
      </c>
      <c r="F12" s="95">
        <f>'DOE25'!I13</f>
        <v>0</v>
      </c>
      <c r="G12" s="95">
        <f>'DOE25'!J13</f>
        <v>0</v>
      </c>
      <c r="H12" s="124">
        <f t="shared" si="0"/>
        <v>30370.9</v>
      </c>
      <c r="I12" s="124"/>
    </row>
    <row r="13" spans="1:9" x14ac:dyDescent="0.2">
      <c r="A13" s="1" t="s">
        <v>144</v>
      </c>
      <c r="B13" s="6">
        <v>150</v>
      </c>
      <c r="C13" s="95">
        <f>'DOE25'!F14</f>
        <v>97537.99</v>
      </c>
      <c r="D13" s="95">
        <f>'DOE25'!G14</f>
        <v>0</v>
      </c>
      <c r="E13" s="95">
        <f>'DOE25'!H14</f>
        <v>0</v>
      </c>
      <c r="F13" s="95">
        <f>'DOE25'!I14</f>
        <v>0</v>
      </c>
      <c r="G13" s="95">
        <f>'DOE25'!J14</f>
        <v>0</v>
      </c>
      <c r="H13" s="124">
        <f t="shared" si="0"/>
        <v>97537.99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752368.75</v>
      </c>
      <c r="D18" s="41">
        <f>SUM(D8:D17)</f>
        <v>0</v>
      </c>
      <c r="E18" s="41">
        <f>SUM(E8:E17)</f>
        <v>15503.039999999999</v>
      </c>
      <c r="F18" s="41">
        <f>SUM(F8:F17)</f>
        <v>0</v>
      </c>
      <c r="G18" s="41">
        <f>SUM(G8:G17)</f>
        <v>1007267.89</v>
      </c>
      <c r="H18" s="41">
        <f t="shared" si="0"/>
        <v>1775139.6800000002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14184.82</v>
      </c>
      <c r="F21" s="95">
        <f>'DOE25'!I22</f>
        <v>0</v>
      </c>
      <c r="G21" s="95">
        <f>'DOE25'!J22</f>
        <v>0</v>
      </c>
      <c r="H21" s="124">
        <f t="shared" ref="H21:H31" si="1">SUM(C21:G21)</f>
        <v>14184.82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303734.64</v>
      </c>
      <c r="D23" s="95">
        <f>'DOE25'!G24</f>
        <v>0</v>
      </c>
      <c r="E23" s="95">
        <f>'DOE25'!H24</f>
        <v>818.22</v>
      </c>
      <c r="F23" s="95">
        <f>'DOE25'!I24</f>
        <v>0</v>
      </c>
      <c r="G23" s="95">
        <f>'DOE25'!J24</f>
        <v>0</v>
      </c>
      <c r="H23" s="124">
        <f t="shared" si="1"/>
        <v>304552.86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-633.69000000000005</v>
      </c>
      <c r="D25" s="24" t="s">
        <v>288</v>
      </c>
      <c r="E25" s="24" t="s">
        <v>288</v>
      </c>
      <c r="F25" s="95">
        <f>'DOE25'!I26</f>
        <v>0</v>
      </c>
      <c r="G25" s="24" t="s">
        <v>288</v>
      </c>
      <c r="H25" s="124">
        <f t="shared" si="1"/>
        <v>-633.69000000000005</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1878.28</v>
      </c>
      <c r="D28" s="95">
        <f>'DOE25'!G29</f>
        <v>0</v>
      </c>
      <c r="E28" s="95">
        <f>'DOE25'!H29</f>
        <v>0</v>
      </c>
      <c r="F28" s="95">
        <f>'DOE25'!I29</f>
        <v>0</v>
      </c>
      <c r="G28" s="24" t="s">
        <v>288</v>
      </c>
      <c r="H28" s="124">
        <f t="shared" si="1"/>
        <v>1878.28</v>
      </c>
      <c r="I28" s="124"/>
    </row>
    <row r="29" spans="1:9" x14ac:dyDescent="0.2">
      <c r="A29" s="1" t="s">
        <v>158</v>
      </c>
      <c r="B29" s="6">
        <v>480</v>
      </c>
      <c r="C29" s="95">
        <f>'DOE25'!F30</f>
        <v>2450.8700000000003</v>
      </c>
      <c r="D29" s="95">
        <f>'DOE25'!G30</f>
        <v>0</v>
      </c>
      <c r="E29" s="95">
        <f>'DOE25'!H30</f>
        <v>500</v>
      </c>
      <c r="F29" s="95">
        <f>'DOE25'!I30</f>
        <v>0</v>
      </c>
      <c r="G29" s="24" t="s">
        <v>288</v>
      </c>
      <c r="H29" s="124">
        <f t="shared" si="1"/>
        <v>2950.8700000000003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307430.10000000003</v>
      </c>
      <c r="D31" s="41">
        <f>SUM(D21:D30)</f>
        <v>0</v>
      </c>
      <c r="E31" s="41">
        <f>SUM(E21:E30)</f>
        <v>15503.039999999999</v>
      </c>
      <c r="F31" s="41">
        <f>SUM(F21:F30)</f>
        <v>0</v>
      </c>
      <c r="G31" s="41">
        <f>SUM(G21:G30)</f>
        <v>0</v>
      </c>
      <c r="H31" s="41">
        <f t="shared" si="1"/>
        <v>322933.14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20000</v>
      </c>
      <c r="D43" s="95">
        <f>'DOE25'!G44</f>
        <v>0</v>
      </c>
      <c r="E43" s="95">
        <f>'DOE25'!H44</f>
        <v>0</v>
      </c>
      <c r="F43" s="95">
        <f>'DOE25'!I44</f>
        <v>0</v>
      </c>
      <c r="G43" s="24" t="s">
        <v>288</v>
      </c>
      <c r="H43" s="124">
        <f t="shared" si="2"/>
        <v>20000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194445</v>
      </c>
      <c r="D45" s="24" t="s">
        <v>288</v>
      </c>
      <c r="E45" s="24" t="s">
        <v>288</v>
      </c>
      <c r="F45" s="24" t="s">
        <v>288</v>
      </c>
      <c r="G45" s="24" t="s">
        <v>288</v>
      </c>
      <c r="H45" s="124">
        <f t="shared" si="2"/>
        <v>194445</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1007267.89</v>
      </c>
      <c r="H47" s="124">
        <f t="shared" si="2"/>
        <v>1007267.89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230493.65000000002</v>
      </c>
      <c r="D49" s="24" t="s">
        <v>288</v>
      </c>
      <c r="E49" s="24" t="s">
        <v>288</v>
      </c>
      <c r="F49" s="24" t="s">
        <v>288</v>
      </c>
      <c r="G49" s="24" t="s">
        <v>288</v>
      </c>
      <c r="H49" s="124">
        <f t="shared" si="2"/>
        <v>230493.65000000002</v>
      </c>
      <c r="I49" s="124"/>
    </row>
    <row r="50" spans="1:9" ht="12.75" thickTop="1" thickBot="1" x14ac:dyDescent="0.25">
      <c r="A50" s="38" t="s">
        <v>884</v>
      </c>
      <c r="B50" s="48"/>
      <c r="C50" s="41">
        <f>SUM(C34:C49)</f>
        <v>444938.65</v>
      </c>
      <c r="D50" s="41">
        <f>SUM(D34:D49)</f>
        <v>0</v>
      </c>
      <c r="E50" s="41">
        <f>SUM(E34:E49)</f>
        <v>0</v>
      </c>
      <c r="F50" s="41">
        <f>SUM(F34:F49)</f>
        <v>0</v>
      </c>
      <c r="G50" s="41">
        <f>SUM(G34:G49)</f>
        <v>1007267.89</v>
      </c>
      <c r="H50" s="41">
        <f t="shared" si="2"/>
        <v>1452206.54</v>
      </c>
      <c r="I50" s="124"/>
    </row>
    <row r="51" spans="1:9" ht="12" thickTop="1" x14ac:dyDescent="0.2">
      <c r="A51" s="38" t="s">
        <v>885</v>
      </c>
      <c r="B51" s="2"/>
      <c r="C51" s="41">
        <f>C50+C31</f>
        <v>752368.75</v>
      </c>
      <c r="D51" s="41">
        <f>D50+D31</f>
        <v>0</v>
      </c>
      <c r="E51" s="41">
        <f>E50+E31</f>
        <v>15503.039999999999</v>
      </c>
      <c r="F51" s="41">
        <f>F50+F31</f>
        <v>0</v>
      </c>
      <c r="G51" s="41">
        <f>G50+G31</f>
        <v>1007267.89</v>
      </c>
      <c r="H51" s="41">
        <f t="shared" si="2"/>
        <v>1775139.6800000002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2795358</v>
      </c>
      <c r="D56" s="95">
        <f>'DOE25'!G60</f>
        <v>0</v>
      </c>
      <c r="E56" s="95">
        <f>'DOE25'!H60</f>
        <v>0</v>
      </c>
      <c r="F56" s="95">
        <f>'DOE25'!I60</f>
        <v>0</v>
      </c>
      <c r="G56" s="95">
        <f>'DOE25'!J60</f>
        <v>0</v>
      </c>
      <c r="H56" s="124">
        <f t="shared" ref="H56:H63" si="3">SUM(C56:G56)</f>
        <v>2795358</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141.75</v>
      </c>
      <c r="D59" s="95">
        <f>'DOE25'!G96</f>
        <v>0</v>
      </c>
      <c r="E59" s="95">
        <f>'DOE25'!H96</f>
        <v>0</v>
      </c>
      <c r="F59" s="95">
        <f>'DOE25'!I96</f>
        <v>0</v>
      </c>
      <c r="G59" s="95">
        <f>'DOE25'!J96</f>
        <v>2160.7399999999998</v>
      </c>
      <c r="H59" s="124">
        <f t="shared" si="3"/>
        <v>2302.4899999999998</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2173.42</v>
      </c>
      <c r="D61" s="95">
        <f>SUM('DOE25'!G98:G110)</f>
        <v>0</v>
      </c>
      <c r="E61" s="95">
        <f>SUM('DOE25'!H98:H110)</f>
        <v>0</v>
      </c>
      <c r="F61" s="95">
        <f>SUM('DOE25'!I98:I110)</f>
        <v>0</v>
      </c>
      <c r="G61" s="95">
        <f>SUM('DOE25'!J98:J110)</f>
        <v>0</v>
      </c>
      <c r="H61" s="124">
        <f t="shared" si="3"/>
        <v>2173.42</v>
      </c>
      <c r="I61"/>
    </row>
    <row r="62" spans="1:9" ht="12.75" thickTop="1" thickBot="1" x14ac:dyDescent="0.25">
      <c r="A62" s="29" t="s">
        <v>174</v>
      </c>
      <c r="B62" s="6"/>
      <c r="C62" s="130">
        <f>SUM(C57:C61)</f>
        <v>2315.17</v>
      </c>
      <c r="D62" s="130">
        <f>SUM(D57:D61)</f>
        <v>0</v>
      </c>
      <c r="E62" s="130">
        <f>SUM(E57:E61)</f>
        <v>0</v>
      </c>
      <c r="F62" s="130">
        <f>SUM(F57:F61)</f>
        <v>0</v>
      </c>
      <c r="G62" s="130">
        <f>SUM(G57:G61)</f>
        <v>2160.7399999999998</v>
      </c>
      <c r="H62" s="124">
        <f t="shared" si="3"/>
        <v>4475.91</v>
      </c>
      <c r="I62"/>
    </row>
    <row r="63" spans="1:9" ht="12" thickTop="1" x14ac:dyDescent="0.2">
      <c r="A63" s="29" t="s">
        <v>175</v>
      </c>
      <c r="B63" s="6"/>
      <c r="C63" s="22">
        <f>C56+C62</f>
        <v>2797673.17</v>
      </c>
      <c r="D63" s="22">
        <f>D56+D62</f>
        <v>0</v>
      </c>
      <c r="E63" s="22">
        <f>E56+E62</f>
        <v>0</v>
      </c>
      <c r="F63" s="22">
        <f>F56+F62</f>
        <v>0</v>
      </c>
      <c r="G63" s="22">
        <f>G56+G62</f>
        <v>2160.7399999999998</v>
      </c>
      <c r="H63" s="124">
        <f t="shared" si="3"/>
        <v>2799833.91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1093545</v>
      </c>
      <c r="D67" s="24"/>
      <c r="E67" s="24"/>
      <c r="F67" s="24"/>
      <c r="G67" s="24"/>
      <c r="H67" s="124">
        <f t="shared" si="4"/>
        <v>1093545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1093545</v>
      </c>
      <c r="D70" s="139">
        <f>D69</f>
        <v>0</v>
      </c>
      <c r="E70" s="139">
        <f>E69</f>
        <v>0</v>
      </c>
      <c r="F70" s="139">
        <f>F69</f>
        <v>0</v>
      </c>
      <c r="G70" s="139">
        <f>G69</f>
        <v>0</v>
      </c>
      <c r="H70" s="124">
        <f t="shared" si="4"/>
        <v>1093545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1093545</v>
      </c>
      <c r="D81" s="130">
        <f>SUM(D79:D80)+D78+D70</f>
        <v>0</v>
      </c>
      <c r="E81" s="130">
        <f>SUM(E79:E80)+E78+E70</f>
        <v>0</v>
      </c>
      <c r="F81" s="130">
        <f>SUM(F79:F80)+F78+F70</f>
        <v>0</v>
      </c>
      <c r="G81" s="130">
        <f>SUM(G79:G80)+G78+G70</f>
        <v>0</v>
      </c>
      <c r="H81" s="130">
        <f t="shared" si="4"/>
        <v>1093545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9125.23</v>
      </c>
      <c r="D88" s="326">
        <f>SUM('DOE25'!G153:G162)</f>
        <v>3591.81</v>
      </c>
      <c r="E88" s="326">
        <f>SUM('DOE25'!H153:H162)</f>
        <v>152401.46000000002</v>
      </c>
      <c r="F88" s="326">
        <f>SUM('DOE25'!I153:I162)</f>
        <v>0</v>
      </c>
      <c r="G88" s="24" t="s">
        <v>288</v>
      </c>
      <c r="H88" s="124">
        <f t="shared" si="5"/>
        <v>165118.50000000003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9125.23</v>
      </c>
      <c r="D91" s="131">
        <f>SUM(D85:D90)</f>
        <v>3591.81</v>
      </c>
      <c r="E91" s="131">
        <f>SUM(E85:E90)</f>
        <v>152401.46000000002</v>
      </c>
      <c r="F91" s="131">
        <f>SUM(F85:F90)</f>
        <v>0</v>
      </c>
      <c r="G91" s="24" t="s">
        <v>288</v>
      </c>
      <c r="H91" s="124">
        <f t="shared" si="5"/>
        <v>165118.50000000003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35668.400000000001</v>
      </c>
      <c r="E96" s="95">
        <f>'DOE25'!H180</f>
        <v>0</v>
      </c>
      <c r="F96" s="95">
        <f>'DOE25'!I180</f>
        <v>0</v>
      </c>
      <c r="G96" s="95">
        <f>'DOE25'!J180</f>
        <v>65000</v>
      </c>
      <c r="H96" s="124">
        <f t="shared" si="5"/>
        <v>100668.4</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93328</v>
      </c>
      <c r="D99" s="95">
        <f>'DOE25'!G186</f>
        <v>0</v>
      </c>
      <c r="E99" s="95">
        <f>'DOE25'!H186</f>
        <v>0</v>
      </c>
      <c r="F99" s="95">
        <f>'DOE25'!I186</f>
        <v>0</v>
      </c>
      <c r="G99" s="24" t="s">
        <v>288</v>
      </c>
      <c r="H99" s="124">
        <f t="shared" si="5"/>
        <v>93328</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93328</v>
      </c>
      <c r="D103" s="86">
        <f>SUM(D93:D102)</f>
        <v>35668.400000000001</v>
      </c>
      <c r="E103" s="86">
        <f>SUM(E93:E102)</f>
        <v>0</v>
      </c>
      <c r="F103" s="86">
        <f>SUM(F93:F102)</f>
        <v>0</v>
      </c>
      <c r="G103" s="86">
        <f>SUM(G93:G102)</f>
        <v>65000</v>
      </c>
      <c r="H103" s="86">
        <f t="shared" si="5"/>
        <v>193996.4</v>
      </c>
    </row>
    <row r="104" spans="1:8" ht="12.75" thickTop="1" thickBot="1" x14ac:dyDescent="0.25">
      <c r="A104" s="33" t="s">
        <v>761</v>
      </c>
      <c r="C104" s="86">
        <f>C63+C81+C91+C103</f>
        <v>3993671.4</v>
      </c>
      <c r="D104" s="86">
        <f>D63+D81+D91+D103</f>
        <v>39260.21</v>
      </c>
      <c r="E104" s="86">
        <f>E63+E81+E91+E103</f>
        <v>152401.46000000002</v>
      </c>
      <c r="F104" s="86">
        <f>F63+F81+F91+F103</f>
        <v>0</v>
      </c>
      <c r="G104" s="86">
        <f>G63+G81+G103</f>
        <v>67160.740000000005</v>
      </c>
      <c r="H104" s="86">
        <f t="shared" si="5"/>
        <v>4252493.8099999996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2116420.87</v>
      </c>
      <c r="D109" s="24" t="s">
        <v>288</v>
      </c>
      <c r="E109" s="95">
        <f>('DOE25'!L277)+('DOE25'!L296)+('DOE25'!L315)</f>
        <v>84242.209999999992</v>
      </c>
      <c r="F109" s="24" t="s">
        <v>288</v>
      </c>
      <c r="G109" s="24" t="s">
        <v>288</v>
      </c>
      <c r="H109" s="124">
        <f t="shared" ref="H109:H115" si="6">SUM(C109:G109)</f>
        <v>2200663.08</v>
      </c>
    </row>
    <row r="110" spans="1:8" x14ac:dyDescent="0.2">
      <c r="A110" t="s">
        <v>198</v>
      </c>
      <c r="B110" s="32" t="s">
        <v>199</v>
      </c>
      <c r="C110" s="95">
        <f>('DOE25'!L199)+('DOE25'!L217)+('DOE25'!L235)</f>
        <v>174054.09999999998</v>
      </c>
      <c r="D110" s="24" t="s">
        <v>288</v>
      </c>
      <c r="E110" s="95">
        <f>('DOE25'!L278)+('DOE25'!L297)+('DOE25'!L316)</f>
        <v>10348.49</v>
      </c>
      <c r="F110" s="24" t="s">
        <v>288</v>
      </c>
      <c r="G110" s="24" t="s">
        <v>288</v>
      </c>
      <c r="H110" s="124">
        <f t="shared" si="6"/>
        <v>184402.58999999997</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4878.7999999999993</v>
      </c>
      <c r="D112" s="24" t="s">
        <v>288</v>
      </c>
      <c r="E112" s="95">
        <f>+('DOE25'!L280)+('DOE25'!L299)+('DOE25'!L318)</f>
        <v>4614.71</v>
      </c>
      <c r="F112" s="24" t="s">
        <v>288</v>
      </c>
      <c r="G112" s="24" t="s">
        <v>288</v>
      </c>
      <c r="H112" s="124">
        <f t="shared" si="6"/>
        <v>9493.5099999999984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2295353.77</v>
      </c>
      <c r="D115" s="86">
        <f>SUM(D109:D114)</f>
        <v>0</v>
      </c>
      <c r="E115" s="86">
        <f>SUM(E109:E114)</f>
        <v>99205.41</v>
      </c>
      <c r="F115" s="86">
        <f>SUM(F109:F114)</f>
        <v>0</v>
      </c>
      <c r="G115" s="86">
        <f>SUM(G109:G114)</f>
        <v>0</v>
      </c>
      <c r="H115" s="86">
        <f t="shared" si="6"/>
        <v>2394559.1800000002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122077.19</v>
      </c>
      <c r="D118" s="24" t="s">
        <v>288</v>
      </c>
      <c r="E118" s="95">
        <f>+('DOE25'!L282)+('DOE25'!L301)+('DOE25'!L320)</f>
        <v>3417.9</v>
      </c>
      <c r="F118" s="24" t="s">
        <v>288</v>
      </c>
      <c r="G118" s="24" t="s">
        <v>288</v>
      </c>
      <c r="H118" s="124">
        <f t="shared" ref="H118:H145" si="7">SUM(C118:G118)</f>
        <v>125495.09</v>
      </c>
    </row>
    <row r="119" spans="1:8" x14ac:dyDescent="0.2">
      <c r="A119" t="s">
        <v>208</v>
      </c>
      <c r="B119" s="32" t="s">
        <v>209</v>
      </c>
      <c r="C119" s="95">
        <f>('DOE25'!L204)+('DOE25'!L222)+('DOE25'!L240)</f>
        <v>1162.76</v>
      </c>
      <c r="D119" s="24" t="s">
        <v>288</v>
      </c>
      <c r="E119" s="95">
        <f>+('DOE25'!L283)+('DOE25'!L302)+('DOE25'!L321)</f>
        <v>43022.479999999996</v>
      </c>
      <c r="F119" s="24" t="s">
        <v>288</v>
      </c>
      <c r="G119" s="24" t="s">
        <v>288</v>
      </c>
      <c r="H119" s="124">
        <f t="shared" si="7"/>
        <v>44185.24</v>
      </c>
    </row>
    <row r="120" spans="1:8" x14ac:dyDescent="0.2">
      <c r="A120" t="s">
        <v>210</v>
      </c>
      <c r="B120" s="32" t="s">
        <v>211</v>
      </c>
      <c r="C120" s="95">
        <f>('DOE25'!L205)+('DOE25'!L223)+('DOE25'!L241)</f>
        <v>215368.11</v>
      </c>
      <c r="D120" s="24" t="s">
        <v>288</v>
      </c>
      <c r="E120" s="95">
        <f>+('DOE25'!L284)+('DOE25'!L303)+('DOE25'!L322)</f>
        <v>5411.16</v>
      </c>
      <c r="F120" s="24" t="s">
        <v>288</v>
      </c>
      <c r="G120" s="24" t="s">
        <v>288</v>
      </c>
      <c r="H120" s="124">
        <f t="shared" si="7"/>
        <v>220779.27</v>
      </c>
    </row>
    <row r="121" spans="1:8" x14ac:dyDescent="0.2">
      <c r="A121" t="s">
        <v>212</v>
      </c>
      <c r="B121" s="32" t="s">
        <v>213</v>
      </c>
      <c r="C121" s="95">
        <f>('DOE25'!L206)+('DOE25'!L224)+('DOE25'!L242)</f>
        <v>145093.31</v>
      </c>
      <c r="D121" s="24" t="s">
        <v>288</v>
      </c>
      <c r="E121" s="95">
        <f>+('DOE25'!L285)+('DOE25'!L304)+('DOE25'!L323)</f>
        <v>0</v>
      </c>
      <c r="F121" s="24" t="s">
        <v>288</v>
      </c>
      <c r="G121" s="24" t="s">
        <v>288</v>
      </c>
      <c r="H121" s="124">
        <f t="shared" si="7"/>
        <v>145093.31</v>
      </c>
    </row>
    <row r="122" spans="1:8" x14ac:dyDescent="0.2">
      <c r="A122" t="s">
        <v>214</v>
      </c>
      <c r="B122" s="32" t="s">
        <v>215</v>
      </c>
      <c r="C122" s="95">
        <f>('DOE25'!L207)+('DOE25'!L225)+('DOE25'!L243)</f>
        <v>0</v>
      </c>
      <c r="D122" s="24" t="s">
        <v>288</v>
      </c>
      <c r="E122" s="95">
        <f>+('DOE25'!L286)+('DOE25'!L305)+('DOE25'!L324)</f>
        <v>393.96</v>
      </c>
      <c r="F122" s="24" t="s">
        <v>288</v>
      </c>
      <c r="G122" s="24" t="s">
        <v>288</v>
      </c>
      <c r="H122" s="124">
        <f t="shared" si="7"/>
        <v>393.96</v>
      </c>
    </row>
    <row r="123" spans="1:8" x14ac:dyDescent="0.2">
      <c r="A123" t="s">
        <v>216</v>
      </c>
      <c r="B123" s="32" t="s">
        <v>217</v>
      </c>
      <c r="C123" s="95">
        <f>('DOE25'!L208)+('DOE25'!L226)+('DOE25'!L244)</f>
        <v>444289.12</v>
      </c>
      <c r="D123" s="24" t="s">
        <v>288</v>
      </c>
      <c r="E123" s="95">
        <f>+('DOE25'!L287)+('DOE25'!L306)+('DOE25'!L325)</f>
        <v>98.49</v>
      </c>
      <c r="F123" s="24" t="s">
        <v>288</v>
      </c>
      <c r="G123" s="24" t="s">
        <v>288</v>
      </c>
      <c r="H123" s="124">
        <f t="shared" si="7"/>
        <v>444387.61</v>
      </c>
    </row>
    <row r="124" spans="1:8" x14ac:dyDescent="0.2">
      <c r="A124" t="s">
        <v>218</v>
      </c>
      <c r="B124" s="32" t="s">
        <v>219</v>
      </c>
      <c r="C124" s="95">
        <f>('DOE25'!L209)+('DOE25'!L227)+('DOE25'!L245+'DOE25'!L255)</f>
        <v>393269.43000000005</v>
      </c>
      <c r="D124" s="24" t="s">
        <v>288</v>
      </c>
      <c r="E124" s="95">
        <f>+('DOE25'!L288)+('DOE25'!L307)+('DOE25'!L326)</f>
        <v>852.06</v>
      </c>
      <c r="F124" s="24" t="s">
        <v>288</v>
      </c>
      <c r="G124" s="24" t="s">
        <v>288</v>
      </c>
      <c r="H124" s="124">
        <f t="shared" si="7"/>
        <v>394121.49000000005</v>
      </c>
    </row>
    <row r="125" spans="1:8" x14ac:dyDescent="0.2">
      <c r="A125" t="s">
        <v>220</v>
      </c>
      <c r="B125" s="32" t="s">
        <v>221</v>
      </c>
      <c r="C125" s="95">
        <f>('DOE25'!L210)+('DOE25'!L228)+('DOE25'!L246)</f>
        <v>161.47999999999999</v>
      </c>
      <c r="D125" s="24" t="s">
        <v>288</v>
      </c>
      <c r="E125" s="95">
        <f>+('DOE25'!L289)+('DOE25'!L308)+('DOE25'!L327)</f>
        <v>0</v>
      </c>
      <c r="F125" s="24" t="s">
        <v>288</v>
      </c>
      <c r="G125" s="24" t="s">
        <v>288</v>
      </c>
      <c r="H125" s="124">
        <f t="shared" si="7"/>
        <v>161.47999999999999</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39260.21</v>
      </c>
      <c r="E127" s="24" t="s">
        <v>288</v>
      </c>
      <c r="F127" s="24" t="s">
        <v>288</v>
      </c>
      <c r="G127" s="24" t="s">
        <v>288</v>
      </c>
      <c r="H127" s="124">
        <f t="shared" si="7"/>
        <v>39260.21</v>
      </c>
    </row>
    <row r="128" spans="1:8" ht="12.75" thickTop="1" thickBot="1" x14ac:dyDescent="0.25">
      <c r="A128" s="33" t="s">
        <v>226</v>
      </c>
      <c r="C128" s="86">
        <f>SUM(C118:C127)</f>
        <v>1321421.3999999999</v>
      </c>
      <c r="D128" s="86">
        <f>SUM(D118:D127)</f>
        <v>39260.21</v>
      </c>
      <c r="E128" s="86">
        <f>SUM(E118:E127)</f>
        <v>53196.049999999988</v>
      </c>
      <c r="F128" s="86">
        <f>SUM(F118:F127)</f>
        <v>0</v>
      </c>
      <c r="G128" s="86">
        <f>SUM(G118:G127)</f>
        <v>0</v>
      </c>
      <c r="H128" s="86">
        <f t="shared" si="7"/>
        <v>1413877.66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35668.400000000001</v>
      </c>
      <c r="D135" s="24" t="s">
        <v>288</v>
      </c>
      <c r="E135" s="129">
        <f>'DOE25'!L346</f>
        <v>0</v>
      </c>
      <c r="F135" s="24" t="s">
        <v>288</v>
      </c>
      <c r="G135" s="24" t="s">
        <v>288</v>
      </c>
      <c r="H135" s="124">
        <f t="shared" si="7"/>
        <v>35668.400000000001</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67160.740000000005</v>
      </c>
      <c r="D138" s="24" t="s">
        <v>288</v>
      </c>
      <c r="E138" s="24" t="s">
        <v>288</v>
      </c>
      <c r="F138" s="24" t="s">
        <v>288</v>
      </c>
      <c r="G138" s="24" t="s">
        <v>288</v>
      </c>
      <c r="H138" s="124">
        <f t="shared" si="7"/>
        <v>67160.740000000005</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-2160.7400000000052</v>
      </c>
      <c r="D141" s="24" t="s">
        <v>288</v>
      </c>
      <c r="E141" s="24" t="s">
        <v>288</v>
      </c>
      <c r="F141" s="24" t="s">
        <v>288</v>
      </c>
      <c r="G141" s="24" t="s">
        <v>288</v>
      </c>
      <c r="H141" s="124">
        <f t="shared" si="7"/>
        <v>-2160.7400000000052</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100668.40000000001</v>
      </c>
      <c r="D144" s="141">
        <f>SUM(D130:D143)</f>
        <v>0</v>
      </c>
      <c r="E144" s="141">
        <f>SUM(E130:E143)</f>
        <v>0</v>
      </c>
      <c r="F144" s="141">
        <f>SUM(F130:F143)</f>
        <v>0</v>
      </c>
      <c r="G144" s="141">
        <f>SUM(G130:G143)</f>
        <v>0</v>
      </c>
      <c r="H144" s="141">
        <f t="shared" si="7"/>
        <v>100668.40000000001</v>
      </c>
    </row>
    <row r="145" spans="1:9" ht="12.75" thickTop="1" thickBot="1" x14ac:dyDescent="0.25">
      <c r="A145" s="33" t="s">
        <v>244</v>
      </c>
      <c r="C145" s="86">
        <f>(C115+C128+C144)</f>
        <v>3717443.57</v>
      </c>
      <c r="D145" s="86">
        <f>(D115+D128+D144)</f>
        <v>39260.21</v>
      </c>
      <c r="E145" s="86">
        <f>(E115+E128+E144)</f>
        <v>152401.46</v>
      </c>
      <c r="F145" s="86">
        <f>(F115+F128+F144)</f>
        <v>0</v>
      </c>
      <c r="G145" s="86">
        <f>(G115+G128+G144)</f>
        <v>0</v>
      </c>
      <c r="H145" s="86">
        <f t="shared" si="7"/>
        <v>3909105.2399999998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85" t="s">
        <v>736</v>
      </c>
      <c r="B1" s="385"/>
      <c r="C1" s="385"/>
      <c r="D1" s="385"/>
    </row>
    <row r="2" spans="1:4" x14ac:dyDescent="0.2">
      <c r="A2" s="186" t="s">
        <v>713</v>
      </c>
      <c r="B2" s="185" t="str">
        <f>'DOE25'!A2</f>
        <v>Freedom</v>
      </c>
    </row>
    <row r="3" spans="1:4" x14ac:dyDescent="0.2">
      <c r="B3" s="187" t="s">
        <v>1799</v>
      </c>
    </row>
    <row r="4" spans="1:4" x14ac:dyDescent="0.2">
      <c r="B4" t="s">
        <v>61</v>
      </c>
      <c r="C4" s="178">
        <f>IF('DOE25'!F666+'DOE25'!F671=0,0,ROUND('DOE25'!F673,0))</f>
        <v>43779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43779</v>
      </c>
    </row>
    <row r="9" spans="1:4" x14ac:dyDescent="0.2">
      <c r="A9" s="186" t="s">
        <v>94</v>
      </c>
      <c r="B9" s="187" t="s">
        <v>1800</v>
      </c>
      <c r="C9" s="180" t="s">
        <v>720</v>
      </c>
      <c r="D9" s="180" t="s">
        <v>721</v>
      </c>
    </row>
    <row r="10" spans="1:4" x14ac:dyDescent="0.2">
      <c r="A10">
        <v>1100</v>
      </c>
      <c r="B10" t="s">
        <v>702</v>
      </c>
      <c r="C10" s="178">
        <f>ROUND('DOE25'!L198+'DOE25'!L216+'DOE25'!L234+'DOE25'!L277+'DOE25'!L296+'DOE25'!L315,0)</f>
        <v>2200663</v>
      </c>
      <c r="D10" s="181">
        <f>ROUND((C10/$C$28)*100,1)</f>
        <v>57.8</v>
      </c>
    </row>
    <row r="11" spans="1:4" x14ac:dyDescent="0.2">
      <c r="A11">
        <v>1200</v>
      </c>
      <c r="B11" t="s">
        <v>703</v>
      </c>
      <c r="C11" s="178">
        <f>ROUND('DOE25'!L199+'DOE25'!L217+'DOE25'!L235+'DOE25'!L278+'DOE25'!L297+'DOE25'!L316,0)</f>
        <v>184403</v>
      </c>
      <c r="D11" s="181">
        <f>ROUND((C11/$C$28)*100,1)</f>
        <v>4.8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9494</v>
      </c>
      <c r="D13" s="181">
        <f>ROUND((C13/$C$28)*100,1)</f>
        <v>0.2</v>
      </c>
    </row>
    <row r="14" spans="1:4" x14ac:dyDescent="0.2">
      <c r="D14" s="181"/>
    </row>
    <row r="15" spans="1:4" x14ac:dyDescent="0.2">
      <c r="A15">
        <v>2100</v>
      </c>
      <c r="B15" t="s">
        <v>706</v>
      </c>
      <c r="C15" s="178">
        <f>ROUND('DOE25'!L203+'DOE25'!L221+'DOE25'!L239+'DOE25'!L282+'DOE25'!L301+'DOE25'!L320,0)</f>
        <v>125495</v>
      </c>
      <c r="D15" s="181">
        <f t="shared" ref="D15:D27" si="0">ROUND((C15/$C$28)*100,1)</f>
        <v>3.3</v>
      </c>
    </row>
    <row r="16" spans="1:4" x14ac:dyDescent="0.2">
      <c r="A16">
        <v>2200</v>
      </c>
      <c r="B16" t="s">
        <v>707</v>
      </c>
      <c r="C16" s="178">
        <f>ROUND('DOE25'!L204+'DOE25'!L222+'DOE25'!L240+'DOE25'!L283+'DOE25'!L302+'DOE25'!L321,0)</f>
        <v>44185</v>
      </c>
      <c r="D16" s="181">
        <f t="shared" si="0"/>
        <v>1.2</v>
      </c>
    </row>
    <row r="17" spans="1:4" x14ac:dyDescent="0.2">
      <c r="A17" s="182" t="s">
        <v>723</v>
      </c>
      <c r="B17" t="s">
        <v>738</v>
      </c>
      <c r="C17" s="178">
        <f>ROUND('DOE25'!L205+'DOE25'!L210+'DOE25'!L223+'DOE25'!L228+'DOE25'!L241+'DOE25'!L246+'DOE25'!L284+'DOE25'!L289+'DOE25'!L303+'DOE25'!L308+'DOE25'!L322+'DOE25'!L327,0)</f>
        <v>220941</v>
      </c>
      <c r="D17" s="181">
        <f t="shared" si="0"/>
        <v>5.8</v>
      </c>
    </row>
    <row r="18" spans="1:4" x14ac:dyDescent="0.2">
      <c r="A18">
        <v>2400</v>
      </c>
      <c r="B18" t="s">
        <v>711</v>
      </c>
      <c r="C18" s="178">
        <f>ROUND('DOE25'!L206+'DOE25'!L224+'DOE25'!L242+'DOE25'!L285+'DOE25'!L304+'DOE25'!L323,0)</f>
        <v>145093</v>
      </c>
      <c r="D18" s="181">
        <f t="shared" si="0"/>
        <v>3.8</v>
      </c>
    </row>
    <row r="19" spans="1:4" x14ac:dyDescent="0.2">
      <c r="A19">
        <v>2500</v>
      </c>
      <c r="B19" t="s">
        <v>708</v>
      </c>
      <c r="C19" s="178">
        <f>ROUND('DOE25'!L207+'DOE25'!L225+'DOE25'!L243+'DOE25'!L286+'DOE25'!L305+'DOE25'!L324,0)</f>
        <v>394</v>
      </c>
      <c r="D19" s="181">
        <f t="shared" si="0"/>
        <v>0</v>
      </c>
    </row>
    <row r="20" spans="1:4" x14ac:dyDescent="0.2">
      <c r="A20">
        <v>2600</v>
      </c>
      <c r="B20" t="s">
        <v>709</v>
      </c>
      <c r="C20" s="178">
        <f>ROUND('DOE25'!L208+'DOE25'!L226+'DOE25'!L244+'DOE25'!L287+'DOE25'!L306+'DOE25'!L325,0)</f>
        <v>444388</v>
      </c>
      <c r="D20" s="181">
        <f t="shared" si="0"/>
        <v>11.7</v>
      </c>
    </row>
    <row r="21" spans="1:4" x14ac:dyDescent="0.2">
      <c r="A21">
        <v>2700</v>
      </c>
      <c r="B21" t="s">
        <v>710</v>
      </c>
      <c r="C21" s="178">
        <f>ROUND('DOE25'!L209+'DOE25'!L227+'DOE25'!L245+'DOE25'!L288+'DOE25'!L307+'DOE25'!L326,0)</f>
        <v>394121</v>
      </c>
      <c r="D21" s="181">
        <f t="shared" si="0"/>
        <v>10.3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39260</v>
      </c>
      <c r="D27" s="181">
        <f t="shared" si="0"/>
        <v>1</v>
      </c>
    </row>
    <row r="28" spans="1:4" x14ac:dyDescent="0.2">
      <c r="B28" s="186" t="s">
        <v>719</v>
      </c>
      <c r="C28" s="179">
        <f>SUM(C10:C27)</f>
        <v>3808437</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3808437</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2795358</v>
      </c>
      <c r="D35" s="181">
        <f t="shared" ref="D35:D40" si="1">ROUND((C35/$C$41)*100,1)</f>
        <v>68.900000000000006</v>
      </c>
    </row>
    <row r="36" spans="1:4" x14ac:dyDescent="0.2">
      <c r="B36" s="184" t="s">
        <v>739</v>
      </c>
      <c r="C36" s="178">
        <f>SUM('DOE25'!F112:J112)-SUM('DOE25'!G97:G110)+('DOE25'!F175+'DOE25'!F176+'DOE25'!I175+'DOE25'!I176)-C35</f>
        <v>4475.910000000149</v>
      </c>
      <c r="D36" s="181">
        <f t="shared" si="1"/>
        <v>0.1</v>
      </c>
    </row>
    <row r="37" spans="1:4" x14ac:dyDescent="0.2">
      <c r="A37" s="182" t="s">
        <v>835</v>
      </c>
      <c r="B37" s="184" t="s">
        <v>728</v>
      </c>
      <c r="C37" s="178">
        <f>ROUND('DOE25'!F117+'DOE25'!F118,0)</f>
        <v>1093545</v>
      </c>
      <c r="D37" s="181">
        <f t="shared" si="1"/>
        <v>26.9</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165119</v>
      </c>
      <c r="D39" s="181">
        <f t="shared" si="1"/>
        <v>4.0999999999999996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4058497.91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ColWidth="8.6640625" defaultRowHeight="11.25" x14ac:dyDescent="0.2"/>
  <cols>
    <col min="1" max="1" width="10.16406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Freedom</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91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51"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f>IF('School Level Expenditures'!$B$2=A94,'School Tables'!H94,"")</f>
        <v>91</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63.75"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2022-12-19T15:15:33Z</dcterms:modified>
</cp:coreProperties>
</file>