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vml" ContentType="application/vnd.openxmlformats-officedocument.vmlDrawing"/>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sheets/sheet5.xml" ContentType="application/vnd.openxmlformats-officedocument.spreadsheetml.worksheet+xml"/>
  <Override PartName="/xl/worksheets/sheet6.xml" ContentType="application/vnd.openxmlformats-officedocument.spreadsheetml.worksheet+xml"/>
  <Override PartName="/xl/worksheets/sheet7.xml" ContentType="application/vnd.openxmlformats-officedocument.spreadsheetml.worksheet+xml"/>
  <Override PartName="/xl/worksheets/sheet8.xml" ContentType="application/vnd.openxmlformats-officedocument.spreadsheetml.worksheet+xml"/>
  <Override PartName="/xl/worksheets/sheet9.xml" ContentType="application/vnd.openxmlformats-officedocument.spreadsheetml.worksheet+xml"/>
  <Override PartName="/xl/worksheets/sheet10.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xl/metadata.xml" ContentType="application/vnd.openxmlformats-officedocument.spreadsheetml.sheetMetadata+xml"/>
  <Override PartName="/xl/comments1.xml" ContentType="application/vnd.openxmlformats-officedocument.spreadsheetml.comments+xml"/>
  <Override PartName="/xl/calcChain.xml" ContentType="application/vnd.openxmlformats-officedocument.spreadsheetml.calcChain+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6" rupBuild="25629"/>
  <workbookPr codeName="ThisWorkbook"/>
  <mc:AlternateContent xmlns:mc="http://schemas.openxmlformats.org/markup-compatibility/2006">
    <mc:Choice Requires="x15">
      <x15ac:absPath xmlns:x15ac="http://schemas.microsoft.com/office/spreadsheetml/2010/11/ac" url="S:\DOPS\BDM\DOE-25\FY2021-2022\Incoming\"/>
    </mc:Choice>
  </mc:AlternateContent>
  <xr:revisionPtr revIDLastSave="0" documentId="13_ncr:1_{F30A95AC-0FED-40D0-A0B3-2A6433CC6FD5}" xr6:coauthVersionLast="47" xr6:coauthVersionMax="47" xr10:uidLastSave="{00000000-0000-0000-0000-000000000000}"/>
  <workbookProtection workbookAlgorithmName="SHA-512" workbookHashValue="w/J9OVORCdyQtFHGZLlTy8Bt/12kB7y0z+DA4YbxIUgqB4Bo3jbt+vHmjiVeS9at/XgLQ7L2AEdCCUOsdDJ1Qg==" workbookSaltValue="37STFidzkZcipKgHAy3RbA==" workbookSpinCount="100000" lockStructure="1"/>
  <bookViews>
    <workbookView xWindow="-120" yWindow="-120" windowWidth="29040" windowHeight="15840" tabRatio="773" xr2:uid="{00000000-000D-0000-FFFF-FFFF00000000}"/>
  </bookViews>
  <sheets>
    <sheet name="DOE25" sheetId="1" r:id="rId1"/>
    <sheet name="ESEA OTHER TITLE PROGRAMS" sheetId="17" r:id="rId2"/>
    <sheet name="Food Service Attachment W" sheetId="16" r:id="rId3"/>
    <sheet name="Salaries-Benefits" sheetId="12" r:id="rId4"/>
    <sheet name="Indirect Cost Rate" sheetId="13" r:id="rId5"/>
    <sheet name="School Level Expenditures" sheetId="14" r:id="rId6"/>
    <sheet name="MS-25" sheetId="2" r:id="rId7"/>
    <sheet name="District Profile" sheetId="10" r:id="rId8"/>
    <sheet name="District &amp; DOE Notes" sheetId="11" r:id="rId9"/>
    <sheet name="School Tables" sheetId="15" state="hidden" r:id="rId10"/>
  </sheets>
  <definedNames>
    <definedName name="_xlnm._FilterDatabase" localSheetId="5" hidden="1">'School Level Expenditures'!$N$3:$R$568</definedName>
    <definedName name="INDIRECT_COST_RATE">'DOE25'!$A$617:$L$617</definedName>
    <definedName name="ms25pg01">'MS-25'!$A$1:$G$52</definedName>
    <definedName name="ms25pg02">'MS-25'!$A$53:$G$81</definedName>
    <definedName name="ms25pg03">'MS-25'!$A$82:$G$104</definedName>
    <definedName name="ms25pg04">'MS-25'!$A$105:$G$146</definedName>
    <definedName name="ms25pg05">'MS-25'!#REF!</definedName>
    <definedName name="ms25pg06">'MS-25'!$A$147:$G$164</definedName>
    <definedName name="page01">'DOE25'!$A$5:$L$53</definedName>
    <definedName name="page02">'DOE25'!$A$54:$L$80</definedName>
    <definedName name="page03">'DOE25'!$A$81:$L$113</definedName>
    <definedName name="page04">'DOE25'!$A$114:$L$140</definedName>
    <definedName name="page05">'DOE25'!$A$142:$L$170</definedName>
    <definedName name="page06">'DOE25'!$A$172:$L$194</definedName>
    <definedName name="page07">'DOE25'!$A$195:$L$212</definedName>
    <definedName name="page08">'DOE25'!$A$213:$L$230</definedName>
    <definedName name="page09">'DOE25'!$A$231:$L$248</definedName>
    <definedName name="page10">'DOE25'!$A$250:$L$272</definedName>
    <definedName name="page11">'DOE25'!$A$274:$L$291</definedName>
    <definedName name="page12">'DOE25'!$A$293:$L$310</definedName>
    <definedName name="page13">'DOE25'!$A$312:$L$329</definedName>
    <definedName name="page14">'DOE25'!$A$331:$L$353</definedName>
    <definedName name="page15">'DOE25'!$A$356:$L$383</definedName>
    <definedName name="page16">'DOE25'!$A$385:$L$409</definedName>
    <definedName name="page17">'DOE25'!$A$411:$L$435</definedName>
    <definedName name="page18">'DOE25'!$A$437:$L$462</definedName>
    <definedName name="page19">'DOE25'!$A$464:$L$487</definedName>
    <definedName name="page20">'DOE25'!$A$488:$L$518</definedName>
    <definedName name="page21">'DOE25'!$A$519:$L$553</definedName>
    <definedName name="page22">'DOE25'!$A$554:$L$589</definedName>
    <definedName name="page23">'DOE25'!$A$590:$L$615</definedName>
    <definedName name="Page24">'DOE25'!$A28:$L38</definedName>
    <definedName name="pageall">'DOE25'!$A$5:$L$674</definedName>
    <definedName name="pagecheck">'DOE25'!$A$618:$J$674</definedName>
    <definedName name="_xlnm.Print_Area" localSheetId="8">'District &amp; DOE Notes'!$A$1:$N$70</definedName>
    <definedName name="_xlnm.Print_Area" localSheetId="7">'District Profile'!$A$1:$D$42</definedName>
    <definedName name="_xlnm.Print_Area" localSheetId="0">'DOE25'!$A$1:$L$674</definedName>
    <definedName name="_xlnm.Print_Area" localSheetId="2">'Food Service Attachment W'!$A$1:$E$39</definedName>
    <definedName name="_xlnm.Print_Area" localSheetId="4">'Indirect Cost Rate'!$A$1:$I$54</definedName>
    <definedName name="_xlnm.Print_Area" localSheetId="3">'Salaries-Benefits'!$A$1:$C$54</definedName>
    <definedName name="_xlnm.Print_Area" localSheetId="5">'School Level Expenditures'!$A$1:$H$44</definedName>
    <definedName name="_xlnm.Print_Titles" localSheetId="0">'DOE25'!$A:$C,'DOE25'!$1:$3</definedName>
  </definedNames>
  <calcPr calcId="191029"/>
  <extLst>
    <ext xmlns:xcalcf="http://schemas.microsoft.com/office/spreadsheetml/2018/calcfeatures" uri="{B58B0392-4F1F-4190-BB64-5DF3571DCE5F}">
      <xcalcf:calcFeatures>
        <xcalcf:feature name="microsoft.com:RD"/>
        <xcalcf:feature name="microsoft.com:Single"/>
        <xcalcf:feature name="microsoft.com:FV"/>
        <xcalcf:feature name="microsoft.com:CNMTM"/>
        <xcalcf:feature name="microsoft.com:LET_WF"/>
        <xcalcf:feature name="microsoft.com:LAMBDA_WF"/>
      </xcalcf:calcFeatures>
    </ext>
  </extLst>
</workbook>
</file>

<file path=xl/calcChain.xml><?xml version="1.0" encoding="utf-8"?>
<calcChain xmlns="http://schemas.openxmlformats.org/spreadsheetml/2006/main">
  <c r="D6" i="14" l="1"/>
  <c r="H206" i="1" l="1"/>
  <c r="F15" i="13" l="1"/>
  <c r="F6" i="13"/>
  <c r="D11" i="13"/>
  <c r="C37" i="12"/>
  <c r="C19" i="12"/>
  <c r="C20" i="12"/>
  <c r="C10" i="12"/>
  <c r="B37" i="12"/>
  <c r="B20" i="12"/>
  <c r="B19" i="12"/>
  <c r="B10" i="12"/>
  <c r="H605" i="1"/>
  <c r="G612" i="1"/>
  <c r="F612" i="1"/>
  <c r="H580" i="1" l="1"/>
  <c r="J527" i="1"/>
  <c r="I527" i="1"/>
  <c r="I522" i="1"/>
  <c r="H532" i="1"/>
  <c r="H527" i="1"/>
  <c r="H529" i="1"/>
  <c r="H522" i="1"/>
  <c r="H524" i="1"/>
  <c r="G532" i="1"/>
  <c r="G527" i="1"/>
  <c r="G522" i="1"/>
  <c r="F527" i="1"/>
  <c r="F522" i="1"/>
  <c r="J469" i="1" l="1"/>
  <c r="K206" i="1"/>
  <c r="K205" i="1"/>
  <c r="K204" i="1"/>
  <c r="K203" i="1"/>
  <c r="J204" i="1"/>
  <c r="J203" i="1"/>
  <c r="I206" i="1"/>
  <c r="I205" i="1"/>
  <c r="I204" i="1"/>
  <c r="I203" i="1"/>
  <c r="I199" i="1"/>
  <c r="I198" i="1"/>
  <c r="H256" i="1"/>
  <c r="H209" i="1"/>
  <c r="H245" i="1"/>
  <c r="H208" i="1"/>
  <c r="H205" i="1"/>
  <c r="H204" i="1"/>
  <c r="H203" i="1"/>
  <c r="H239" i="1"/>
  <c r="H235" i="1"/>
  <c r="H199" i="1"/>
  <c r="G206" i="1"/>
  <c r="G205" i="1"/>
  <c r="G204" i="1"/>
  <c r="G203" i="1"/>
  <c r="F205" i="1"/>
  <c r="F204" i="1"/>
  <c r="F203" i="1"/>
  <c r="F199" i="1"/>
  <c r="F198" i="1"/>
  <c r="F469" i="1" l="1"/>
  <c r="F28" i="1"/>
  <c r="F22" i="1"/>
  <c r="F24" i="1"/>
  <c r="F9" i="1"/>
  <c r="C38" i="12"/>
  <c r="B38" i="12"/>
  <c r="H473" i="1"/>
  <c r="H283" i="1"/>
  <c r="H282" i="1"/>
  <c r="F283" i="1"/>
  <c r="F280" i="1"/>
  <c r="F278" i="1"/>
  <c r="F277" i="1"/>
  <c r="H162" i="1"/>
  <c r="H159" i="1"/>
  <c r="H155" i="1"/>
  <c r="H154" i="1"/>
  <c r="H150" i="1"/>
  <c r="H22" i="1"/>
  <c r="H359" i="1"/>
  <c r="G22" i="1"/>
  <c r="G13" i="1"/>
  <c r="C2" i="1" l="1"/>
  <c r="B2" i="1"/>
  <c r="G655" i="1"/>
  <c r="E7" i="17"/>
  <c r="AG5" i="15" l="1"/>
  <c r="AG6" i="15"/>
  <c r="AG7" i="15"/>
  <c r="AG8" i="15"/>
  <c r="AG9" i="15"/>
  <c r="AG10" i="15"/>
  <c r="AG11" i="15"/>
  <c r="AG12" i="15"/>
  <c r="AG13" i="15"/>
  <c r="AG14" i="15"/>
  <c r="AG15" i="15"/>
  <c r="AG16" i="15"/>
  <c r="AG17" i="15"/>
  <c r="AG18" i="15"/>
  <c r="AG19" i="15"/>
  <c r="AG20" i="15"/>
  <c r="AG21" i="15"/>
  <c r="AG22" i="15"/>
  <c r="AG23" i="15"/>
  <c r="AG24" i="15"/>
  <c r="AG25" i="15"/>
  <c r="AG26" i="15"/>
  <c r="AG27" i="15"/>
  <c r="AG28" i="15"/>
  <c r="AG29" i="15"/>
  <c r="AG30" i="15"/>
  <c r="AG31" i="15"/>
  <c r="AG32" i="15"/>
  <c r="AG33" i="15"/>
  <c r="AG34" i="15"/>
  <c r="AG35" i="15"/>
  <c r="AG36" i="15"/>
  <c r="AG37" i="15"/>
  <c r="AG38" i="15"/>
  <c r="AG39" i="15"/>
  <c r="AG40" i="15"/>
  <c r="AG41" i="15"/>
  <c r="AG42" i="15"/>
  <c r="AG43" i="15"/>
  <c r="AG44" i="15"/>
  <c r="AG45" i="15"/>
  <c r="AG46" i="15"/>
  <c r="AG47" i="15"/>
  <c r="AG48" i="15"/>
  <c r="AG49" i="15"/>
  <c r="AG50" i="15"/>
  <c r="AG51" i="15"/>
  <c r="AG52" i="15"/>
  <c r="AG53" i="15"/>
  <c r="AG54" i="15"/>
  <c r="AG55" i="15"/>
  <c r="AG56" i="15"/>
  <c r="AG57" i="15"/>
  <c r="AG58" i="15"/>
  <c r="AG59" i="15"/>
  <c r="AG60" i="15"/>
  <c r="AG61" i="15"/>
  <c r="AG62" i="15"/>
  <c r="AG63" i="15"/>
  <c r="AG64" i="15"/>
  <c r="AG65" i="15"/>
  <c r="AG66" i="15"/>
  <c r="AG67" i="15"/>
  <c r="AG68" i="15"/>
  <c r="AG69" i="15"/>
  <c r="AG70" i="15"/>
  <c r="AG71" i="15"/>
  <c r="AG72" i="15"/>
  <c r="AG73" i="15"/>
  <c r="AG74" i="15"/>
  <c r="AG75" i="15"/>
  <c r="AG76" i="15"/>
  <c r="AG77" i="15"/>
  <c r="AG78" i="15"/>
  <c r="AG79" i="15"/>
  <c r="AG80" i="15"/>
  <c r="AG81" i="15"/>
  <c r="AG82" i="15"/>
  <c r="AG83" i="15"/>
  <c r="AG84" i="15"/>
  <c r="AG85" i="15"/>
  <c r="AG86" i="15"/>
  <c r="AG87" i="15"/>
  <c r="AG88" i="15"/>
  <c r="AG89" i="15"/>
  <c r="AG90" i="15"/>
  <c r="AG91" i="15"/>
  <c r="AG92" i="15"/>
  <c r="AG93" i="15"/>
  <c r="AG94" i="15"/>
  <c r="AG95" i="15"/>
  <c r="AG96" i="15"/>
  <c r="AG97" i="15"/>
  <c r="AG98" i="15"/>
  <c r="AG99" i="15"/>
  <c r="AG4" i="15"/>
  <c r="V5" i="15"/>
  <c r="V6" i="15"/>
  <c r="V7" i="15"/>
  <c r="V8" i="15"/>
  <c r="V9" i="15"/>
  <c r="V10" i="15"/>
  <c r="V11" i="15"/>
  <c r="V12" i="15"/>
  <c r="V13" i="15"/>
  <c r="V14" i="15"/>
  <c r="V15" i="15"/>
  <c r="V16" i="15"/>
  <c r="V17" i="15"/>
  <c r="V18" i="15"/>
  <c r="V19" i="15"/>
  <c r="V20" i="15"/>
  <c r="V21" i="15"/>
  <c r="V22" i="15"/>
  <c r="V23" i="15"/>
  <c r="V24" i="15"/>
  <c r="V25" i="15"/>
  <c r="V26" i="15"/>
  <c r="V27" i="15"/>
  <c r="V28" i="15"/>
  <c r="V29" i="15"/>
  <c r="V30" i="15"/>
  <c r="V31" i="15"/>
  <c r="V32" i="15"/>
  <c r="V33" i="15"/>
  <c r="V34" i="15"/>
  <c r="V35" i="15"/>
  <c r="V36" i="15"/>
  <c r="V37" i="15"/>
  <c r="V38" i="15"/>
  <c r="V39" i="15"/>
  <c r="V40" i="15"/>
  <c r="V41" i="15"/>
  <c r="V42" i="15"/>
  <c r="V43" i="15"/>
  <c r="V44" i="15"/>
  <c r="V45" i="15"/>
  <c r="V46" i="15"/>
  <c r="V47" i="15"/>
  <c r="V48" i="15"/>
  <c r="V49" i="15"/>
  <c r="V50" i="15"/>
  <c r="V51" i="15"/>
  <c r="V52" i="15"/>
  <c r="V53" i="15"/>
  <c r="V54" i="15"/>
  <c r="V55" i="15"/>
  <c r="V56" i="15"/>
  <c r="V57" i="15"/>
  <c r="V58" i="15"/>
  <c r="V59" i="15"/>
  <c r="V60" i="15"/>
  <c r="V61" i="15"/>
  <c r="V62" i="15"/>
  <c r="V63" i="15"/>
  <c r="V64" i="15"/>
  <c r="V65" i="15"/>
  <c r="V66" i="15"/>
  <c r="V67" i="15"/>
  <c r="V68" i="15"/>
  <c r="V69" i="15"/>
  <c r="V70" i="15"/>
  <c r="V71" i="15"/>
  <c r="V72" i="15"/>
  <c r="V73" i="15"/>
  <c r="V74" i="15"/>
  <c r="V75" i="15"/>
  <c r="V4" i="15"/>
  <c r="K5" i="15"/>
  <c r="K6" i="15"/>
  <c r="K7" i="15"/>
  <c r="K8" i="15"/>
  <c r="K9" i="15"/>
  <c r="K10" i="15"/>
  <c r="K11" i="15"/>
  <c r="K12" i="15"/>
  <c r="K13" i="15"/>
  <c r="K14" i="15"/>
  <c r="K15" i="15"/>
  <c r="K16" i="15"/>
  <c r="K17" i="15"/>
  <c r="K18" i="15"/>
  <c r="K19" i="15"/>
  <c r="K20" i="15"/>
  <c r="K21" i="15"/>
  <c r="K22" i="15"/>
  <c r="K23" i="15"/>
  <c r="K24" i="15"/>
  <c r="K25" i="15"/>
  <c r="K26" i="15"/>
  <c r="K27" i="15"/>
  <c r="K28" i="15"/>
  <c r="K29" i="15"/>
  <c r="K30" i="15"/>
  <c r="K31" i="15"/>
  <c r="K32" i="15"/>
  <c r="K33" i="15"/>
  <c r="K34" i="15"/>
  <c r="K35" i="15"/>
  <c r="K36" i="15"/>
  <c r="K37" i="15"/>
  <c r="K38" i="15"/>
  <c r="K39" i="15"/>
  <c r="K40" i="15"/>
  <c r="K41" i="15"/>
  <c r="K42" i="15"/>
  <c r="K43" i="15"/>
  <c r="K44" i="15"/>
  <c r="K45" i="15"/>
  <c r="K46" i="15"/>
  <c r="K47" i="15"/>
  <c r="K48" i="15"/>
  <c r="K49" i="15"/>
  <c r="K50" i="15"/>
  <c r="K51" i="15"/>
  <c r="K52" i="15"/>
  <c r="K53" i="15"/>
  <c r="K54" i="15"/>
  <c r="K55" i="15"/>
  <c r="K56" i="15"/>
  <c r="K57" i="15"/>
  <c r="K58" i="15"/>
  <c r="K59" i="15"/>
  <c r="K60" i="15"/>
  <c r="K61" i="15"/>
  <c r="K62" i="15"/>
  <c r="K63" i="15"/>
  <c r="K64" i="15"/>
  <c r="K65" i="15"/>
  <c r="K66" i="15"/>
  <c r="K67" i="15"/>
  <c r="K68" i="15"/>
  <c r="K69" i="15"/>
  <c r="K70" i="15"/>
  <c r="K71" i="15"/>
  <c r="K72" i="15"/>
  <c r="K73" i="15"/>
  <c r="K74" i="15"/>
  <c r="K75" i="15"/>
  <c r="K76" i="15"/>
  <c r="K77" i="15"/>
  <c r="K78" i="15"/>
  <c r="K79" i="15"/>
  <c r="K80" i="15"/>
  <c r="K81" i="15"/>
  <c r="K82" i="15"/>
  <c r="K83" i="15"/>
  <c r="K84" i="15"/>
  <c r="K85" i="15"/>
  <c r="K86" i="15"/>
  <c r="K87" i="15"/>
  <c r="K88" i="15"/>
  <c r="K89" i="15"/>
  <c r="K90" i="15"/>
  <c r="K91" i="15"/>
  <c r="K92" i="15"/>
  <c r="K93" i="15"/>
  <c r="K94" i="15"/>
  <c r="K95" i="15"/>
  <c r="K96" i="15"/>
  <c r="K97" i="15"/>
  <c r="K98" i="15"/>
  <c r="K99" i="15"/>
  <c r="K100" i="15"/>
  <c r="K101" i="15"/>
  <c r="K102" i="15"/>
  <c r="K103" i="15"/>
  <c r="K104" i="15"/>
  <c r="K105" i="15"/>
  <c r="K106" i="15"/>
  <c r="K107" i="15"/>
  <c r="K108" i="15"/>
  <c r="K109" i="15"/>
  <c r="K110" i="15"/>
  <c r="K111" i="15"/>
  <c r="K112" i="15"/>
  <c r="K113" i="15"/>
  <c r="K114" i="15"/>
  <c r="K115" i="15"/>
  <c r="K116" i="15"/>
  <c r="K117" i="15"/>
  <c r="K118" i="15"/>
  <c r="K119" i="15"/>
  <c r="K120" i="15"/>
  <c r="K121" i="15"/>
  <c r="K122" i="15"/>
  <c r="K123" i="15"/>
  <c r="K124" i="15"/>
  <c r="K125" i="15"/>
  <c r="K126" i="15"/>
  <c r="K127" i="15"/>
  <c r="K128" i="15"/>
  <c r="K129" i="15"/>
  <c r="K130" i="15"/>
  <c r="K131" i="15"/>
  <c r="K132" i="15"/>
  <c r="K133" i="15"/>
  <c r="K134" i="15"/>
  <c r="K135" i="15"/>
  <c r="K136" i="15"/>
  <c r="K137" i="15"/>
  <c r="K138" i="15"/>
  <c r="K139" i="15"/>
  <c r="K140" i="15"/>
  <c r="K141" i="15"/>
  <c r="K142" i="15"/>
  <c r="K143" i="15"/>
  <c r="K144" i="15"/>
  <c r="K145" i="15"/>
  <c r="K146" i="15"/>
  <c r="K147" i="15"/>
  <c r="K148" i="15"/>
  <c r="K149" i="15"/>
  <c r="K150" i="15"/>
  <c r="K151" i="15"/>
  <c r="K152" i="15"/>
  <c r="K153" i="15"/>
  <c r="K154" i="15"/>
  <c r="K155" i="15"/>
  <c r="K156" i="15"/>
  <c r="K157" i="15"/>
  <c r="K158" i="15"/>
  <c r="K159" i="15"/>
  <c r="K160" i="15"/>
  <c r="K161" i="15"/>
  <c r="K162" i="15"/>
  <c r="K163" i="15"/>
  <c r="K164" i="15"/>
  <c r="K165" i="15"/>
  <c r="K166" i="15"/>
  <c r="K167" i="15"/>
  <c r="K168" i="15"/>
  <c r="K169" i="15"/>
  <c r="K170" i="15"/>
  <c r="K171" i="15"/>
  <c r="K172" i="15"/>
  <c r="K173" i="15"/>
  <c r="K174" i="15"/>
  <c r="K175" i="15"/>
  <c r="K176" i="15"/>
  <c r="K177" i="15"/>
  <c r="K178" i="15"/>
  <c r="K179" i="15"/>
  <c r="K180" i="15"/>
  <c r="K181" i="15"/>
  <c r="K182" i="15"/>
  <c r="K183" i="15"/>
  <c r="K184" i="15"/>
  <c r="K185" i="15"/>
  <c r="K186" i="15"/>
  <c r="K187" i="15"/>
  <c r="K188" i="15"/>
  <c r="K189" i="15"/>
  <c r="K190" i="15"/>
  <c r="K191" i="15"/>
  <c r="K192" i="15"/>
  <c r="K193" i="15"/>
  <c r="K194" i="15"/>
  <c r="K195" i="15"/>
  <c r="K196" i="15"/>
  <c r="K197" i="15"/>
  <c r="K198" i="15"/>
  <c r="K199" i="15"/>
  <c r="K200" i="15"/>
  <c r="K201" i="15"/>
  <c r="K202" i="15"/>
  <c r="K203" i="15"/>
  <c r="K204" i="15"/>
  <c r="K205" i="15"/>
  <c r="K206" i="15"/>
  <c r="K207" i="15"/>
  <c r="K208" i="15"/>
  <c r="K209" i="15"/>
  <c r="K210" i="15"/>
  <c r="K211" i="15"/>
  <c r="K212" i="15"/>
  <c r="K213" i="15"/>
  <c r="K214" i="15"/>
  <c r="K215" i="15"/>
  <c r="K216" i="15"/>
  <c r="K217" i="15"/>
  <c r="K218" i="15"/>
  <c r="K219" i="15"/>
  <c r="K220" i="15"/>
  <c r="K221" i="15"/>
  <c r="K222" i="15"/>
  <c r="K223" i="15"/>
  <c r="K224" i="15"/>
  <c r="K225" i="15"/>
  <c r="K226" i="15"/>
  <c r="K227" i="15"/>
  <c r="K228" i="15"/>
  <c r="K229" i="15"/>
  <c r="K230" i="15"/>
  <c r="K231" i="15"/>
  <c r="K232" i="15"/>
  <c r="K233" i="15"/>
  <c r="K234" i="15"/>
  <c r="K235" i="15"/>
  <c r="K236" i="15"/>
  <c r="K237" i="15"/>
  <c r="K238" i="15"/>
  <c r="K239" i="15"/>
  <c r="K240" i="15"/>
  <c r="K241" i="15"/>
  <c r="K242" i="15"/>
  <c r="K243" i="15"/>
  <c r="K244" i="15"/>
  <c r="K245" i="15"/>
  <c r="K246" i="15"/>
  <c r="K247" i="15"/>
  <c r="K248" i="15"/>
  <c r="K249" i="15"/>
  <c r="K250" i="15"/>
  <c r="K251" i="15"/>
  <c r="K252" i="15"/>
  <c r="K253" i="15"/>
  <c r="K254" i="15"/>
  <c r="K255" i="15"/>
  <c r="K256" i="15"/>
  <c r="K257" i="15"/>
  <c r="K258" i="15"/>
  <c r="K259" i="15"/>
  <c r="K260" i="15"/>
  <c r="K261" i="15"/>
  <c r="K262" i="15"/>
  <c r="K263" i="15"/>
  <c r="K264" i="15"/>
  <c r="K265" i="15"/>
  <c r="K266" i="15"/>
  <c r="K267" i="15"/>
  <c r="K268" i="15"/>
  <c r="K269" i="15"/>
  <c r="K270" i="15"/>
  <c r="K271" i="15"/>
  <c r="K272" i="15"/>
  <c r="K273" i="15"/>
  <c r="K274" i="15"/>
  <c r="K275" i="15"/>
  <c r="K276" i="15"/>
  <c r="K277" i="15"/>
  <c r="K278" i="15"/>
  <c r="K279" i="15"/>
  <c r="K280" i="15"/>
  <c r="K281" i="15"/>
  <c r="K282" i="15"/>
  <c r="K283" i="15"/>
  <c r="K284" i="15"/>
  <c r="K285" i="15"/>
  <c r="K286" i="15"/>
  <c r="K287" i="15"/>
  <c r="K288" i="15"/>
  <c r="K289" i="15"/>
  <c r="K290" i="15"/>
  <c r="K291" i="15"/>
  <c r="K292" i="15"/>
  <c r="K293" i="15"/>
  <c r="K294" i="15"/>
  <c r="K295" i="15"/>
  <c r="K296" i="15"/>
  <c r="K297" i="15"/>
  <c r="K298" i="15"/>
  <c r="K299" i="15"/>
  <c r="K300" i="15"/>
  <c r="K301" i="15"/>
  <c r="K302" i="15"/>
  <c r="K303" i="15"/>
  <c r="K304" i="15"/>
  <c r="K305" i="15"/>
  <c r="K306" i="15"/>
  <c r="K307" i="15"/>
  <c r="K308" i="15"/>
  <c r="K309" i="15"/>
  <c r="K310" i="15"/>
  <c r="K311" i="15"/>
  <c r="K312" i="15"/>
  <c r="K313" i="15"/>
  <c r="K314" i="15"/>
  <c r="K315" i="15"/>
  <c r="K316" i="15"/>
  <c r="K317" i="15"/>
  <c r="K318" i="15"/>
  <c r="K319" i="15"/>
  <c r="K320" i="15"/>
  <c r="K321" i="15"/>
  <c r="K322" i="15"/>
  <c r="K323" i="15"/>
  <c r="K324" i="15"/>
  <c r="K325" i="15"/>
  <c r="K4" i="15"/>
  <c r="AD5" i="15"/>
  <c r="AD6" i="15"/>
  <c r="AD7" i="15"/>
  <c r="AD8" i="15"/>
  <c r="AD9" i="15"/>
  <c r="AD10" i="15"/>
  <c r="AD11" i="15"/>
  <c r="AD12" i="15"/>
  <c r="AD13" i="15"/>
  <c r="AD14" i="15"/>
  <c r="AD15" i="15"/>
  <c r="AD16" i="15"/>
  <c r="AD17" i="15"/>
  <c r="AD18" i="15"/>
  <c r="AD19" i="15"/>
  <c r="AD20" i="15"/>
  <c r="AD21" i="15"/>
  <c r="AD22" i="15"/>
  <c r="AD23" i="15"/>
  <c r="AD24" i="15"/>
  <c r="AD25" i="15"/>
  <c r="AD26" i="15"/>
  <c r="AD27" i="15"/>
  <c r="AD28" i="15"/>
  <c r="AD29" i="15"/>
  <c r="AD30" i="15"/>
  <c r="AD31" i="15"/>
  <c r="AD32" i="15"/>
  <c r="AD33" i="15"/>
  <c r="AD34" i="15"/>
  <c r="AD35" i="15"/>
  <c r="AD36" i="15"/>
  <c r="AD37" i="15"/>
  <c r="AD38" i="15"/>
  <c r="AD39" i="15"/>
  <c r="AD40" i="15"/>
  <c r="AD41" i="15"/>
  <c r="AD42" i="15"/>
  <c r="AD43" i="15"/>
  <c r="AD44" i="15"/>
  <c r="AD45" i="15"/>
  <c r="AD46" i="15"/>
  <c r="AD47" i="15"/>
  <c r="AD48" i="15"/>
  <c r="AD49" i="15"/>
  <c r="AD50" i="15"/>
  <c r="AD51" i="15"/>
  <c r="AD52" i="15"/>
  <c r="AD53" i="15"/>
  <c r="AD54" i="15"/>
  <c r="AD55" i="15"/>
  <c r="AD56" i="15"/>
  <c r="AD57" i="15"/>
  <c r="AD58" i="15"/>
  <c r="AD59" i="15"/>
  <c r="AD60" i="15"/>
  <c r="AD61" i="15"/>
  <c r="AD62" i="15"/>
  <c r="AD63" i="15"/>
  <c r="AD64" i="15"/>
  <c r="AD65" i="15"/>
  <c r="AD66" i="15"/>
  <c r="AD67" i="15"/>
  <c r="AD68" i="15"/>
  <c r="AD69" i="15"/>
  <c r="AD70" i="15"/>
  <c r="AD71" i="15"/>
  <c r="AD72" i="15"/>
  <c r="AD73" i="15"/>
  <c r="AD74" i="15"/>
  <c r="AD75" i="15"/>
  <c r="AD76" i="15"/>
  <c r="AD77" i="15"/>
  <c r="AD78" i="15"/>
  <c r="AD79" i="15"/>
  <c r="AD80" i="15"/>
  <c r="AD81" i="15"/>
  <c r="AD82" i="15"/>
  <c r="AD83" i="15"/>
  <c r="AD84" i="15"/>
  <c r="AD85" i="15"/>
  <c r="AD86" i="15"/>
  <c r="AD87" i="15"/>
  <c r="AD88" i="15"/>
  <c r="AD89" i="15"/>
  <c r="AD90" i="15"/>
  <c r="AD91" i="15"/>
  <c r="AD92" i="15"/>
  <c r="AD93" i="15"/>
  <c r="AD94" i="15"/>
  <c r="AD95" i="15"/>
  <c r="AD96" i="15"/>
  <c r="AD97" i="15"/>
  <c r="AD98" i="15"/>
  <c r="AD99" i="15"/>
  <c r="AD100" i="15"/>
  <c r="AD4" i="15"/>
  <c r="S5" i="15"/>
  <c r="S6" i="15"/>
  <c r="S7" i="15"/>
  <c r="S8" i="15"/>
  <c r="S9" i="15"/>
  <c r="S10" i="15"/>
  <c r="S11" i="15"/>
  <c r="S12" i="15"/>
  <c r="S13" i="15"/>
  <c r="S14" i="15"/>
  <c r="S15" i="15"/>
  <c r="S16" i="15"/>
  <c r="S17" i="15"/>
  <c r="S18" i="15"/>
  <c r="S19" i="15"/>
  <c r="S20" i="15"/>
  <c r="S21" i="15"/>
  <c r="S22" i="15"/>
  <c r="S23" i="15"/>
  <c r="S24" i="15"/>
  <c r="S25" i="15"/>
  <c r="S26" i="15"/>
  <c r="S27" i="15"/>
  <c r="S28" i="15"/>
  <c r="S29" i="15"/>
  <c r="S30" i="15"/>
  <c r="S31" i="15"/>
  <c r="S32" i="15"/>
  <c r="S33" i="15"/>
  <c r="S34" i="15"/>
  <c r="S35" i="15"/>
  <c r="S36" i="15"/>
  <c r="S37" i="15"/>
  <c r="S38" i="15"/>
  <c r="S39" i="15"/>
  <c r="S40" i="15"/>
  <c r="S41" i="15"/>
  <c r="S42" i="15"/>
  <c r="S43" i="15"/>
  <c r="S44" i="15"/>
  <c r="S45" i="15"/>
  <c r="S46" i="15"/>
  <c r="S47" i="15"/>
  <c r="S48" i="15"/>
  <c r="S49" i="15"/>
  <c r="S50" i="15"/>
  <c r="S51" i="15"/>
  <c r="S52" i="15"/>
  <c r="S53" i="15"/>
  <c r="S54" i="15"/>
  <c r="S55" i="15"/>
  <c r="S56" i="15"/>
  <c r="S57" i="15"/>
  <c r="S58" i="15"/>
  <c r="S59" i="15"/>
  <c r="S60" i="15"/>
  <c r="S61" i="15"/>
  <c r="S62" i="15"/>
  <c r="S63" i="15"/>
  <c r="S64" i="15"/>
  <c r="S65" i="15"/>
  <c r="S66" i="15"/>
  <c r="S67" i="15"/>
  <c r="S68" i="15"/>
  <c r="S69" i="15"/>
  <c r="S70" i="15"/>
  <c r="S71" i="15"/>
  <c r="S72" i="15"/>
  <c r="S73" i="15"/>
  <c r="S74" i="15"/>
  <c r="S75" i="15"/>
  <c r="S4" i="15"/>
  <c r="H5" i="15"/>
  <c r="H6" i="15"/>
  <c r="H7" i="15"/>
  <c r="H8" i="15"/>
  <c r="H9" i="15"/>
  <c r="H10" i="15"/>
  <c r="H11" i="15"/>
  <c r="H12" i="15"/>
  <c r="H13" i="15"/>
  <c r="H14" i="15"/>
  <c r="H15" i="15"/>
  <c r="H16" i="15"/>
  <c r="H17" i="15"/>
  <c r="H18" i="15"/>
  <c r="H19" i="15"/>
  <c r="H20" i="15"/>
  <c r="H21" i="15"/>
  <c r="H22" i="15"/>
  <c r="H23" i="15"/>
  <c r="H24" i="15"/>
  <c r="H25" i="15"/>
  <c r="H26" i="15"/>
  <c r="H27" i="15"/>
  <c r="H28" i="15"/>
  <c r="H29" i="15"/>
  <c r="H30" i="15"/>
  <c r="H31" i="15"/>
  <c r="H32" i="15"/>
  <c r="H33" i="15"/>
  <c r="H34" i="15"/>
  <c r="H35" i="15"/>
  <c r="H36" i="15"/>
  <c r="H37" i="15"/>
  <c r="H38" i="15"/>
  <c r="H39" i="15"/>
  <c r="H40" i="15"/>
  <c r="H41" i="15"/>
  <c r="H42" i="15"/>
  <c r="H43" i="15"/>
  <c r="H44" i="15"/>
  <c r="H45" i="15"/>
  <c r="H46" i="15"/>
  <c r="H47" i="15"/>
  <c r="H48" i="15"/>
  <c r="H49" i="15"/>
  <c r="H50" i="15"/>
  <c r="H51" i="15"/>
  <c r="H52" i="15"/>
  <c r="H53" i="15"/>
  <c r="H54" i="15"/>
  <c r="H55" i="15"/>
  <c r="H56" i="15"/>
  <c r="H57" i="15"/>
  <c r="H58" i="15"/>
  <c r="H59" i="15"/>
  <c r="H60" i="15"/>
  <c r="H61" i="15"/>
  <c r="H62" i="15"/>
  <c r="H63" i="15"/>
  <c r="H64" i="15"/>
  <c r="H65" i="15"/>
  <c r="H66" i="15"/>
  <c r="H67" i="15"/>
  <c r="H68" i="15"/>
  <c r="H69" i="15"/>
  <c r="H70" i="15"/>
  <c r="H71" i="15"/>
  <c r="H72" i="15"/>
  <c r="H73" i="15"/>
  <c r="H74" i="15"/>
  <c r="H75" i="15"/>
  <c r="H76" i="15"/>
  <c r="H77" i="15"/>
  <c r="H78" i="15"/>
  <c r="H79" i="15"/>
  <c r="H80" i="15"/>
  <c r="H81" i="15"/>
  <c r="H82" i="15"/>
  <c r="H83" i="15"/>
  <c r="H84" i="15"/>
  <c r="H85" i="15"/>
  <c r="H86" i="15"/>
  <c r="H87" i="15"/>
  <c r="H88" i="15"/>
  <c r="H89" i="15"/>
  <c r="H90" i="15"/>
  <c r="H91" i="15"/>
  <c r="H92" i="15"/>
  <c r="H93" i="15"/>
  <c r="H94" i="15"/>
  <c r="H95" i="15"/>
  <c r="H96" i="15"/>
  <c r="H97" i="15"/>
  <c r="H98" i="15"/>
  <c r="H99" i="15"/>
  <c r="H100" i="15"/>
  <c r="H101" i="15"/>
  <c r="H102" i="15"/>
  <c r="H103" i="15"/>
  <c r="H104" i="15"/>
  <c r="H105" i="15"/>
  <c r="H106" i="15"/>
  <c r="H107" i="15"/>
  <c r="H108" i="15"/>
  <c r="H109" i="15"/>
  <c r="H110" i="15"/>
  <c r="H111" i="15"/>
  <c r="H112" i="15"/>
  <c r="H113" i="15"/>
  <c r="H114" i="15"/>
  <c r="H115" i="15"/>
  <c r="H116" i="15"/>
  <c r="H117" i="15"/>
  <c r="H118" i="15"/>
  <c r="H119" i="15"/>
  <c r="H120" i="15"/>
  <c r="H121" i="15"/>
  <c r="H122" i="15"/>
  <c r="H123" i="15"/>
  <c r="H124" i="15"/>
  <c r="H125" i="15"/>
  <c r="H126" i="15"/>
  <c r="H127" i="15"/>
  <c r="H128" i="15"/>
  <c r="H129" i="15"/>
  <c r="H130" i="15"/>
  <c r="H131" i="15"/>
  <c r="H132" i="15"/>
  <c r="H133" i="15"/>
  <c r="H134" i="15"/>
  <c r="H135" i="15"/>
  <c r="H136" i="15"/>
  <c r="H137" i="15"/>
  <c r="H138" i="15"/>
  <c r="H139" i="15"/>
  <c r="H140" i="15"/>
  <c r="H141" i="15"/>
  <c r="H142" i="15"/>
  <c r="H143" i="15"/>
  <c r="H144" i="15"/>
  <c r="H145" i="15"/>
  <c r="H146" i="15"/>
  <c r="H147" i="15"/>
  <c r="H148" i="15"/>
  <c r="H149" i="15"/>
  <c r="H150" i="15"/>
  <c r="H151" i="15"/>
  <c r="H152" i="15"/>
  <c r="H153" i="15"/>
  <c r="H154" i="15"/>
  <c r="H155" i="15"/>
  <c r="H156" i="15"/>
  <c r="H157" i="15"/>
  <c r="H158" i="15"/>
  <c r="H159" i="15"/>
  <c r="H160" i="15"/>
  <c r="H161" i="15"/>
  <c r="H162" i="15"/>
  <c r="H163" i="15"/>
  <c r="H164" i="15"/>
  <c r="H165" i="15"/>
  <c r="H166" i="15"/>
  <c r="H167" i="15"/>
  <c r="H168" i="15"/>
  <c r="H169" i="15"/>
  <c r="H170" i="15"/>
  <c r="H171" i="15"/>
  <c r="H172" i="15"/>
  <c r="H173" i="15"/>
  <c r="H174" i="15"/>
  <c r="H175" i="15"/>
  <c r="H176" i="15"/>
  <c r="H177" i="15"/>
  <c r="H178" i="15"/>
  <c r="H179" i="15"/>
  <c r="H180" i="15"/>
  <c r="H181" i="15"/>
  <c r="H182" i="15"/>
  <c r="H183" i="15"/>
  <c r="H184" i="15"/>
  <c r="H185" i="15"/>
  <c r="H186" i="15"/>
  <c r="H187" i="15"/>
  <c r="H188" i="15"/>
  <c r="H189" i="15"/>
  <c r="H190" i="15"/>
  <c r="H191" i="15"/>
  <c r="H192" i="15"/>
  <c r="H193" i="15"/>
  <c r="H194" i="15"/>
  <c r="H195" i="15"/>
  <c r="H196" i="15"/>
  <c r="H197" i="15"/>
  <c r="H198" i="15"/>
  <c r="H199" i="15"/>
  <c r="H200" i="15"/>
  <c r="H201" i="15"/>
  <c r="H202" i="15"/>
  <c r="H203" i="15"/>
  <c r="H204" i="15"/>
  <c r="H205" i="15"/>
  <c r="H206" i="15"/>
  <c r="H207" i="15"/>
  <c r="H208" i="15"/>
  <c r="H209" i="15"/>
  <c r="H210" i="15"/>
  <c r="H211" i="15"/>
  <c r="H212" i="15"/>
  <c r="H213" i="15"/>
  <c r="H214" i="15"/>
  <c r="H215" i="15"/>
  <c r="H216" i="15"/>
  <c r="H217" i="15"/>
  <c r="H218" i="15"/>
  <c r="H219" i="15"/>
  <c r="H220" i="15"/>
  <c r="H221" i="15"/>
  <c r="H222" i="15"/>
  <c r="H223" i="15"/>
  <c r="H224" i="15"/>
  <c r="H225" i="15"/>
  <c r="H226" i="15"/>
  <c r="H227" i="15"/>
  <c r="H228" i="15"/>
  <c r="H229" i="15"/>
  <c r="H230" i="15"/>
  <c r="H231" i="15"/>
  <c r="H232" i="15"/>
  <c r="H233" i="15"/>
  <c r="H234" i="15"/>
  <c r="H235" i="15"/>
  <c r="H236" i="15"/>
  <c r="H237" i="15"/>
  <c r="H238" i="15"/>
  <c r="H239" i="15"/>
  <c r="H240" i="15"/>
  <c r="H241" i="15"/>
  <c r="H242" i="15"/>
  <c r="H243" i="15"/>
  <c r="H244" i="15"/>
  <c r="H245" i="15"/>
  <c r="H246" i="15"/>
  <c r="H247" i="15"/>
  <c r="H248" i="15"/>
  <c r="H249" i="15"/>
  <c r="H250" i="15"/>
  <c r="H251" i="15"/>
  <c r="H252" i="15"/>
  <c r="H253" i="15"/>
  <c r="H254" i="15"/>
  <c r="H255" i="15"/>
  <c r="H256" i="15"/>
  <c r="H257" i="15"/>
  <c r="H258" i="15"/>
  <c r="H259" i="15"/>
  <c r="H260" i="15"/>
  <c r="H261" i="15"/>
  <c r="H262" i="15"/>
  <c r="H263" i="15"/>
  <c r="H264" i="15"/>
  <c r="H265" i="15"/>
  <c r="H266" i="15"/>
  <c r="H267" i="15"/>
  <c r="H268" i="15"/>
  <c r="H269" i="15"/>
  <c r="H270" i="15"/>
  <c r="H271" i="15"/>
  <c r="H272" i="15"/>
  <c r="H273" i="15"/>
  <c r="H274" i="15"/>
  <c r="H275" i="15"/>
  <c r="H276" i="15"/>
  <c r="H277" i="15"/>
  <c r="H278" i="15"/>
  <c r="H279" i="15"/>
  <c r="H280" i="15"/>
  <c r="H281" i="15"/>
  <c r="H282" i="15"/>
  <c r="H283" i="15"/>
  <c r="H284" i="15"/>
  <c r="H285" i="15"/>
  <c r="H286" i="15"/>
  <c r="H287" i="15"/>
  <c r="H288" i="15"/>
  <c r="H289" i="15"/>
  <c r="H290" i="15"/>
  <c r="H291" i="15"/>
  <c r="H292" i="15"/>
  <c r="H293" i="15"/>
  <c r="H294" i="15"/>
  <c r="H295" i="15"/>
  <c r="H296" i="15"/>
  <c r="H297" i="15"/>
  <c r="H298" i="15"/>
  <c r="H299" i="15"/>
  <c r="H300" i="15"/>
  <c r="H301" i="15"/>
  <c r="H302" i="15"/>
  <c r="H303" i="15"/>
  <c r="H304" i="15"/>
  <c r="H305" i="15"/>
  <c r="H306" i="15"/>
  <c r="H307" i="15"/>
  <c r="H308" i="15"/>
  <c r="H309" i="15"/>
  <c r="H310" i="15"/>
  <c r="H311" i="15"/>
  <c r="H312" i="15"/>
  <c r="H313" i="15"/>
  <c r="H314" i="15"/>
  <c r="H315" i="15"/>
  <c r="H316" i="15"/>
  <c r="H317" i="15"/>
  <c r="H318" i="15"/>
  <c r="H319" i="15"/>
  <c r="H320" i="15"/>
  <c r="H321" i="15"/>
  <c r="H322" i="15"/>
  <c r="H323" i="15"/>
  <c r="H324" i="15"/>
  <c r="H325" i="15"/>
  <c r="H4" i="15"/>
  <c r="H7" i="17" l="1"/>
  <c r="G653" i="1"/>
  <c r="E43" i="14" l="1"/>
  <c r="D43" i="14"/>
  <c r="E33" i="14"/>
  <c r="D33" i="14"/>
  <c r="E21" i="14"/>
  <c r="D21" i="14"/>
  <c r="G36" i="13" l="1"/>
  <c r="G29" i="13"/>
  <c r="B22" i="12" l="1"/>
  <c r="B5" i="14" l="1"/>
  <c r="C5" i="14" s="1"/>
  <c r="F88" i="2" l="1"/>
  <c r="E88" i="2"/>
  <c r="D88" i="2"/>
  <c r="C88" i="2"/>
  <c r="I163" i="1"/>
  <c r="H163" i="1"/>
  <c r="G163" i="1"/>
  <c r="F163" i="1"/>
  <c r="H88" i="2" l="1"/>
  <c r="B31" i="16"/>
  <c r="B27" i="16"/>
  <c r="B9" i="16"/>
  <c r="B5" i="16"/>
  <c r="F42" i="14" l="1"/>
  <c r="F38" i="14" l="1"/>
  <c r="F39" i="14"/>
  <c r="F40" i="14"/>
  <c r="F41" i="14"/>
  <c r="F37" i="14"/>
  <c r="F26" i="14"/>
  <c r="F27" i="14"/>
  <c r="F28" i="14"/>
  <c r="F29" i="14"/>
  <c r="F30" i="14"/>
  <c r="F31" i="14"/>
  <c r="F32" i="14"/>
  <c r="F6" i="14"/>
  <c r="F7" i="14"/>
  <c r="F8" i="14"/>
  <c r="F9" i="14"/>
  <c r="F10" i="14"/>
  <c r="F11" i="14"/>
  <c r="F12" i="14"/>
  <c r="F13" i="14"/>
  <c r="F14" i="14"/>
  <c r="F15" i="14"/>
  <c r="F16" i="14"/>
  <c r="F17" i="14"/>
  <c r="F18" i="14"/>
  <c r="F19" i="14"/>
  <c r="F20" i="14"/>
  <c r="F25" i="14"/>
  <c r="F5" i="14"/>
  <c r="F36" i="14" l="1"/>
  <c r="F24" i="14"/>
  <c r="F4" i="14"/>
  <c r="B2" i="14" l="1"/>
  <c r="A2" i="14"/>
  <c r="AE8" i="15" l="1"/>
  <c r="AE12" i="15"/>
  <c r="AE16" i="15"/>
  <c r="AE20" i="15"/>
  <c r="AE24" i="15"/>
  <c r="AE28" i="15"/>
  <c r="AE32" i="15"/>
  <c r="AE36" i="15"/>
  <c r="AE40" i="15"/>
  <c r="AE44" i="15"/>
  <c r="AE48" i="15"/>
  <c r="AE52" i="15"/>
  <c r="AE56" i="15"/>
  <c r="AE60" i="15"/>
  <c r="AE64" i="15"/>
  <c r="AE68" i="15"/>
  <c r="AE72" i="15"/>
  <c r="AE76" i="15"/>
  <c r="AE80" i="15"/>
  <c r="AE84" i="15"/>
  <c r="AE88" i="15"/>
  <c r="AE92" i="15"/>
  <c r="AE96" i="15"/>
  <c r="AE100" i="15"/>
  <c r="AF100" i="15" s="1"/>
  <c r="AE5" i="15"/>
  <c r="AE9" i="15"/>
  <c r="AE13" i="15"/>
  <c r="AE17" i="15"/>
  <c r="AE25" i="15"/>
  <c r="AE29" i="15"/>
  <c r="AE33" i="15"/>
  <c r="AE37" i="15"/>
  <c r="AE41" i="15"/>
  <c r="AE49" i="15"/>
  <c r="AE53" i="15"/>
  <c r="AE61" i="15"/>
  <c r="AE69" i="15"/>
  <c r="AE73" i="15"/>
  <c r="AE81" i="15"/>
  <c r="AE85" i="15"/>
  <c r="AE93" i="15"/>
  <c r="AE4" i="15"/>
  <c r="AE21" i="15"/>
  <c r="AE45" i="15"/>
  <c r="AE57" i="15"/>
  <c r="AE65" i="15"/>
  <c r="AE77" i="15"/>
  <c r="AE89" i="15"/>
  <c r="AE97" i="15"/>
  <c r="AE6" i="15"/>
  <c r="AE10" i="15"/>
  <c r="AE14" i="15"/>
  <c r="AE18" i="15"/>
  <c r="AE22" i="15"/>
  <c r="AE26" i="15"/>
  <c r="AE30" i="15"/>
  <c r="AE34" i="15"/>
  <c r="AE38" i="15"/>
  <c r="AE42" i="15"/>
  <c r="AE46" i="15"/>
  <c r="AE50" i="15"/>
  <c r="AE54" i="15"/>
  <c r="AE58" i="15"/>
  <c r="AE62" i="15"/>
  <c r="AE66" i="15"/>
  <c r="AE70" i="15"/>
  <c r="AE74" i="15"/>
  <c r="AE78" i="15"/>
  <c r="AE82" i="15"/>
  <c r="AE86" i="15"/>
  <c r="AE90" i="15"/>
  <c r="AE94" i="15"/>
  <c r="AE98" i="15"/>
  <c r="AE15" i="15"/>
  <c r="AE31" i="15"/>
  <c r="AE47" i="15"/>
  <c r="AE63" i="15"/>
  <c r="AE79" i="15"/>
  <c r="AE95" i="15"/>
  <c r="AE19" i="15"/>
  <c r="AE35" i="15"/>
  <c r="AE51" i="15"/>
  <c r="AE67" i="15"/>
  <c r="AE83" i="15"/>
  <c r="AE99" i="15"/>
  <c r="AE7" i="15"/>
  <c r="AE23" i="15"/>
  <c r="AE39" i="15"/>
  <c r="AE55" i="15"/>
  <c r="AE71" i="15"/>
  <c r="AE87" i="15"/>
  <c r="AE11" i="15"/>
  <c r="AE27" i="15"/>
  <c r="AE43" i="15"/>
  <c r="AE59" i="15"/>
  <c r="AE75" i="15"/>
  <c r="AE91" i="15"/>
  <c r="T8" i="15"/>
  <c r="T12" i="15"/>
  <c r="T16" i="15"/>
  <c r="T20" i="15"/>
  <c r="T24" i="15"/>
  <c r="T28" i="15"/>
  <c r="T32" i="15"/>
  <c r="T36" i="15"/>
  <c r="T40" i="15"/>
  <c r="T44" i="15"/>
  <c r="T48" i="15"/>
  <c r="T52" i="15"/>
  <c r="T56" i="15"/>
  <c r="T60" i="15"/>
  <c r="T64" i="15"/>
  <c r="T68" i="15"/>
  <c r="T72" i="15"/>
  <c r="T4" i="15"/>
  <c r="T5" i="15"/>
  <c r="T9" i="15"/>
  <c r="T13" i="15"/>
  <c r="T17" i="15"/>
  <c r="T21" i="15"/>
  <c r="T25" i="15"/>
  <c r="T29" i="15"/>
  <c r="T33" i="15"/>
  <c r="T37" i="15"/>
  <c r="T41" i="15"/>
  <c r="T45" i="15"/>
  <c r="T49" i="15"/>
  <c r="T53" i="15"/>
  <c r="T57" i="15"/>
  <c r="T6" i="15"/>
  <c r="T14" i="15"/>
  <c r="T22" i="15"/>
  <c r="T30" i="15"/>
  <c r="T38" i="15"/>
  <c r="T46" i="15"/>
  <c r="T54" i="15"/>
  <c r="T61" i="15"/>
  <c r="T66" i="15"/>
  <c r="T71" i="15"/>
  <c r="T11" i="15"/>
  <c r="T35" i="15"/>
  <c r="T51" i="15"/>
  <c r="T59" i="15"/>
  <c r="T65" i="15"/>
  <c r="T75" i="15"/>
  <c r="T7" i="15"/>
  <c r="T15" i="15"/>
  <c r="T23" i="15"/>
  <c r="T31" i="15"/>
  <c r="T39" i="15"/>
  <c r="T47" i="15"/>
  <c r="T55" i="15"/>
  <c r="T62" i="15"/>
  <c r="T67" i="15"/>
  <c r="T73" i="15"/>
  <c r="T19" i="15"/>
  <c r="T27" i="15"/>
  <c r="T43" i="15"/>
  <c r="T70" i="15"/>
  <c r="T10" i="15"/>
  <c r="T18" i="15"/>
  <c r="T26" i="15"/>
  <c r="T34" i="15"/>
  <c r="T42" i="15"/>
  <c r="T50" i="15"/>
  <c r="T58" i="15"/>
  <c r="T63" i="15"/>
  <c r="T69" i="15"/>
  <c r="T74" i="15"/>
  <c r="I6" i="15"/>
  <c r="I10" i="15"/>
  <c r="I14" i="15"/>
  <c r="I18" i="15"/>
  <c r="I22" i="15"/>
  <c r="I26" i="15"/>
  <c r="I30" i="15"/>
  <c r="I34" i="15"/>
  <c r="I38" i="15"/>
  <c r="I42" i="15"/>
  <c r="I46" i="15"/>
  <c r="I50" i="15"/>
  <c r="I54" i="15"/>
  <c r="I58" i="15"/>
  <c r="I62" i="15"/>
  <c r="I66" i="15"/>
  <c r="I70" i="15"/>
  <c r="I74" i="15"/>
  <c r="I78" i="15"/>
  <c r="I82" i="15"/>
  <c r="I86" i="15"/>
  <c r="I90" i="15"/>
  <c r="I94" i="15"/>
  <c r="I98" i="15"/>
  <c r="I102" i="15"/>
  <c r="I106" i="15"/>
  <c r="I7" i="15"/>
  <c r="I11" i="15"/>
  <c r="I15" i="15"/>
  <c r="I19" i="15"/>
  <c r="I23" i="15"/>
  <c r="I27" i="15"/>
  <c r="I31" i="15"/>
  <c r="I35" i="15"/>
  <c r="I39" i="15"/>
  <c r="I43" i="15"/>
  <c r="I47" i="15"/>
  <c r="I51" i="15"/>
  <c r="I55" i="15"/>
  <c r="I59" i="15"/>
  <c r="I63" i="15"/>
  <c r="I67" i="15"/>
  <c r="I71" i="15"/>
  <c r="I75" i="15"/>
  <c r="I79" i="15"/>
  <c r="I83" i="15"/>
  <c r="I87" i="15"/>
  <c r="I91" i="15"/>
  <c r="I95" i="15"/>
  <c r="I99" i="15"/>
  <c r="I103" i="15"/>
  <c r="I107" i="15"/>
  <c r="I111" i="15"/>
  <c r="I115" i="15"/>
  <c r="I119" i="15"/>
  <c r="I123" i="15"/>
  <c r="I127" i="15"/>
  <c r="I131" i="15"/>
  <c r="I135" i="15"/>
  <c r="I139" i="15"/>
  <c r="I143" i="15"/>
  <c r="I147" i="15"/>
  <c r="I151" i="15"/>
  <c r="I155" i="15"/>
  <c r="I159" i="15"/>
  <c r="I163" i="15"/>
  <c r="I167" i="15"/>
  <c r="I171" i="15"/>
  <c r="I175" i="15"/>
  <c r="I179" i="15"/>
  <c r="I183" i="15"/>
  <c r="I187" i="15"/>
  <c r="I191" i="15"/>
  <c r="I195" i="15"/>
  <c r="I199" i="15"/>
  <c r="I203" i="15"/>
  <c r="I207" i="15"/>
  <c r="I211" i="15"/>
  <c r="I215" i="15"/>
  <c r="I219" i="15"/>
  <c r="I223" i="15"/>
  <c r="I227" i="15"/>
  <c r="I231" i="15"/>
  <c r="I235" i="15"/>
  <c r="I239" i="15"/>
  <c r="I243" i="15"/>
  <c r="I247" i="15"/>
  <c r="I251" i="15"/>
  <c r="I8" i="15"/>
  <c r="I12" i="15"/>
  <c r="I16" i="15"/>
  <c r="I20" i="15"/>
  <c r="I24" i="15"/>
  <c r="I28" i="15"/>
  <c r="I32" i="15"/>
  <c r="I36" i="15"/>
  <c r="I40" i="15"/>
  <c r="I44" i="15"/>
  <c r="I48" i="15"/>
  <c r="I52" i="15"/>
  <c r="I56" i="15"/>
  <c r="I60" i="15"/>
  <c r="I64" i="15"/>
  <c r="I68" i="15"/>
  <c r="I72" i="15"/>
  <c r="I76" i="15"/>
  <c r="I80" i="15"/>
  <c r="I84" i="15"/>
  <c r="I88" i="15"/>
  <c r="I92" i="15"/>
  <c r="I96" i="15"/>
  <c r="I100" i="15"/>
  <c r="I104" i="15"/>
  <c r="I108" i="15"/>
  <c r="I112" i="15"/>
  <c r="I116" i="15"/>
  <c r="I120" i="15"/>
  <c r="I124" i="15"/>
  <c r="I128" i="15"/>
  <c r="I132" i="15"/>
  <c r="I136" i="15"/>
  <c r="I140" i="15"/>
  <c r="I144" i="15"/>
  <c r="I148" i="15"/>
  <c r="I152" i="15"/>
  <c r="I156" i="15"/>
  <c r="I160" i="15"/>
  <c r="I164" i="15"/>
  <c r="I168" i="15"/>
  <c r="I172" i="15"/>
  <c r="I176" i="15"/>
  <c r="I180" i="15"/>
  <c r="I184" i="15"/>
  <c r="I188" i="15"/>
  <c r="I192" i="15"/>
  <c r="I196" i="15"/>
  <c r="I200" i="15"/>
  <c r="I204" i="15"/>
  <c r="I208" i="15"/>
  <c r="I212" i="15"/>
  <c r="I216" i="15"/>
  <c r="I220" i="15"/>
  <c r="I224" i="15"/>
  <c r="I228" i="15"/>
  <c r="I232" i="15"/>
  <c r="I236" i="15"/>
  <c r="I240" i="15"/>
  <c r="I244" i="15"/>
  <c r="I248" i="15"/>
  <c r="I13" i="15"/>
  <c r="I29" i="15"/>
  <c r="I45" i="15"/>
  <c r="I61" i="15"/>
  <c r="I77" i="15"/>
  <c r="I93" i="15"/>
  <c r="I109" i="15"/>
  <c r="I117" i="15"/>
  <c r="I125" i="15"/>
  <c r="I133" i="15"/>
  <c r="I141" i="15"/>
  <c r="I149" i="15"/>
  <c r="I157" i="15"/>
  <c r="I165" i="15"/>
  <c r="I173" i="15"/>
  <c r="I181" i="15"/>
  <c r="I189" i="15"/>
  <c r="I197" i="15"/>
  <c r="I205" i="15"/>
  <c r="I213" i="15"/>
  <c r="I221" i="15"/>
  <c r="I229" i="15"/>
  <c r="I237" i="15"/>
  <c r="I245" i="15"/>
  <c r="I252" i="15"/>
  <c r="I256" i="15"/>
  <c r="I260" i="15"/>
  <c r="I264" i="15"/>
  <c r="I268" i="15"/>
  <c r="I272" i="15"/>
  <c r="I276" i="15"/>
  <c r="I280" i="15"/>
  <c r="I284" i="15"/>
  <c r="I288" i="15"/>
  <c r="I292" i="15"/>
  <c r="I296" i="15"/>
  <c r="I300" i="15"/>
  <c r="I304" i="15"/>
  <c r="I308" i="15"/>
  <c r="I312" i="15"/>
  <c r="I316" i="15"/>
  <c r="I320" i="15"/>
  <c r="I324" i="15"/>
  <c r="I9" i="15"/>
  <c r="I25" i="15"/>
  <c r="I41" i="15"/>
  <c r="I57" i="15"/>
  <c r="I73" i="15"/>
  <c r="I89" i="15"/>
  <c r="I105" i="15"/>
  <c r="I114" i="15"/>
  <c r="I122" i="15"/>
  <c r="I130" i="15"/>
  <c r="I138" i="15"/>
  <c r="I146" i="15"/>
  <c r="I154" i="15"/>
  <c r="I162" i="15"/>
  <c r="I170" i="15"/>
  <c r="I178" i="15"/>
  <c r="I186" i="15"/>
  <c r="I194" i="15"/>
  <c r="I202" i="15"/>
  <c r="I210" i="15"/>
  <c r="I218" i="15"/>
  <c r="I234" i="15"/>
  <c r="I250" i="15"/>
  <c r="I255" i="15"/>
  <c r="I259" i="15"/>
  <c r="I263" i="15"/>
  <c r="I275" i="15"/>
  <c r="I279" i="15"/>
  <c r="I291" i="15"/>
  <c r="I303" i="15"/>
  <c r="I315" i="15"/>
  <c r="I17" i="15"/>
  <c r="I33" i="15"/>
  <c r="I49" i="15"/>
  <c r="I65" i="15"/>
  <c r="I81" i="15"/>
  <c r="I97" i="15"/>
  <c r="I110" i="15"/>
  <c r="I118" i="15"/>
  <c r="I126" i="15"/>
  <c r="I134" i="15"/>
  <c r="I142" i="15"/>
  <c r="I150" i="15"/>
  <c r="I158" i="15"/>
  <c r="I166" i="15"/>
  <c r="I174" i="15"/>
  <c r="I182" i="15"/>
  <c r="I190" i="15"/>
  <c r="I198" i="15"/>
  <c r="I206" i="15"/>
  <c r="I214" i="15"/>
  <c r="I222" i="15"/>
  <c r="I230" i="15"/>
  <c r="I238" i="15"/>
  <c r="I246" i="15"/>
  <c r="I253" i="15"/>
  <c r="I257" i="15"/>
  <c r="I261" i="15"/>
  <c r="I265" i="15"/>
  <c r="I269" i="15"/>
  <c r="I273" i="15"/>
  <c r="I277" i="15"/>
  <c r="I281" i="15"/>
  <c r="I285" i="15"/>
  <c r="I289" i="15"/>
  <c r="I293" i="15"/>
  <c r="I297" i="15"/>
  <c r="I301" i="15"/>
  <c r="I305" i="15"/>
  <c r="I309" i="15"/>
  <c r="I313" i="15"/>
  <c r="I317" i="15"/>
  <c r="I321" i="15"/>
  <c r="I325" i="15"/>
  <c r="I226" i="15"/>
  <c r="I267" i="15"/>
  <c r="I283" i="15"/>
  <c r="I295" i="15"/>
  <c r="I307" i="15"/>
  <c r="I323" i="15"/>
  <c r="I5" i="15"/>
  <c r="I21" i="15"/>
  <c r="I37" i="15"/>
  <c r="I53" i="15"/>
  <c r="I69" i="15"/>
  <c r="I85" i="15"/>
  <c r="I101" i="15"/>
  <c r="I113" i="15"/>
  <c r="I121" i="15"/>
  <c r="I129" i="15"/>
  <c r="I137" i="15"/>
  <c r="I145" i="15"/>
  <c r="I153" i="15"/>
  <c r="I161" i="15"/>
  <c r="I169" i="15"/>
  <c r="I177" i="15"/>
  <c r="I185" i="15"/>
  <c r="I193" i="15"/>
  <c r="I201" i="15"/>
  <c r="I209" i="15"/>
  <c r="I217" i="15"/>
  <c r="I225" i="15"/>
  <c r="I233" i="15"/>
  <c r="I241" i="15"/>
  <c r="I249" i="15"/>
  <c r="I254" i="15"/>
  <c r="I258" i="15"/>
  <c r="I262" i="15"/>
  <c r="I266" i="15"/>
  <c r="I270" i="15"/>
  <c r="I274" i="15"/>
  <c r="I278" i="15"/>
  <c r="I282" i="15"/>
  <c r="I286" i="15"/>
  <c r="I290" i="15"/>
  <c r="I294" i="15"/>
  <c r="I298" i="15"/>
  <c r="I302" i="15"/>
  <c r="I306" i="15"/>
  <c r="I310" i="15"/>
  <c r="I314" i="15"/>
  <c r="I318" i="15"/>
  <c r="I322" i="15"/>
  <c r="I4" i="15"/>
  <c r="I242" i="15"/>
  <c r="I271" i="15"/>
  <c r="I287" i="15"/>
  <c r="I299" i="15"/>
  <c r="I311" i="15"/>
  <c r="I319" i="15"/>
  <c r="F33" i="13"/>
  <c r="AF91" i="15" l="1"/>
  <c r="AF99" i="15"/>
  <c r="AF75" i="15"/>
  <c r="AF11" i="15"/>
  <c r="AF39" i="15"/>
  <c r="AF83" i="15"/>
  <c r="AF19" i="15"/>
  <c r="AF47" i="15"/>
  <c r="AF94" i="15"/>
  <c r="AF78" i="15"/>
  <c r="AF62" i="15"/>
  <c r="AF46" i="15"/>
  <c r="AF30" i="15"/>
  <c r="AF14" i="15"/>
  <c r="AF89" i="15"/>
  <c r="AF45" i="15"/>
  <c r="AF85" i="15"/>
  <c r="AF61" i="15"/>
  <c r="AF37" i="15"/>
  <c r="AF17" i="15"/>
  <c r="AF84" i="15"/>
  <c r="AF68" i="15"/>
  <c r="AF52" i="15"/>
  <c r="AF36" i="15"/>
  <c r="AF20" i="15"/>
  <c r="AF59" i="15"/>
  <c r="AF87" i="15"/>
  <c r="AF23" i="15"/>
  <c r="AF67" i="15"/>
  <c r="AF95" i="15"/>
  <c r="AF31" i="15"/>
  <c r="AF90" i="15"/>
  <c r="AF74" i="15"/>
  <c r="AF58" i="15"/>
  <c r="AF42" i="15"/>
  <c r="AF26" i="15"/>
  <c r="AF10" i="15"/>
  <c r="AF77" i="15"/>
  <c r="AF21" i="15"/>
  <c r="AF81" i="15"/>
  <c r="AF53" i="15"/>
  <c r="AF33" i="15"/>
  <c r="AF13" i="15"/>
  <c r="AF96" i="15"/>
  <c r="AF80" i="15"/>
  <c r="AF64" i="15"/>
  <c r="AF48" i="15"/>
  <c r="AF32" i="15"/>
  <c r="AF16" i="15"/>
  <c r="AF43" i="15"/>
  <c r="AF71" i="15"/>
  <c r="AF7" i="15"/>
  <c r="A41" i="14" s="1" a="1"/>
  <c r="A41" i="14" s="1"/>
  <c r="AF51" i="15"/>
  <c r="AF79" i="15"/>
  <c r="AF15" i="15"/>
  <c r="AF86" i="15"/>
  <c r="AF70" i="15"/>
  <c r="AF54" i="15"/>
  <c r="AF38" i="15"/>
  <c r="AF22" i="15"/>
  <c r="AF6" i="15"/>
  <c r="A40" i="14" s="1" a="1"/>
  <c r="A40" i="14" s="1"/>
  <c r="AF65" i="15"/>
  <c r="AF4" i="15"/>
  <c r="A38" i="14" s="1" a="1"/>
  <c r="A38" i="14" s="1"/>
  <c r="AF73" i="15"/>
  <c r="AF49" i="15"/>
  <c r="AF29" i="15"/>
  <c r="AF9" i="15"/>
  <c r="AF92" i="15"/>
  <c r="AF76" i="15"/>
  <c r="AF60" i="15"/>
  <c r="AF44" i="15"/>
  <c r="AF28" i="15"/>
  <c r="AF12" i="15"/>
  <c r="AF27" i="15"/>
  <c r="AF55" i="15"/>
  <c r="AF35" i="15"/>
  <c r="AF63" i="15"/>
  <c r="AF98" i="15"/>
  <c r="AF82" i="15"/>
  <c r="AF66" i="15"/>
  <c r="AF50" i="15"/>
  <c r="AF34" i="15"/>
  <c r="AF18" i="15"/>
  <c r="AF97" i="15"/>
  <c r="AF57" i="15"/>
  <c r="AF93" i="15"/>
  <c r="AF69" i="15"/>
  <c r="AF41" i="15"/>
  <c r="AF25" i="15"/>
  <c r="AF5" i="15"/>
  <c r="A39" i="14" s="1" a="1"/>
  <c r="A39" i="14" s="1"/>
  <c r="AF88" i="15"/>
  <c r="AF72" i="15"/>
  <c r="AF56" i="15"/>
  <c r="AF40" i="15"/>
  <c r="AF24" i="15"/>
  <c r="AF8" i="15"/>
  <c r="A42" i="14" s="1" a="1"/>
  <c r="A42" i="14" s="1"/>
  <c r="U8" i="15"/>
  <c r="A30" i="14" s="1" a="1"/>
  <c r="A30" i="14" s="1"/>
  <c r="U12" i="15"/>
  <c r="U16" i="15"/>
  <c r="U20" i="15"/>
  <c r="U24" i="15"/>
  <c r="U28" i="15"/>
  <c r="U32" i="15"/>
  <c r="U36" i="15"/>
  <c r="U40" i="15"/>
  <c r="U44" i="15"/>
  <c r="U48" i="15"/>
  <c r="U52" i="15"/>
  <c r="U56" i="15"/>
  <c r="U60" i="15"/>
  <c r="U64" i="15"/>
  <c r="U68" i="15"/>
  <c r="U72" i="15"/>
  <c r="U4" i="15"/>
  <c r="A26" i="14" s="1" a="1"/>
  <c r="A26" i="14" s="1"/>
  <c r="U5" i="15"/>
  <c r="A27" i="14" s="1" a="1"/>
  <c r="A27" i="14" s="1"/>
  <c r="U9" i="15"/>
  <c r="A31" i="14" s="1" a="1"/>
  <c r="A31" i="14" s="1"/>
  <c r="U13" i="15"/>
  <c r="U17" i="15"/>
  <c r="U21" i="15"/>
  <c r="U25" i="15"/>
  <c r="U29" i="15"/>
  <c r="U33" i="15"/>
  <c r="U37" i="15"/>
  <c r="U41" i="15"/>
  <c r="U45" i="15"/>
  <c r="U49" i="15"/>
  <c r="U53" i="15"/>
  <c r="U57" i="15"/>
  <c r="U61" i="15"/>
  <c r="U65" i="15"/>
  <c r="U69" i="15"/>
  <c r="U73" i="15"/>
  <c r="U6" i="15"/>
  <c r="A28" i="14" s="1" a="1"/>
  <c r="A28" i="14" s="1"/>
  <c r="U14" i="15"/>
  <c r="U22" i="15"/>
  <c r="U30" i="15"/>
  <c r="U38" i="15"/>
  <c r="U46" i="15"/>
  <c r="U54" i="15"/>
  <c r="U62" i="15"/>
  <c r="U70" i="15"/>
  <c r="U11" i="15"/>
  <c r="U19" i="15"/>
  <c r="U27" i="15"/>
  <c r="U35" i="15"/>
  <c r="U43" i="15"/>
  <c r="U51" i="15"/>
  <c r="U59" i="15"/>
  <c r="U67" i="15"/>
  <c r="U75" i="15"/>
  <c r="U7" i="15"/>
  <c r="A29" i="14" s="1" a="1"/>
  <c r="A29" i="14" s="1"/>
  <c r="U15" i="15"/>
  <c r="U23" i="15"/>
  <c r="U31" i="15"/>
  <c r="U39" i="15"/>
  <c r="U47" i="15"/>
  <c r="U55" i="15"/>
  <c r="U63" i="15"/>
  <c r="U71" i="15"/>
  <c r="U10" i="15"/>
  <c r="A32" i="14" s="1" a="1"/>
  <c r="A32" i="14" s="1"/>
  <c r="U18" i="15"/>
  <c r="U26" i="15"/>
  <c r="U34" i="15"/>
  <c r="U42" i="15"/>
  <c r="U50" i="15"/>
  <c r="U58" i="15"/>
  <c r="U66" i="15"/>
  <c r="U74" i="15"/>
  <c r="J7" i="15"/>
  <c r="J11" i="15"/>
  <c r="J15" i="15"/>
  <c r="J19" i="15"/>
  <c r="J23" i="15"/>
  <c r="J27" i="15"/>
  <c r="J31" i="15"/>
  <c r="J35" i="15"/>
  <c r="J39" i="15"/>
  <c r="J43" i="15"/>
  <c r="J47" i="15"/>
  <c r="J51" i="15"/>
  <c r="J55" i="15"/>
  <c r="J59" i="15"/>
  <c r="J63" i="15"/>
  <c r="J67" i="15"/>
  <c r="J71" i="15"/>
  <c r="J75" i="15"/>
  <c r="J79" i="15"/>
  <c r="J83" i="15"/>
  <c r="J87" i="15"/>
  <c r="J91" i="15"/>
  <c r="J95" i="15"/>
  <c r="J99" i="15"/>
  <c r="J103" i="15"/>
  <c r="J107" i="15"/>
  <c r="J111" i="15"/>
  <c r="J115" i="15"/>
  <c r="J119" i="15"/>
  <c r="J123" i="15"/>
  <c r="J127" i="15"/>
  <c r="J131" i="15"/>
  <c r="J135" i="15"/>
  <c r="J139" i="15"/>
  <c r="J143" i="15"/>
  <c r="J147" i="15"/>
  <c r="J151" i="15"/>
  <c r="J155" i="15"/>
  <c r="J159" i="15"/>
  <c r="J163" i="15"/>
  <c r="J167" i="15"/>
  <c r="J171" i="15"/>
  <c r="J175" i="15"/>
  <c r="J179" i="15"/>
  <c r="J183" i="15"/>
  <c r="J187" i="15"/>
  <c r="J191" i="15"/>
  <c r="J195" i="15"/>
  <c r="J199" i="15"/>
  <c r="J203" i="15"/>
  <c r="J207" i="15"/>
  <c r="J211" i="15"/>
  <c r="J215" i="15"/>
  <c r="J219" i="15"/>
  <c r="J223" i="15"/>
  <c r="J227" i="15"/>
  <c r="J231" i="15"/>
  <c r="J235" i="15"/>
  <c r="J239" i="15"/>
  <c r="J243" i="15"/>
  <c r="J247" i="15"/>
  <c r="J251" i="15"/>
  <c r="J255" i="15"/>
  <c r="J259" i="15"/>
  <c r="J263" i="15"/>
  <c r="J267" i="15"/>
  <c r="J271" i="15"/>
  <c r="J275" i="15"/>
  <c r="J279" i="15"/>
  <c r="J283" i="15"/>
  <c r="J287" i="15"/>
  <c r="J291" i="15"/>
  <c r="J295" i="15"/>
  <c r="J299" i="15"/>
  <c r="J303" i="15"/>
  <c r="J307" i="15"/>
  <c r="J311" i="15"/>
  <c r="J315" i="15"/>
  <c r="J8" i="15"/>
  <c r="J12" i="15"/>
  <c r="J16" i="15"/>
  <c r="J20" i="15"/>
  <c r="J24" i="15"/>
  <c r="J28" i="15"/>
  <c r="J32" i="15"/>
  <c r="J36" i="15"/>
  <c r="J40" i="15"/>
  <c r="J44" i="15"/>
  <c r="J48" i="15"/>
  <c r="J52" i="15"/>
  <c r="J56" i="15"/>
  <c r="J60" i="15"/>
  <c r="J64" i="15"/>
  <c r="J68" i="15"/>
  <c r="J72" i="15"/>
  <c r="J76" i="15"/>
  <c r="J80" i="15"/>
  <c r="J84" i="15"/>
  <c r="J88" i="15"/>
  <c r="J92" i="15"/>
  <c r="J96" i="15"/>
  <c r="J100" i="15"/>
  <c r="J104" i="15"/>
  <c r="J108" i="15"/>
  <c r="J112" i="15"/>
  <c r="J116" i="15"/>
  <c r="J120" i="15"/>
  <c r="J124" i="15"/>
  <c r="J128" i="15"/>
  <c r="J132" i="15"/>
  <c r="J136" i="15"/>
  <c r="J140" i="15"/>
  <c r="J144" i="15"/>
  <c r="J148" i="15"/>
  <c r="J152" i="15"/>
  <c r="J156" i="15"/>
  <c r="J5" i="15"/>
  <c r="J9" i="15"/>
  <c r="J13" i="15"/>
  <c r="J17" i="15"/>
  <c r="J21" i="15"/>
  <c r="J25" i="15"/>
  <c r="J29" i="15"/>
  <c r="J33" i="15"/>
  <c r="J37" i="15"/>
  <c r="J41" i="15"/>
  <c r="J45" i="15"/>
  <c r="J49" i="15"/>
  <c r="J53" i="15"/>
  <c r="J57" i="15"/>
  <c r="J61" i="15"/>
  <c r="J65" i="15"/>
  <c r="J69" i="15"/>
  <c r="J73" i="15"/>
  <c r="J77" i="15"/>
  <c r="J81" i="15"/>
  <c r="J85" i="15"/>
  <c r="J89" i="15"/>
  <c r="J93" i="15"/>
  <c r="J97" i="15"/>
  <c r="J101" i="15"/>
  <c r="J105" i="15"/>
  <c r="J109" i="15"/>
  <c r="J113" i="15"/>
  <c r="J117" i="15"/>
  <c r="J121" i="15"/>
  <c r="J125" i="15"/>
  <c r="J129" i="15"/>
  <c r="J133" i="15"/>
  <c r="J137" i="15"/>
  <c r="J141" i="15"/>
  <c r="J145" i="15"/>
  <c r="J149" i="15"/>
  <c r="J153" i="15"/>
  <c r="J157" i="15"/>
  <c r="J161" i="15"/>
  <c r="J165" i="15"/>
  <c r="J169" i="15"/>
  <c r="J173" i="15"/>
  <c r="J177" i="15"/>
  <c r="J181" i="15"/>
  <c r="J185" i="15"/>
  <c r="J189" i="15"/>
  <c r="J193" i="15"/>
  <c r="J197" i="15"/>
  <c r="J201" i="15"/>
  <c r="J205" i="15"/>
  <c r="J209" i="15"/>
  <c r="J213" i="15"/>
  <c r="J217" i="15"/>
  <c r="J221" i="15"/>
  <c r="J225" i="15"/>
  <c r="J229" i="15"/>
  <c r="J233" i="15"/>
  <c r="J237" i="15"/>
  <c r="J241" i="15"/>
  <c r="J245" i="15"/>
  <c r="J249" i="15"/>
  <c r="J253" i="15"/>
  <c r="J257" i="15"/>
  <c r="J261" i="15"/>
  <c r="J265" i="15"/>
  <c r="J269" i="15"/>
  <c r="J273" i="15"/>
  <c r="J277" i="15"/>
  <c r="J281" i="15"/>
  <c r="J6" i="15"/>
  <c r="J10" i="15"/>
  <c r="J14" i="15"/>
  <c r="J18" i="15"/>
  <c r="A20" i="14" s="1" a="1"/>
  <c r="A20" i="14" s="1"/>
  <c r="B20" i="14" s="1"/>
  <c r="C20" i="14" s="1"/>
  <c r="J22" i="15"/>
  <c r="J26" i="15"/>
  <c r="J30" i="15"/>
  <c r="J34" i="15"/>
  <c r="J38" i="15"/>
  <c r="J42" i="15"/>
  <c r="J46" i="15"/>
  <c r="J50" i="15"/>
  <c r="J54" i="15"/>
  <c r="J58" i="15"/>
  <c r="J62" i="15"/>
  <c r="J66" i="15"/>
  <c r="J70" i="15"/>
  <c r="J74" i="15"/>
  <c r="J78" i="15"/>
  <c r="J82" i="15"/>
  <c r="J86" i="15"/>
  <c r="J90" i="15"/>
  <c r="J94" i="15"/>
  <c r="J98" i="15"/>
  <c r="J102" i="15"/>
  <c r="J106" i="15"/>
  <c r="J110" i="15"/>
  <c r="J114" i="15"/>
  <c r="J118" i="15"/>
  <c r="J122" i="15"/>
  <c r="J126" i="15"/>
  <c r="J130" i="15"/>
  <c r="J134" i="15"/>
  <c r="J138" i="15"/>
  <c r="J142" i="15"/>
  <c r="J146" i="15"/>
  <c r="J150" i="15"/>
  <c r="J154" i="15"/>
  <c r="J158" i="15"/>
  <c r="J162" i="15"/>
  <c r="J166" i="15"/>
  <c r="J170" i="15"/>
  <c r="J174" i="15"/>
  <c r="J178" i="15"/>
  <c r="J182" i="15"/>
  <c r="J160" i="15"/>
  <c r="J176" i="15"/>
  <c r="J188" i="15"/>
  <c r="J196" i="15"/>
  <c r="J204" i="15"/>
  <c r="J212" i="15"/>
  <c r="J220" i="15"/>
  <c r="J228" i="15"/>
  <c r="J236" i="15"/>
  <c r="J244" i="15"/>
  <c r="J252" i="15"/>
  <c r="J260" i="15"/>
  <c r="J268" i="15"/>
  <c r="J276" i="15"/>
  <c r="J284" i="15"/>
  <c r="J289" i="15"/>
  <c r="J294" i="15"/>
  <c r="J300" i="15"/>
  <c r="J305" i="15"/>
  <c r="J310" i="15"/>
  <c r="J316" i="15"/>
  <c r="J320" i="15"/>
  <c r="J324" i="15"/>
  <c r="J164" i="15"/>
  <c r="J180" i="15"/>
  <c r="J190" i="15"/>
  <c r="J198" i="15"/>
  <c r="J206" i="15"/>
  <c r="J214" i="15"/>
  <c r="J222" i="15"/>
  <c r="J230" i="15"/>
  <c r="J238" i="15"/>
  <c r="J246" i="15"/>
  <c r="J254" i="15"/>
  <c r="J262" i="15"/>
  <c r="J270" i="15"/>
  <c r="J278" i="15"/>
  <c r="J285" i="15"/>
  <c r="J290" i="15"/>
  <c r="J296" i="15"/>
  <c r="J301" i="15"/>
  <c r="J306" i="15"/>
  <c r="J312" i="15"/>
  <c r="J317" i="15"/>
  <c r="J321" i="15"/>
  <c r="J325" i="15"/>
  <c r="J168" i="15"/>
  <c r="J184" i="15"/>
  <c r="J192" i="15"/>
  <c r="J200" i="15"/>
  <c r="J208" i="15"/>
  <c r="J216" i="15"/>
  <c r="J224" i="15"/>
  <c r="J232" i="15"/>
  <c r="J240" i="15"/>
  <c r="J248" i="15"/>
  <c r="J256" i="15"/>
  <c r="J264" i="15"/>
  <c r="J272" i="15"/>
  <c r="J280" i="15"/>
  <c r="J286" i="15"/>
  <c r="J292" i="15"/>
  <c r="J297" i="15"/>
  <c r="J302" i="15"/>
  <c r="J308" i="15"/>
  <c r="J313" i="15"/>
  <c r="J318" i="15"/>
  <c r="J322" i="15"/>
  <c r="J4" i="15"/>
  <c r="A6" i="14" s="1" a="1"/>
  <c r="A6" i="14" s="1"/>
  <c r="B6" i="14" s="1"/>
  <c r="C6" i="14" s="1"/>
  <c r="J172" i="15"/>
  <c r="J210" i="15"/>
  <c r="J242" i="15"/>
  <c r="J274" i="15"/>
  <c r="J298" i="15"/>
  <c r="J319" i="15"/>
  <c r="J202" i="15"/>
  <c r="J234" i="15"/>
  <c r="J314" i="15"/>
  <c r="J186" i="15"/>
  <c r="J218" i="15"/>
  <c r="J250" i="15"/>
  <c r="J282" i="15"/>
  <c r="J304" i="15"/>
  <c r="J323" i="15"/>
  <c r="J293" i="15"/>
  <c r="J194" i="15"/>
  <c r="J226" i="15"/>
  <c r="J258" i="15"/>
  <c r="J288" i="15"/>
  <c r="J309" i="15"/>
  <c r="J266" i="15"/>
  <c r="C45" i="2"/>
  <c r="H45" i="2" s="1"/>
  <c r="G51" i="1"/>
  <c r="F51" i="1"/>
  <c r="B26" i="14" l="1"/>
  <c r="C26" i="14"/>
  <c r="C39" i="14"/>
  <c r="B39" i="14"/>
  <c r="B28" i="14"/>
  <c r="C28" i="14"/>
  <c r="C30" i="14"/>
  <c r="B30" i="14"/>
  <c r="C40" i="14"/>
  <c r="B40" i="14"/>
  <c r="B32" i="14"/>
  <c r="C32" i="14" s="1" a="1"/>
  <c r="C32" i="14" s="1"/>
  <c r="B31" i="14"/>
  <c r="C31" i="14"/>
  <c r="B42" i="14"/>
  <c r="C42" i="14"/>
  <c r="C41" i="14"/>
  <c r="B41" i="14"/>
  <c r="B29" i="14"/>
  <c r="C29" i="14"/>
  <c r="B27" i="14"/>
  <c r="C27" i="14"/>
  <c r="C38" i="14"/>
  <c r="B38" i="14"/>
  <c r="A19" i="14" a="1"/>
  <c r="A19" i="14" s="1"/>
  <c r="B19" i="14" s="1"/>
  <c r="C19" i="14" s="1"/>
  <c r="A8" i="14" a="1"/>
  <c r="A8" i="14" s="1"/>
  <c r="B8" i="14" s="1"/>
  <c r="C8" i="14" s="1"/>
  <c r="A15" i="14" a="1"/>
  <c r="A15" i="14" s="1"/>
  <c r="B15" i="14" s="1"/>
  <c r="C15" i="14" s="1"/>
  <c r="A10" i="14" a="1"/>
  <c r="A10" i="14" s="1"/>
  <c r="B10" i="14" s="1"/>
  <c r="C10" i="14" s="1"/>
  <c r="A17" i="14" a="1"/>
  <c r="A17" i="14" s="1"/>
  <c r="B17" i="14" s="1"/>
  <c r="C17" i="14" s="1"/>
  <c r="A12" i="14" a="1"/>
  <c r="A12" i="14" s="1"/>
  <c r="B12" i="14" s="1"/>
  <c r="C12" i="14" s="1"/>
  <c r="A14" i="14" a="1"/>
  <c r="A14" i="14" s="1"/>
  <c r="B14" i="14" s="1"/>
  <c r="C14" i="14" s="1"/>
  <c r="A11" i="14" a="1"/>
  <c r="A11" i="14" s="1"/>
  <c r="B11" i="14" s="1"/>
  <c r="C11" i="14" s="1"/>
  <c r="A13" i="14" a="1"/>
  <c r="A13" i="14" s="1"/>
  <c r="B13" i="14" s="1"/>
  <c r="C13" i="14" s="1"/>
  <c r="A16" i="14" a="1"/>
  <c r="A16" i="14" s="1"/>
  <c r="B16" i="14" s="1"/>
  <c r="C16" i="14" s="1"/>
  <c r="A7" i="14" a="1"/>
  <c r="A7" i="14" s="1"/>
  <c r="B7" i="14" s="1"/>
  <c r="C7" i="14" s="1"/>
  <c r="A18" i="14" a="1"/>
  <c r="A18" i="14" s="1"/>
  <c r="B18" i="14" s="1"/>
  <c r="C18" i="14" s="1"/>
  <c r="A9" i="14" a="1"/>
  <c r="A9" i="14" s="1"/>
  <c r="B9" i="14" s="1"/>
  <c r="C9" i="14" s="1"/>
  <c r="C37" i="10"/>
  <c r="F40" i="2" l="1"/>
  <c r="H40" i="2" s="1"/>
  <c r="D39" i="2"/>
  <c r="H39" i="2" s="1"/>
  <c r="G656" i="1"/>
  <c r="F48" i="2"/>
  <c r="E48" i="2"/>
  <c r="D48" i="2"/>
  <c r="C48" i="2"/>
  <c r="F47" i="2"/>
  <c r="E47" i="2"/>
  <c r="D47" i="2"/>
  <c r="C47" i="2"/>
  <c r="F44" i="2"/>
  <c r="E44" i="2"/>
  <c r="D44" i="2"/>
  <c r="C44" i="2"/>
  <c r="F43" i="2"/>
  <c r="E43" i="2"/>
  <c r="D43" i="2"/>
  <c r="C43" i="2"/>
  <c r="F42" i="2"/>
  <c r="E42" i="2"/>
  <c r="D42" i="2"/>
  <c r="C42" i="2"/>
  <c r="F38" i="2"/>
  <c r="E38" i="2"/>
  <c r="D38" i="2"/>
  <c r="C38" i="2"/>
  <c r="F36" i="2"/>
  <c r="E36" i="2"/>
  <c r="D36" i="2"/>
  <c r="C36" i="2"/>
  <c r="I456" i="1"/>
  <c r="J45" i="1" s="1"/>
  <c r="G44" i="2" s="1"/>
  <c r="I459" i="1"/>
  <c r="J39" i="1" s="1"/>
  <c r="G38" i="2" s="1"/>
  <c r="C68" i="2"/>
  <c r="B2" i="13"/>
  <c r="G8" i="13"/>
  <c r="H8" i="13"/>
  <c r="L205" i="1"/>
  <c r="L223" i="1"/>
  <c r="L241" i="1"/>
  <c r="D39" i="13"/>
  <c r="G13" i="13"/>
  <c r="H13" i="13"/>
  <c r="L207" i="1"/>
  <c r="E13" i="13" s="1"/>
  <c r="C13" i="13" s="1"/>
  <c r="L225" i="1"/>
  <c r="L243" i="1"/>
  <c r="G16" i="13"/>
  <c r="H16" i="13"/>
  <c r="L210" i="1"/>
  <c r="L228" i="1"/>
  <c r="L246" i="1"/>
  <c r="G5" i="13"/>
  <c r="H5" i="13"/>
  <c r="L198" i="1"/>
  <c r="L199" i="1"/>
  <c r="L200" i="1"/>
  <c r="L201" i="1"/>
  <c r="L216" i="1"/>
  <c r="L217" i="1"/>
  <c r="L218" i="1"/>
  <c r="L219" i="1"/>
  <c r="L234" i="1"/>
  <c r="L235" i="1"/>
  <c r="L236" i="1"/>
  <c r="L237" i="1"/>
  <c r="G6" i="13"/>
  <c r="H6" i="13"/>
  <c r="L203" i="1"/>
  <c r="L221" i="1"/>
  <c r="L239" i="1"/>
  <c r="G7" i="13"/>
  <c r="H7" i="13"/>
  <c r="L204" i="1"/>
  <c r="L222" i="1"/>
  <c r="L240" i="1"/>
  <c r="G12" i="13"/>
  <c r="H12" i="13"/>
  <c r="L206" i="1"/>
  <c r="L224" i="1"/>
  <c r="L242" i="1"/>
  <c r="G14" i="13"/>
  <c r="H14" i="13"/>
  <c r="L208" i="1"/>
  <c r="L226" i="1"/>
  <c r="L244" i="1"/>
  <c r="G15" i="13"/>
  <c r="H15" i="13"/>
  <c r="L209" i="1"/>
  <c r="L227" i="1"/>
  <c r="L245" i="1"/>
  <c r="G17" i="13"/>
  <c r="H17" i="13"/>
  <c r="L252" i="1"/>
  <c r="G18" i="13"/>
  <c r="H18" i="13"/>
  <c r="L253" i="1"/>
  <c r="D18" i="13" s="1"/>
  <c r="C18" i="13" s="1"/>
  <c r="G19" i="13"/>
  <c r="H19" i="13"/>
  <c r="L254" i="1"/>
  <c r="H29" i="13"/>
  <c r="L359" i="1"/>
  <c r="L360" i="1"/>
  <c r="L361" i="1"/>
  <c r="I368" i="1"/>
  <c r="J291" i="1"/>
  <c r="J310" i="1"/>
  <c r="J329" i="1"/>
  <c r="K291" i="1"/>
  <c r="K310" i="1"/>
  <c r="K329" i="1"/>
  <c r="L277" i="1"/>
  <c r="L278" i="1"/>
  <c r="L279" i="1"/>
  <c r="L280" i="1"/>
  <c r="L282" i="1"/>
  <c r="L283" i="1"/>
  <c r="L284" i="1"/>
  <c r="L285" i="1"/>
  <c r="L286" i="1"/>
  <c r="L287" i="1"/>
  <c r="L288" i="1"/>
  <c r="L289" i="1"/>
  <c r="L296" i="1"/>
  <c r="L297" i="1"/>
  <c r="L298" i="1"/>
  <c r="L299" i="1"/>
  <c r="L301" i="1"/>
  <c r="L302" i="1"/>
  <c r="L303" i="1"/>
  <c r="L304" i="1"/>
  <c r="L305" i="1"/>
  <c r="L306" i="1"/>
  <c r="L307" i="1"/>
  <c r="L308" i="1"/>
  <c r="L315" i="1"/>
  <c r="L316" i="1"/>
  <c r="L317" i="1"/>
  <c r="L318" i="1"/>
  <c r="L320" i="1"/>
  <c r="L321" i="1"/>
  <c r="L322" i="1"/>
  <c r="L323" i="1"/>
  <c r="L324" i="1"/>
  <c r="L325" i="1"/>
  <c r="L326" i="1"/>
  <c r="L327" i="1"/>
  <c r="L334" i="1"/>
  <c r="L335" i="1"/>
  <c r="L336" i="1"/>
  <c r="L261" i="1"/>
  <c r="C131" i="2" s="1"/>
  <c r="L262" i="1"/>
  <c r="C132" i="2" s="1"/>
  <c r="L342" i="1"/>
  <c r="C32" i="10" s="1"/>
  <c r="L343" i="1"/>
  <c r="L256" i="1"/>
  <c r="L337" i="1"/>
  <c r="E130" i="2" s="1"/>
  <c r="C11" i="13"/>
  <c r="C10" i="13"/>
  <c r="C9" i="13"/>
  <c r="L362" i="1"/>
  <c r="B4" i="12"/>
  <c r="B36" i="12"/>
  <c r="C36" i="12"/>
  <c r="B40" i="12"/>
  <c r="C40" i="12"/>
  <c r="B27" i="12"/>
  <c r="C27" i="12"/>
  <c r="B31" i="12"/>
  <c r="C31" i="12"/>
  <c r="B9" i="12"/>
  <c r="B13" i="12"/>
  <c r="C9" i="12"/>
  <c r="C13" i="12"/>
  <c r="B18" i="12"/>
  <c r="C18" i="12"/>
  <c r="C22" i="12"/>
  <c r="B1" i="12"/>
  <c r="L388" i="1"/>
  <c r="L389" i="1"/>
  <c r="L390" i="1"/>
  <c r="L391" i="1"/>
  <c r="L392" i="1"/>
  <c r="L393" i="1"/>
  <c r="L396" i="1"/>
  <c r="L397" i="1"/>
  <c r="L398" i="1"/>
  <c r="L399" i="1"/>
  <c r="L400" i="1"/>
  <c r="L401" i="1"/>
  <c r="L404" i="1"/>
  <c r="L405" i="1"/>
  <c r="L406" i="1"/>
  <c r="L407" i="1"/>
  <c r="L267" i="1"/>
  <c r="J60" i="1"/>
  <c r="G56" i="2" s="1"/>
  <c r="G59" i="2"/>
  <c r="G61" i="2"/>
  <c r="F2" i="11"/>
  <c r="L614" i="1"/>
  <c r="H664" i="1" s="1"/>
  <c r="L613" i="1"/>
  <c r="G664" i="1" s="1"/>
  <c r="L612" i="1"/>
  <c r="F664" i="1" s="1"/>
  <c r="C40" i="10"/>
  <c r="F60" i="1"/>
  <c r="G60" i="1"/>
  <c r="D56" i="2" s="1"/>
  <c r="H60" i="1"/>
  <c r="E56" i="2" s="1"/>
  <c r="I60" i="1"/>
  <c r="F79" i="1"/>
  <c r="C57" i="2" s="1"/>
  <c r="F94" i="1"/>
  <c r="F111" i="1"/>
  <c r="G111" i="1"/>
  <c r="H79" i="1"/>
  <c r="H94" i="1"/>
  <c r="H111" i="1"/>
  <c r="I111" i="1"/>
  <c r="I112" i="1" s="1"/>
  <c r="J111" i="1"/>
  <c r="J112" i="1" s="1"/>
  <c r="F121" i="1"/>
  <c r="F136" i="1"/>
  <c r="G121" i="1"/>
  <c r="G136" i="1"/>
  <c r="H121" i="1"/>
  <c r="H136" i="1"/>
  <c r="H140" i="1" s="1"/>
  <c r="I121" i="1"/>
  <c r="I136" i="1"/>
  <c r="J121" i="1"/>
  <c r="J136" i="1"/>
  <c r="J140" i="1" s="1"/>
  <c r="F147" i="1"/>
  <c r="F170" i="1"/>
  <c r="G147" i="1"/>
  <c r="D85" i="2" s="1"/>
  <c r="H147" i="1"/>
  <c r="H170" i="1" s="1"/>
  <c r="I147" i="1"/>
  <c r="L251" i="1"/>
  <c r="C113" i="2" s="1"/>
  <c r="H113" i="2" s="1"/>
  <c r="L333" i="1"/>
  <c r="E113" i="2" s="1"/>
  <c r="L255" i="1"/>
  <c r="L269" i="1"/>
  <c r="L270" i="1"/>
  <c r="C143" i="2" s="1"/>
  <c r="L350" i="1"/>
  <c r="E142" i="2" s="1"/>
  <c r="L351" i="1"/>
  <c r="E143" i="2" s="1"/>
  <c r="I666" i="1"/>
  <c r="I671" i="1"/>
  <c r="G663" i="1"/>
  <c r="I670" i="1"/>
  <c r="C42" i="10"/>
  <c r="L375" i="1"/>
  <c r="L376" i="1"/>
  <c r="L377" i="1"/>
  <c r="L378" i="1"/>
  <c r="L379" i="1"/>
  <c r="L380" i="1"/>
  <c r="L381" i="1"/>
  <c r="B2" i="10"/>
  <c r="L345" i="1"/>
  <c r="E134" i="2" s="1"/>
  <c r="L346" i="1"/>
  <c r="E135" i="2" s="1"/>
  <c r="L347" i="1"/>
  <c r="E137" i="2" s="1"/>
  <c r="L348" i="1"/>
  <c r="K352" i="1"/>
  <c r="L522" i="1"/>
  <c r="F550" i="1" s="1"/>
  <c r="L523" i="1"/>
  <c r="F551" i="1" s="1"/>
  <c r="L524" i="1"/>
  <c r="F552" i="1" s="1"/>
  <c r="L527" i="1"/>
  <c r="G550" i="1" s="1"/>
  <c r="L528" i="1"/>
  <c r="G551" i="1" s="1"/>
  <c r="L529" i="1"/>
  <c r="G552" i="1" s="1"/>
  <c r="L532" i="1"/>
  <c r="H550" i="1" s="1"/>
  <c r="L533" i="1"/>
  <c r="H551" i="1" s="1"/>
  <c r="L534" i="1"/>
  <c r="H552" i="1" s="1"/>
  <c r="L537" i="1"/>
  <c r="I550" i="1" s="1"/>
  <c r="L538" i="1"/>
  <c r="I551" i="1" s="1"/>
  <c r="L539" i="1"/>
  <c r="I552" i="1" s="1"/>
  <c r="L542" i="1"/>
  <c r="J550" i="1" s="1"/>
  <c r="L543" i="1"/>
  <c r="J551" i="1" s="1"/>
  <c r="L544" i="1"/>
  <c r="J552" i="1" s="1"/>
  <c r="E132" i="2"/>
  <c r="K271" i="1"/>
  <c r="J271" i="1"/>
  <c r="I271" i="1"/>
  <c r="H271" i="1"/>
  <c r="G271" i="1"/>
  <c r="F271" i="1"/>
  <c r="A1" i="2"/>
  <c r="A2" i="2"/>
  <c r="C8" i="2"/>
  <c r="D8" i="2"/>
  <c r="E8" i="2"/>
  <c r="F8" i="2"/>
  <c r="I440" i="1"/>
  <c r="J9" i="1" s="1"/>
  <c r="G8" i="2" s="1"/>
  <c r="C9" i="2"/>
  <c r="D9" i="2"/>
  <c r="E9" i="2"/>
  <c r="F9" i="2"/>
  <c r="I441" i="1"/>
  <c r="J10" i="1" s="1"/>
  <c r="G9" i="2" s="1"/>
  <c r="C10" i="2"/>
  <c r="H10" i="2" s="1"/>
  <c r="C11" i="2"/>
  <c r="D11" i="2"/>
  <c r="E11" i="2"/>
  <c r="F11" i="2"/>
  <c r="I442" i="1"/>
  <c r="J12" i="1" s="1"/>
  <c r="G11" i="2" s="1"/>
  <c r="C12" i="2"/>
  <c r="D12" i="2"/>
  <c r="E12" i="2"/>
  <c r="F12" i="2"/>
  <c r="I443" i="1"/>
  <c r="J13" i="1" s="1"/>
  <c r="G12" i="2" s="1"/>
  <c r="C13" i="2"/>
  <c r="D13" i="2"/>
  <c r="E13" i="2"/>
  <c r="F13" i="2"/>
  <c r="I444" i="1"/>
  <c r="J14" i="1" s="1"/>
  <c r="G13" i="2" s="1"/>
  <c r="F14" i="2"/>
  <c r="H14" i="2" s="1"/>
  <c r="C15" i="2"/>
  <c r="D15" i="2"/>
  <c r="E15" i="2"/>
  <c r="F15" i="2"/>
  <c r="C16" i="2"/>
  <c r="D16" i="2"/>
  <c r="E16" i="2"/>
  <c r="F16" i="2"/>
  <c r="I445" i="1"/>
  <c r="J17" i="1" s="1"/>
  <c r="C17" i="2"/>
  <c r="D17" i="2"/>
  <c r="E17" i="2"/>
  <c r="F17" i="2"/>
  <c r="I446" i="1"/>
  <c r="J18" i="1" s="1"/>
  <c r="G17" i="2" s="1"/>
  <c r="C21" i="2"/>
  <c r="D21" i="2"/>
  <c r="E21" i="2"/>
  <c r="F21" i="2"/>
  <c r="I449" i="1"/>
  <c r="J22" i="1" s="1"/>
  <c r="C22" i="2"/>
  <c r="D22" i="2"/>
  <c r="E22" i="2"/>
  <c r="F22" i="2"/>
  <c r="I450" i="1"/>
  <c r="J23" i="1" s="1"/>
  <c r="G22" i="2" s="1"/>
  <c r="C23" i="2"/>
  <c r="D23" i="2"/>
  <c r="E23" i="2"/>
  <c r="F23" i="2"/>
  <c r="I451" i="1"/>
  <c r="J24" i="1" s="1"/>
  <c r="G23" i="2" s="1"/>
  <c r="C24" i="2"/>
  <c r="D24" i="2"/>
  <c r="E24" i="2"/>
  <c r="F24" i="2"/>
  <c r="C25" i="2"/>
  <c r="F25" i="2"/>
  <c r="C26" i="2"/>
  <c r="H26" i="2" s="1"/>
  <c r="F26" i="2"/>
  <c r="C27" i="2"/>
  <c r="D27" i="2"/>
  <c r="E27" i="2"/>
  <c r="F27" i="2"/>
  <c r="C28" i="2"/>
  <c r="D28" i="2"/>
  <c r="E28" i="2"/>
  <c r="F28" i="2"/>
  <c r="C29" i="2"/>
  <c r="D29" i="2"/>
  <c r="H29" i="2" s="1"/>
  <c r="E29" i="2"/>
  <c r="F29" i="2"/>
  <c r="C30" i="2"/>
  <c r="D30" i="2"/>
  <c r="E30" i="2"/>
  <c r="F30" i="2"/>
  <c r="I452" i="1"/>
  <c r="J31" i="1" s="1"/>
  <c r="G30" i="2" s="1"/>
  <c r="C34" i="2"/>
  <c r="D34" i="2"/>
  <c r="E34" i="2"/>
  <c r="F34" i="2"/>
  <c r="C35" i="2"/>
  <c r="H35" i="2" s="1"/>
  <c r="D35" i="2"/>
  <c r="E35" i="2"/>
  <c r="F35" i="2"/>
  <c r="I455" i="1"/>
  <c r="J49" i="1" s="1"/>
  <c r="G48" i="2" s="1"/>
  <c r="I457" i="1"/>
  <c r="J43" i="1" s="1"/>
  <c r="I458" i="1"/>
  <c r="J37" i="1" s="1"/>
  <c r="G36" i="2" s="1"/>
  <c r="I460" i="1"/>
  <c r="J48" i="1" s="1"/>
  <c r="G47" i="2" s="1"/>
  <c r="C49" i="2"/>
  <c r="H49" i="2" s="1"/>
  <c r="F56" i="2"/>
  <c r="C58" i="2"/>
  <c r="E58" i="2"/>
  <c r="C59" i="2"/>
  <c r="D59" i="2"/>
  <c r="E59" i="2"/>
  <c r="F59" i="2"/>
  <c r="D60" i="2"/>
  <c r="H60" i="2" s="1"/>
  <c r="C61" i="2"/>
  <c r="D61" i="2"/>
  <c r="E61" i="2"/>
  <c r="F61" i="2"/>
  <c r="C66" i="2"/>
  <c r="H66" i="2" s="1"/>
  <c r="C67" i="2"/>
  <c r="H67" i="2" s="1"/>
  <c r="C69" i="2"/>
  <c r="D69" i="2"/>
  <c r="D70" i="2" s="1"/>
  <c r="E69" i="2"/>
  <c r="E70" i="2" s="1"/>
  <c r="F69" i="2"/>
  <c r="F70" i="2" s="1"/>
  <c r="G69" i="2"/>
  <c r="G70" i="2" s="1"/>
  <c r="C72" i="2"/>
  <c r="H72" i="2" s="1"/>
  <c r="F72" i="2"/>
  <c r="C73" i="2"/>
  <c r="F73" i="2"/>
  <c r="C74" i="2"/>
  <c r="H74" i="2" s="1"/>
  <c r="C75" i="2"/>
  <c r="H75" i="2" s="1"/>
  <c r="C76" i="2"/>
  <c r="E76" i="2"/>
  <c r="F76" i="2"/>
  <c r="C77" i="2"/>
  <c r="D77" i="2"/>
  <c r="E77" i="2"/>
  <c r="F77" i="2"/>
  <c r="G77" i="2"/>
  <c r="G78" i="2" s="1"/>
  <c r="C79" i="2"/>
  <c r="D79" i="2"/>
  <c r="E79" i="2"/>
  <c r="C80" i="2"/>
  <c r="H80" i="2" s="1"/>
  <c r="E80" i="2"/>
  <c r="C85" i="2"/>
  <c r="F85" i="2"/>
  <c r="C87" i="2"/>
  <c r="E87" i="2"/>
  <c r="F87" i="2"/>
  <c r="C89" i="2"/>
  <c r="H89" i="2" s="1"/>
  <c r="D89" i="2"/>
  <c r="E89" i="2"/>
  <c r="F89" i="2"/>
  <c r="C90" i="2"/>
  <c r="H90" i="2" s="1"/>
  <c r="C93" i="2"/>
  <c r="H93" i="2" s="1"/>
  <c r="F93" i="2"/>
  <c r="C94" i="2"/>
  <c r="F94" i="2"/>
  <c r="D96" i="2"/>
  <c r="E96" i="2"/>
  <c r="F96" i="2"/>
  <c r="G96" i="2"/>
  <c r="H96" i="2" s="1"/>
  <c r="C97" i="2"/>
  <c r="D97" i="2"/>
  <c r="E97" i="2"/>
  <c r="F97" i="2"/>
  <c r="G97" i="2"/>
  <c r="C98" i="2"/>
  <c r="D98" i="2"/>
  <c r="E98" i="2"/>
  <c r="G98" i="2"/>
  <c r="C99" i="2"/>
  <c r="D99" i="2"/>
  <c r="E99" i="2"/>
  <c r="F99" i="2"/>
  <c r="C100" i="2"/>
  <c r="D100" i="2"/>
  <c r="E100" i="2"/>
  <c r="F100" i="2"/>
  <c r="C101" i="2"/>
  <c r="D101" i="2"/>
  <c r="E101" i="2"/>
  <c r="F101" i="2"/>
  <c r="C102" i="2"/>
  <c r="D102" i="2"/>
  <c r="E102" i="2"/>
  <c r="F102" i="2"/>
  <c r="C110" i="2"/>
  <c r="E111" i="2"/>
  <c r="C112" i="2"/>
  <c r="E112" i="2"/>
  <c r="D115" i="2"/>
  <c r="F115" i="2"/>
  <c r="G115" i="2"/>
  <c r="C119" i="2"/>
  <c r="E120" i="2"/>
  <c r="E124" i="2"/>
  <c r="C125" i="2"/>
  <c r="H125" i="2" s="1"/>
  <c r="E125" i="2"/>
  <c r="F128" i="2"/>
  <c r="G128" i="2"/>
  <c r="C130" i="2"/>
  <c r="D134" i="2"/>
  <c r="F134" i="2"/>
  <c r="K420" i="1"/>
  <c r="K428" i="1"/>
  <c r="K434" i="1"/>
  <c r="L264" i="1"/>
  <c r="C135" i="2" s="1"/>
  <c r="H135" i="2" s="1"/>
  <c r="L265" i="1"/>
  <c r="C136" i="2" s="1"/>
  <c r="H136" i="2" s="1"/>
  <c r="L266" i="1"/>
  <c r="C137" i="2" s="1"/>
  <c r="H137" i="2" s="1"/>
  <c r="B151" i="2"/>
  <c r="C151" i="2"/>
  <c r="D151" i="2"/>
  <c r="E151" i="2"/>
  <c r="F151" i="2"/>
  <c r="B152" i="2"/>
  <c r="C152" i="2"/>
  <c r="D152" i="2"/>
  <c r="E152" i="2"/>
  <c r="F152" i="2"/>
  <c r="B153" i="2"/>
  <c r="C153" i="2"/>
  <c r="D153" i="2"/>
  <c r="E153" i="2"/>
  <c r="F153" i="2"/>
  <c r="B154" i="2"/>
  <c r="C154" i="2"/>
  <c r="D154" i="2"/>
  <c r="E154" i="2"/>
  <c r="F154" i="2"/>
  <c r="B155" i="2"/>
  <c r="C155" i="2"/>
  <c r="D155" i="2"/>
  <c r="E155" i="2"/>
  <c r="F155" i="2"/>
  <c r="B156" i="2"/>
  <c r="C156" i="2"/>
  <c r="D156" i="2"/>
  <c r="E156" i="2"/>
  <c r="F156" i="2"/>
  <c r="B157" i="2"/>
  <c r="C157" i="2"/>
  <c r="D157" i="2"/>
  <c r="E157" i="2"/>
  <c r="F157" i="2"/>
  <c r="B158" i="2"/>
  <c r="C158" i="2"/>
  <c r="D158" i="2"/>
  <c r="E158" i="2"/>
  <c r="F158" i="2"/>
  <c r="B159" i="2"/>
  <c r="C159" i="2"/>
  <c r="D159" i="2"/>
  <c r="E159" i="2"/>
  <c r="F159" i="2"/>
  <c r="B160" i="2"/>
  <c r="C160" i="2"/>
  <c r="D160" i="2"/>
  <c r="E160" i="2"/>
  <c r="F160" i="2"/>
  <c r="F501" i="1"/>
  <c r="B161" i="2" s="1"/>
  <c r="G501" i="1"/>
  <c r="C161" i="2" s="1"/>
  <c r="H501" i="1"/>
  <c r="D161" i="2" s="1"/>
  <c r="I501" i="1"/>
  <c r="E161" i="2" s="1"/>
  <c r="J501" i="1"/>
  <c r="F161" i="2" s="1"/>
  <c r="B162" i="2"/>
  <c r="C162" i="2"/>
  <c r="D162" i="2"/>
  <c r="E162" i="2"/>
  <c r="F162" i="2"/>
  <c r="B163" i="2"/>
  <c r="C163" i="2"/>
  <c r="D163" i="2"/>
  <c r="E163" i="2"/>
  <c r="F163" i="2"/>
  <c r="F504" i="1"/>
  <c r="B164" i="2" s="1"/>
  <c r="G504" i="1"/>
  <c r="C164" i="2" s="1"/>
  <c r="H504" i="1"/>
  <c r="D164" i="2" s="1"/>
  <c r="I504" i="1"/>
  <c r="E164" i="2" s="1"/>
  <c r="J504" i="1"/>
  <c r="F164" i="2" s="1"/>
  <c r="F19" i="1"/>
  <c r="G618" i="1" s="1"/>
  <c r="G19" i="1"/>
  <c r="G619" i="1" s="1"/>
  <c r="H19" i="1"/>
  <c r="G620" i="1" s="1"/>
  <c r="I19" i="1"/>
  <c r="G621" i="1" s="1"/>
  <c r="F32" i="1"/>
  <c r="F52" i="1" s="1"/>
  <c r="H618" i="1" s="1"/>
  <c r="G32" i="1"/>
  <c r="G52" i="1" s="1"/>
  <c r="H619" i="1" s="1"/>
  <c r="H32" i="1"/>
  <c r="I32" i="1"/>
  <c r="H51" i="1"/>
  <c r="I51" i="1"/>
  <c r="F178" i="1"/>
  <c r="I178" i="1"/>
  <c r="F184" i="1"/>
  <c r="G184" i="1"/>
  <c r="H184" i="1"/>
  <c r="I184" i="1"/>
  <c r="J184" i="1"/>
  <c r="J193" i="1" s="1"/>
  <c r="F189" i="1"/>
  <c r="G189" i="1"/>
  <c r="H189" i="1"/>
  <c r="I189" i="1"/>
  <c r="F212" i="1"/>
  <c r="G212" i="1"/>
  <c r="H212" i="1"/>
  <c r="I212" i="1"/>
  <c r="J212" i="1"/>
  <c r="K212" i="1"/>
  <c r="F230" i="1"/>
  <c r="G230" i="1"/>
  <c r="H230" i="1"/>
  <c r="I230" i="1"/>
  <c r="J230" i="1"/>
  <c r="K230" i="1"/>
  <c r="F248" i="1"/>
  <c r="G248" i="1"/>
  <c r="H248" i="1"/>
  <c r="I248" i="1"/>
  <c r="J248" i="1"/>
  <c r="K248" i="1"/>
  <c r="F257" i="1"/>
  <c r="G257" i="1"/>
  <c r="H257" i="1"/>
  <c r="I257" i="1"/>
  <c r="J257" i="1"/>
  <c r="K257" i="1"/>
  <c r="F291" i="1"/>
  <c r="G291" i="1"/>
  <c r="H291" i="1"/>
  <c r="I291" i="1"/>
  <c r="F310" i="1"/>
  <c r="G310" i="1"/>
  <c r="H310" i="1"/>
  <c r="I310" i="1"/>
  <c r="F329" i="1"/>
  <c r="G329" i="1"/>
  <c r="H329" i="1"/>
  <c r="I329" i="1"/>
  <c r="F338" i="1"/>
  <c r="G338" i="1"/>
  <c r="H338" i="1"/>
  <c r="I338" i="1"/>
  <c r="J338" i="1"/>
  <c r="K338" i="1"/>
  <c r="F363" i="1"/>
  <c r="G363" i="1"/>
  <c r="H363" i="1"/>
  <c r="I363" i="1"/>
  <c r="G635" i="1" s="1"/>
  <c r="J363" i="1"/>
  <c r="K363" i="1"/>
  <c r="I369" i="1"/>
  <c r="F370" i="1"/>
  <c r="G370" i="1"/>
  <c r="H370" i="1"/>
  <c r="L382" i="1"/>
  <c r="F383" i="1"/>
  <c r="G383" i="1"/>
  <c r="H383" i="1"/>
  <c r="I383" i="1"/>
  <c r="J383" i="1"/>
  <c r="K383" i="1"/>
  <c r="F394" i="1"/>
  <c r="G394" i="1"/>
  <c r="H394" i="1"/>
  <c r="I394" i="1"/>
  <c r="F402" i="1"/>
  <c r="G402" i="1"/>
  <c r="H402" i="1"/>
  <c r="I402" i="1"/>
  <c r="F408" i="1"/>
  <c r="G408" i="1"/>
  <c r="H408" i="1"/>
  <c r="I408" i="1"/>
  <c r="F409" i="1"/>
  <c r="H644" i="1" s="1"/>
  <c r="L414" i="1"/>
  <c r="L415" i="1"/>
  <c r="L416" i="1"/>
  <c r="L417" i="1"/>
  <c r="L418" i="1"/>
  <c r="L419" i="1"/>
  <c r="F420" i="1"/>
  <c r="G420" i="1"/>
  <c r="H420" i="1"/>
  <c r="I420" i="1"/>
  <c r="J420" i="1"/>
  <c r="L422" i="1"/>
  <c r="L423" i="1"/>
  <c r="L424" i="1"/>
  <c r="L425" i="1"/>
  <c r="L426" i="1"/>
  <c r="L427" i="1"/>
  <c r="F428" i="1"/>
  <c r="G428" i="1"/>
  <c r="H428" i="1"/>
  <c r="I428" i="1"/>
  <c r="J428" i="1"/>
  <c r="L430" i="1"/>
  <c r="L431" i="1"/>
  <c r="L432" i="1"/>
  <c r="L433" i="1"/>
  <c r="F434" i="1"/>
  <c r="G434" i="1"/>
  <c r="H434" i="1"/>
  <c r="I434" i="1"/>
  <c r="J434" i="1"/>
  <c r="F447" i="1"/>
  <c r="G640" i="1" s="1"/>
  <c r="G447" i="1"/>
  <c r="G641" i="1" s="1"/>
  <c r="H447" i="1"/>
  <c r="G642" i="1" s="1"/>
  <c r="F453" i="1"/>
  <c r="G453" i="1"/>
  <c r="H453" i="1"/>
  <c r="F461" i="1"/>
  <c r="G461" i="1"/>
  <c r="H461" i="1"/>
  <c r="F471" i="1"/>
  <c r="G471" i="1"/>
  <c r="H471" i="1"/>
  <c r="I471" i="1"/>
  <c r="J471" i="1"/>
  <c r="F475" i="1"/>
  <c r="G475" i="1"/>
  <c r="H475" i="1"/>
  <c r="H477" i="1" s="1"/>
  <c r="H625" i="1" s="1"/>
  <c r="I475" i="1"/>
  <c r="J475" i="1"/>
  <c r="K496" i="1"/>
  <c r="K497" i="1"/>
  <c r="K498" i="1"/>
  <c r="K499" i="1"/>
  <c r="K500" i="1"/>
  <c r="K502" i="1"/>
  <c r="K503" i="1"/>
  <c r="F518" i="1"/>
  <c r="G518" i="1"/>
  <c r="H518" i="1"/>
  <c r="I518" i="1"/>
  <c r="F525" i="1"/>
  <c r="G525" i="1"/>
  <c r="H525" i="1"/>
  <c r="I525" i="1"/>
  <c r="J525" i="1"/>
  <c r="K525" i="1"/>
  <c r="F530" i="1"/>
  <c r="G530" i="1"/>
  <c r="H530" i="1"/>
  <c r="I530" i="1"/>
  <c r="J530" i="1"/>
  <c r="K530" i="1"/>
  <c r="F535" i="1"/>
  <c r="G535" i="1"/>
  <c r="H535" i="1"/>
  <c r="I535" i="1"/>
  <c r="J535" i="1"/>
  <c r="K535" i="1"/>
  <c r="F540" i="1"/>
  <c r="G540" i="1"/>
  <c r="H540" i="1"/>
  <c r="I540" i="1"/>
  <c r="J540" i="1"/>
  <c r="K540" i="1"/>
  <c r="F545" i="1"/>
  <c r="G545" i="1"/>
  <c r="H545" i="1"/>
  <c r="I545" i="1"/>
  <c r="J545" i="1"/>
  <c r="K545" i="1"/>
  <c r="L558" i="1"/>
  <c r="L559" i="1"/>
  <c r="L560" i="1"/>
  <c r="F561" i="1"/>
  <c r="G561" i="1"/>
  <c r="H561" i="1"/>
  <c r="I561" i="1"/>
  <c r="J561" i="1"/>
  <c r="K561" i="1"/>
  <c r="L563" i="1"/>
  <c r="L564" i="1"/>
  <c r="L565" i="1"/>
  <c r="F566" i="1"/>
  <c r="G566" i="1"/>
  <c r="H566" i="1"/>
  <c r="I566" i="1"/>
  <c r="J566" i="1"/>
  <c r="K566" i="1"/>
  <c r="L568" i="1"/>
  <c r="L569" i="1"/>
  <c r="L570" i="1"/>
  <c r="F571" i="1"/>
  <c r="G571" i="1"/>
  <c r="H571" i="1"/>
  <c r="I571" i="1"/>
  <c r="J571" i="1"/>
  <c r="K571" i="1"/>
  <c r="I576" i="1"/>
  <c r="I577" i="1"/>
  <c r="I578" i="1"/>
  <c r="I579" i="1"/>
  <c r="I580" i="1"/>
  <c r="I581" i="1"/>
  <c r="I582" i="1"/>
  <c r="I583" i="1"/>
  <c r="I584" i="1"/>
  <c r="I585" i="1"/>
  <c r="I586" i="1"/>
  <c r="I587" i="1"/>
  <c r="I588" i="1"/>
  <c r="K592" i="1"/>
  <c r="K593" i="1"/>
  <c r="K594" i="1"/>
  <c r="K595" i="1"/>
  <c r="K596" i="1"/>
  <c r="K597" i="1"/>
  <c r="K598" i="1"/>
  <c r="H599" i="1"/>
  <c r="H650" i="1" s="1"/>
  <c r="I599" i="1"/>
  <c r="H651" i="1" s="1"/>
  <c r="J599" i="1"/>
  <c r="H652" i="1" s="1"/>
  <c r="K603" i="1"/>
  <c r="K604" i="1"/>
  <c r="K605" i="1"/>
  <c r="H606" i="1"/>
  <c r="I606" i="1"/>
  <c r="J606" i="1"/>
  <c r="F615" i="1"/>
  <c r="G615" i="1"/>
  <c r="H615" i="1"/>
  <c r="I615" i="1"/>
  <c r="J615" i="1"/>
  <c r="K615" i="1"/>
  <c r="G623" i="1"/>
  <c r="G624" i="1"/>
  <c r="G625" i="1"/>
  <c r="H628" i="1"/>
  <c r="H629" i="1"/>
  <c r="H630" i="1"/>
  <c r="H631" i="1"/>
  <c r="H632" i="1"/>
  <c r="H633" i="1"/>
  <c r="H634" i="1"/>
  <c r="H636" i="1"/>
  <c r="H637" i="1"/>
  <c r="H638" i="1"/>
  <c r="H639" i="1"/>
  <c r="G644" i="1"/>
  <c r="G645" i="1"/>
  <c r="G646" i="1"/>
  <c r="G651" i="1"/>
  <c r="G652" i="1"/>
  <c r="H653" i="1"/>
  <c r="G654" i="1"/>
  <c r="H654" i="1"/>
  <c r="H655" i="1"/>
  <c r="H656" i="1"/>
  <c r="I170" i="1"/>
  <c r="H9" i="2" l="1"/>
  <c r="H94" i="2"/>
  <c r="H76" i="2"/>
  <c r="H69" i="2"/>
  <c r="H30" i="2"/>
  <c r="H28" i="2"/>
  <c r="H25" i="2"/>
  <c r="H24" i="2"/>
  <c r="H17" i="2"/>
  <c r="H15" i="2"/>
  <c r="H132" i="2"/>
  <c r="H36" i="2"/>
  <c r="H38" i="2"/>
  <c r="H43" i="2"/>
  <c r="H44" i="2"/>
  <c r="H13" i="2"/>
  <c r="C12" i="10"/>
  <c r="I409" i="1"/>
  <c r="H102" i="2"/>
  <c r="H101" i="2"/>
  <c r="H100" i="2"/>
  <c r="H99" i="2"/>
  <c r="H98" i="2"/>
  <c r="H87" i="2"/>
  <c r="H79" i="2"/>
  <c r="H73" i="2"/>
  <c r="H58" i="2"/>
  <c r="H23" i="2"/>
  <c r="H11" i="2"/>
  <c r="H143" i="2"/>
  <c r="E121" i="2"/>
  <c r="H48" i="2"/>
  <c r="D144" i="2"/>
  <c r="H97" i="2"/>
  <c r="H61" i="2"/>
  <c r="H34" i="2"/>
  <c r="H22" i="2"/>
  <c r="H21" i="2"/>
  <c r="G62" i="2"/>
  <c r="H59" i="2"/>
  <c r="J652" i="1"/>
  <c r="H47" i="2"/>
  <c r="G409" i="1"/>
  <c r="H646" i="1" s="1"/>
  <c r="J646" i="1" s="1"/>
  <c r="H112" i="2"/>
  <c r="D15" i="13"/>
  <c r="C15" i="13" s="1"/>
  <c r="C120" i="2"/>
  <c r="H120" i="2" s="1"/>
  <c r="D6" i="13"/>
  <c r="C6" i="13" s="1"/>
  <c r="C121" i="2"/>
  <c r="C13" i="10"/>
  <c r="H27" i="2"/>
  <c r="H8" i="2"/>
  <c r="A40" i="12"/>
  <c r="H12" i="2"/>
  <c r="G477" i="1"/>
  <c r="H624" i="1" s="1"/>
  <c r="J624" i="1" s="1"/>
  <c r="G662" i="1"/>
  <c r="D78" i="2"/>
  <c r="H77" i="2"/>
  <c r="E119" i="2"/>
  <c r="H119" i="2" s="1"/>
  <c r="H409" i="1"/>
  <c r="H645" i="1" s="1"/>
  <c r="J645" i="1" s="1"/>
  <c r="G339" i="1"/>
  <c r="G353" i="1" s="1"/>
  <c r="J258" i="1"/>
  <c r="J272" i="1" s="1"/>
  <c r="E123" i="2"/>
  <c r="E110" i="2"/>
  <c r="H110" i="2" s="1"/>
  <c r="K339" i="1"/>
  <c r="K353" i="1" s="1"/>
  <c r="J656" i="1"/>
  <c r="J572" i="1"/>
  <c r="D50" i="2"/>
  <c r="E131" i="2"/>
  <c r="H131" i="2" s="1"/>
  <c r="G553" i="1"/>
  <c r="H663" i="1"/>
  <c r="F258" i="1"/>
  <c r="F272" i="1" s="1"/>
  <c r="C20" i="10"/>
  <c r="I370" i="1"/>
  <c r="H635" i="1" s="1"/>
  <c r="J635" i="1" s="1"/>
  <c r="L257" i="1"/>
  <c r="H193" i="1"/>
  <c r="C11" i="10"/>
  <c r="A31" i="12"/>
  <c r="E114" i="2"/>
  <c r="E85" i="2"/>
  <c r="E91" i="2" s="1"/>
  <c r="H112" i="1"/>
  <c r="L402" i="1"/>
  <c r="C139" i="2" s="1"/>
  <c r="H139" i="2" s="1"/>
  <c r="C91" i="2"/>
  <c r="H462" i="1"/>
  <c r="H642" i="1" s="1"/>
  <c r="J642" i="1" s="1"/>
  <c r="F339" i="1"/>
  <c r="F353" i="1" s="1"/>
  <c r="L561" i="1"/>
  <c r="J625" i="1"/>
  <c r="G462" i="1"/>
  <c r="H641" i="1" s="1"/>
  <c r="J641" i="1" s="1"/>
  <c r="E103" i="2"/>
  <c r="D18" i="2"/>
  <c r="H553" i="1"/>
  <c r="L310" i="1"/>
  <c r="I546" i="1"/>
  <c r="F462" i="1"/>
  <c r="H640" i="1" s="1"/>
  <c r="J640" i="1" s="1"/>
  <c r="K606" i="1"/>
  <c r="G649" i="1" s="1"/>
  <c r="H258" i="1"/>
  <c r="H272" i="1" s="1"/>
  <c r="I52" i="1"/>
  <c r="H621" i="1" s="1"/>
  <c r="J621" i="1" s="1"/>
  <c r="D31" i="2"/>
  <c r="E31" i="2"/>
  <c r="C18" i="2"/>
  <c r="F18" i="2"/>
  <c r="L271" i="1"/>
  <c r="F662" i="1"/>
  <c r="F572" i="1"/>
  <c r="L420" i="1"/>
  <c r="D91" i="2"/>
  <c r="D81" i="2"/>
  <c r="E78" i="2"/>
  <c r="E81" i="2" s="1"/>
  <c r="G546" i="1"/>
  <c r="J644" i="1"/>
  <c r="F112" i="1"/>
  <c r="L394" i="1"/>
  <c r="C138" i="2" s="1"/>
  <c r="H138" i="2" s="1"/>
  <c r="L363" i="1"/>
  <c r="B17" i="16" s="1"/>
  <c r="B19" i="16" s="1"/>
  <c r="B28" i="16"/>
  <c r="L329" i="1"/>
  <c r="E122" i="2"/>
  <c r="L291" i="1"/>
  <c r="L615" i="1"/>
  <c r="K599" i="1"/>
  <c r="G648" i="1" s="1"/>
  <c r="K572" i="1"/>
  <c r="L571" i="1"/>
  <c r="H572" i="1"/>
  <c r="L566" i="1"/>
  <c r="L572" i="1" s="1"/>
  <c r="I572" i="1"/>
  <c r="K546" i="1"/>
  <c r="H52" i="1"/>
  <c r="H620" i="1" s="1"/>
  <c r="J620" i="1" s="1"/>
  <c r="C114" i="2"/>
  <c r="H114" i="2" s="1"/>
  <c r="G112" i="1"/>
  <c r="B10" i="16" s="1"/>
  <c r="E118" i="2"/>
  <c r="L248" i="1"/>
  <c r="L212" i="1"/>
  <c r="H648" i="1"/>
  <c r="G626" i="1"/>
  <c r="L530" i="1"/>
  <c r="H546" i="1"/>
  <c r="G164" i="2"/>
  <c r="G161" i="2"/>
  <c r="G157" i="2"/>
  <c r="G156" i="2"/>
  <c r="G81" i="2"/>
  <c r="C78" i="2"/>
  <c r="F78" i="2"/>
  <c r="F81" i="2" s="1"/>
  <c r="C70" i="2"/>
  <c r="H70" i="2" s="1"/>
  <c r="D62" i="2"/>
  <c r="E57" i="2"/>
  <c r="E62" i="2" s="1"/>
  <c r="E63" i="2" s="1"/>
  <c r="C26" i="10"/>
  <c r="C18" i="10"/>
  <c r="J546" i="1"/>
  <c r="I477" i="1"/>
  <c r="H626" i="1" s="1"/>
  <c r="J477" i="1"/>
  <c r="H627" i="1" s="1"/>
  <c r="F477" i="1"/>
  <c r="H623" i="1" s="1"/>
  <c r="J623" i="1" s="1"/>
  <c r="L434" i="1"/>
  <c r="L428" i="1"/>
  <c r="I258" i="1"/>
  <c r="I272" i="1" s="1"/>
  <c r="K258" i="1"/>
  <c r="K272" i="1" s="1"/>
  <c r="G193" i="1"/>
  <c r="B13" i="16" s="1"/>
  <c r="F193" i="1"/>
  <c r="J553" i="1"/>
  <c r="I553" i="1"/>
  <c r="K550" i="1"/>
  <c r="F553" i="1"/>
  <c r="L352" i="1"/>
  <c r="F130" i="2"/>
  <c r="G170" i="1"/>
  <c r="B12" i="16" s="1"/>
  <c r="J618" i="1"/>
  <c r="K552" i="1"/>
  <c r="I25" i="13"/>
  <c r="K551" i="1"/>
  <c r="L535" i="1"/>
  <c r="K501" i="1"/>
  <c r="I461" i="1"/>
  <c r="I453" i="1"/>
  <c r="I447" i="1"/>
  <c r="G643" i="1" s="1"/>
  <c r="H339" i="1"/>
  <c r="H353" i="1" s="1"/>
  <c r="C123" i="2"/>
  <c r="E109" i="2"/>
  <c r="C56" i="2"/>
  <c r="H56" i="2" s="1"/>
  <c r="F663" i="1"/>
  <c r="C25" i="10"/>
  <c r="C21" i="10"/>
  <c r="C17" i="10"/>
  <c r="D19" i="13"/>
  <c r="C19" i="13" s="1"/>
  <c r="D14" i="13"/>
  <c r="C14" i="13" s="1"/>
  <c r="C62" i="2"/>
  <c r="G22" i="13"/>
  <c r="C22" i="13" s="1"/>
  <c r="L540" i="1"/>
  <c r="K504" i="1"/>
  <c r="L383" i="1"/>
  <c r="G637" i="1" s="1"/>
  <c r="J637" i="1" s="1"/>
  <c r="G258" i="1"/>
  <c r="G272" i="1" s="1"/>
  <c r="C142" i="2"/>
  <c r="H142" i="2" s="1"/>
  <c r="C111" i="2"/>
  <c r="H111" i="2" s="1"/>
  <c r="H662" i="1"/>
  <c r="C15" i="10"/>
  <c r="A13" i="12"/>
  <c r="D29" i="13"/>
  <c r="C29" i="13" s="1"/>
  <c r="D12" i="13"/>
  <c r="C12" i="13" s="1"/>
  <c r="D5" i="13"/>
  <c r="C5" i="13" s="1"/>
  <c r="E8" i="13"/>
  <c r="C8" i="13" s="1"/>
  <c r="C35" i="10"/>
  <c r="C29" i="10"/>
  <c r="G650" i="1"/>
  <c r="J650" i="1" s="1"/>
  <c r="L545" i="1"/>
  <c r="L525" i="1"/>
  <c r="J339" i="1"/>
  <c r="J353" i="1" s="1"/>
  <c r="D127" i="2"/>
  <c r="C124" i="2"/>
  <c r="H124" i="2" s="1"/>
  <c r="C122" i="2"/>
  <c r="H122" i="2" s="1"/>
  <c r="C118" i="2"/>
  <c r="C19" i="10"/>
  <c r="C16" i="10"/>
  <c r="D17" i="13"/>
  <c r="C17" i="13" s="1"/>
  <c r="D7" i="13"/>
  <c r="C7" i="13" s="1"/>
  <c r="E16" i="13"/>
  <c r="C16" i="13" s="1"/>
  <c r="C10" i="10"/>
  <c r="C109" i="2"/>
  <c r="L230" i="1"/>
  <c r="G24" i="14" s="1"/>
  <c r="H24" i="14" s="1"/>
  <c r="I24" i="14" s="1"/>
  <c r="L338" i="1"/>
  <c r="F62" i="2"/>
  <c r="F63" i="2" s="1"/>
  <c r="C23" i="10"/>
  <c r="G163" i="2"/>
  <c r="G162" i="2"/>
  <c r="G160" i="2"/>
  <c r="G159" i="2"/>
  <c r="G158" i="2"/>
  <c r="G103" i="2"/>
  <c r="F103" i="2"/>
  <c r="C103" i="2"/>
  <c r="F91" i="2"/>
  <c r="E50" i="2"/>
  <c r="C50" i="2"/>
  <c r="F31" i="2"/>
  <c r="C31" i="2"/>
  <c r="E18" i="2"/>
  <c r="E144" i="2"/>
  <c r="F50" i="2"/>
  <c r="C24" i="10"/>
  <c r="H31" i="13"/>
  <c r="H33" i="13" s="1"/>
  <c r="I339" i="1"/>
  <c r="I353" i="1" s="1"/>
  <c r="J651" i="1"/>
  <c r="L408" i="1"/>
  <c r="C140" i="2" s="1"/>
  <c r="H140" i="2" s="1"/>
  <c r="I193" i="1"/>
  <c r="J655" i="1"/>
  <c r="J654" i="1"/>
  <c r="G21" i="2"/>
  <c r="G31" i="2" s="1"/>
  <c r="J32" i="1"/>
  <c r="J435" i="1"/>
  <c r="F435" i="1"/>
  <c r="K435" i="1"/>
  <c r="G134" i="2" s="1"/>
  <c r="G144" i="2" s="1"/>
  <c r="G145" i="2" s="1"/>
  <c r="G31" i="13"/>
  <c r="J194" i="1"/>
  <c r="G647" i="1" s="1"/>
  <c r="G140" i="1"/>
  <c r="B11" i="16" s="1"/>
  <c r="F140" i="1"/>
  <c r="G63" i="2"/>
  <c r="J619" i="1"/>
  <c r="G42" i="2"/>
  <c r="G50" i="2" s="1"/>
  <c r="J51" i="1"/>
  <c r="G16" i="2"/>
  <c r="G18" i="2" s="1"/>
  <c r="J19" i="1"/>
  <c r="G622" i="1" s="1"/>
  <c r="F546" i="1"/>
  <c r="H435" i="1"/>
  <c r="D103" i="2"/>
  <c r="I140" i="1"/>
  <c r="A22" i="12"/>
  <c r="J653" i="1"/>
  <c r="G572" i="1"/>
  <c r="I435" i="1"/>
  <c r="G435" i="1"/>
  <c r="I664" i="1"/>
  <c r="I663" i="1" l="1"/>
  <c r="H134" i="2"/>
  <c r="H85" i="2"/>
  <c r="H103" i="2"/>
  <c r="H121" i="2"/>
  <c r="H16" i="2"/>
  <c r="H42" i="2"/>
  <c r="H57" i="2"/>
  <c r="H118" i="2"/>
  <c r="H123" i="2"/>
  <c r="C81" i="2"/>
  <c r="H81" i="2" s="1"/>
  <c r="F194" i="1"/>
  <c r="G628" i="1" s="1"/>
  <c r="J628" i="1" s="1"/>
  <c r="H50" i="2"/>
  <c r="E128" i="2"/>
  <c r="F661" i="1"/>
  <c r="F665" i="1" s="1"/>
  <c r="F668" i="1" s="1"/>
  <c r="E115" i="2"/>
  <c r="H109" i="2"/>
  <c r="H91" i="2"/>
  <c r="H78" i="2"/>
  <c r="E51" i="2"/>
  <c r="H18" i="2"/>
  <c r="B33" i="16"/>
  <c r="D128" i="2"/>
  <c r="H127" i="2"/>
  <c r="D63" i="2"/>
  <c r="H62" i="2"/>
  <c r="D51" i="2"/>
  <c r="H31" i="2"/>
  <c r="F144" i="2"/>
  <c r="H130" i="2"/>
  <c r="H661" i="1"/>
  <c r="H665" i="1" s="1"/>
  <c r="H668" i="1" s="1"/>
  <c r="H194" i="1"/>
  <c r="G630" i="1" s="1"/>
  <c r="J630" i="1" s="1"/>
  <c r="H649" i="1"/>
  <c r="J649" i="1" s="1"/>
  <c r="C141" i="2"/>
  <c r="F51" i="2"/>
  <c r="G36" i="14"/>
  <c r="H36" i="14" s="1"/>
  <c r="I36" i="14" s="1"/>
  <c r="E104" i="2"/>
  <c r="C36" i="10"/>
  <c r="L435" i="1"/>
  <c r="G639" i="1" s="1"/>
  <c r="J639" i="1" s="1"/>
  <c r="I662" i="1"/>
  <c r="G104" i="2"/>
  <c r="L339" i="1"/>
  <c r="L353" i="1" s="1"/>
  <c r="G634" i="1" s="1"/>
  <c r="J634" i="1" s="1"/>
  <c r="I194" i="1"/>
  <c r="G631" i="1" s="1"/>
  <c r="J631" i="1" s="1"/>
  <c r="G636" i="1"/>
  <c r="J636" i="1" s="1"/>
  <c r="G51" i="2"/>
  <c r="D104" i="2"/>
  <c r="L409" i="1"/>
  <c r="C27" i="10"/>
  <c r="C28" i="10" s="1"/>
  <c r="D23" i="10" s="1"/>
  <c r="G4" i="14"/>
  <c r="H4" i="14" s="1"/>
  <c r="I4" i="14" s="1"/>
  <c r="L546" i="1"/>
  <c r="J626" i="1"/>
  <c r="F104" i="2"/>
  <c r="B14" i="16"/>
  <c r="B22" i="16" s="1"/>
  <c r="E33" i="13"/>
  <c r="D35" i="13" s="1"/>
  <c r="J648" i="1"/>
  <c r="L258" i="1"/>
  <c r="L272" i="1" s="1"/>
  <c r="G633" i="1" s="1"/>
  <c r="J633" i="1" s="1"/>
  <c r="C115" i="2"/>
  <c r="C63" i="2"/>
  <c r="C39" i="10"/>
  <c r="G33" i="13"/>
  <c r="C128" i="2"/>
  <c r="D31" i="13"/>
  <c r="C31" i="13" s="1"/>
  <c r="I462" i="1"/>
  <c r="H643" i="1" s="1"/>
  <c r="J643" i="1" s="1"/>
  <c r="G661" i="1"/>
  <c r="G665" i="1" s="1"/>
  <c r="G673" i="1" s="1"/>
  <c r="C5" i="10" s="1"/>
  <c r="C25" i="13"/>
  <c r="I33" i="13"/>
  <c r="K553" i="1"/>
  <c r="C51" i="2"/>
  <c r="G632" i="1"/>
  <c r="J632" i="1" s="1"/>
  <c r="G194" i="1"/>
  <c r="G629" i="1" s="1"/>
  <c r="J629" i="1" s="1"/>
  <c r="G627" i="1"/>
  <c r="J627" i="1" s="1"/>
  <c r="J52" i="1"/>
  <c r="H622" i="1" s="1"/>
  <c r="J622" i="1" s="1"/>
  <c r="C38" i="10"/>
  <c r="C104" i="2" l="1"/>
  <c r="C144" i="2"/>
  <c r="H144" i="2" s="1"/>
  <c r="H141" i="2"/>
  <c r="H115" i="2"/>
  <c r="H63" i="2"/>
  <c r="E145" i="2"/>
  <c r="H104" i="2"/>
  <c r="H51" i="2"/>
  <c r="D145" i="2"/>
  <c r="H128" i="2"/>
  <c r="H673" i="1"/>
  <c r="C6" i="10" s="1"/>
  <c r="F145" i="2"/>
  <c r="F673" i="1"/>
  <c r="C4" i="10" s="1"/>
  <c r="I661" i="1"/>
  <c r="I665" i="1" s="1"/>
  <c r="I673" i="1" s="1"/>
  <c r="C7" i="10" s="1"/>
  <c r="G668" i="1"/>
  <c r="D25" i="10"/>
  <c r="G638" i="1"/>
  <c r="J638" i="1" s="1"/>
  <c r="H647" i="1"/>
  <c r="J647" i="1" s="1"/>
  <c r="D22" i="10"/>
  <c r="D18" i="10"/>
  <c r="D27" i="10"/>
  <c r="D15" i="10"/>
  <c r="D21" i="10"/>
  <c r="D24" i="10"/>
  <c r="D20" i="10"/>
  <c r="D11" i="10"/>
  <c r="D12" i="10"/>
  <c r="D13" i="10"/>
  <c r="D17" i="10"/>
  <c r="D19" i="10"/>
  <c r="D10" i="10"/>
  <c r="D26" i="10"/>
  <c r="C30" i="10"/>
  <c r="D16" i="10"/>
  <c r="D33" i="13"/>
  <c r="D36" i="13" s="1"/>
  <c r="C41" i="10"/>
  <c r="D38" i="10" s="1"/>
  <c r="C145" i="2" l="1"/>
  <c r="H145" i="2" s="1"/>
  <c r="H657" i="1"/>
  <c r="I668" i="1"/>
  <c r="D28" i="10"/>
  <c r="D37" i="10"/>
  <c r="D36" i="10"/>
  <c r="D35" i="10"/>
  <c r="D40" i="10"/>
  <c r="D39" i="10"/>
  <c r="D41" i="10" l="1"/>
</calcChain>
</file>

<file path=xl/comments1.xml><?xml version="1.0" encoding="utf-8"?>
<comments xmlns="http://schemas.openxmlformats.org/spreadsheetml/2006/main" xmlns:mc="http://schemas.openxmlformats.org/markup-compatibility/2006" xmlns:xr="http://schemas.microsoft.com/office/spreadsheetml/2014/revision" mc:Ignorable="xr">
  <authors>
    <author>Ron  Leclerc</author>
    <author>Welch, Matthew</author>
  </authors>
  <commentList>
    <comment ref="F57" authorId="0" shapeId="0" xr:uid="{00000000-0006-0000-0000-000001000000}">
      <text>
        <r>
          <rPr>
            <sz val="8"/>
            <color indexed="81"/>
            <rFont val="Tahoma"/>
            <family val="2"/>
          </rPr>
          <t xml:space="preserve">Only report the amount raise locally to support education.  Do not report the amount raise from the Statewide Property Tax.  That amount should be reported on  Page 4.
</t>
        </r>
      </text>
    </comment>
    <comment ref="A61" authorId="0" shapeId="0" xr:uid="{00000000-0006-0000-0000-000002000000}">
      <text>
        <r>
          <rPr>
            <sz val="8"/>
            <color indexed="81"/>
            <rFont val="Tahoma"/>
            <family val="2"/>
          </rPr>
          <t xml:space="preserve">Please be careful in reporting the tuition revenue to the appropriate category. Example, tuition paid by Parents vs. tuition paid by other LEA’s.
</t>
        </r>
      </text>
    </comment>
    <comment ref="A81" authorId="0" shapeId="0" xr:uid="{00000000-0006-0000-0000-000003000000}">
      <text>
        <r>
          <rPr>
            <sz val="8"/>
            <color indexed="81"/>
            <rFont val="Tahoma"/>
            <family val="2"/>
          </rPr>
          <t xml:space="preserve">Please be careful in reporting the transportation revenue to the appropriate category.  Example, transportation paid by Parents vs. transportation paid by other LEA’s.
</t>
        </r>
      </text>
    </comment>
    <comment ref="A93" authorId="0" shapeId="0" xr:uid="{00000000-0006-0000-0000-000004000000}">
      <text>
        <r>
          <rPr>
            <sz val="8"/>
            <color indexed="81"/>
            <rFont val="Tahoma"/>
            <family val="2"/>
          </rPr>
          <t xml:space="preserve">Note:  Transportation Fees received for non-student related transportation services
</t>
        </r>
      </text>
    </comment>
    <comment ref="A114" authorId="0" shapeId="0" xr:uid="{00000000-0006-0000-0000-000005000000}">
      <text>
        <r>
          <rPr>
            <sz val="8"/>
            <color indexed="81"/>
            <rFont val="Tahoma"/>
            <family val="2"/>
          </rPr>
          <t xml:space="preserve">Please report to the appropriate category your state revenues.  Please refer to document  State Aid (Partial Listing), for the amounts to report in this section. 
</t>
        </r>
      </text>
    </comment>
    <comment ref="F118" authorId="0" shapeId="0" xr:uid="{00000000-0006-0000-0000-000006000000}">
      <text>
        <r>
          <rPr>
            <sz val="8"/>
            <color indexed="81"/>
            <rFont val="Tahoma"/>
            <family val="2"/>
          </rPr>
          <t xml:space="preserve">Only report that amount raise from the Statewide Property  Tax.
</t>
        </r>
      </text>
    </comment>
    <comment ref="G132" authorId="0" shapeId="0" xr:uid="{00000000-0006-0000-0000-000007000000}">
      <text>
        <r>
          <rPr>
            <sz val="8"/>
            <color indexed="81"/>
            <rFont val="Tahoma"/>
            <family val="2"/>
          </rPr>
          <t xml:space="preserve">Only report the state’s share of the revenue on this page.  Do not lump sum the state and federal revenues.
</t>
        </r>
      </text>
    </comment>
    <comment ref="G158" authorId="0" shapeId="0" xr:uid="{00000000-0006-0000-0000-000008000000}">
      <text>
        <r>
          <rPr>
            <sz val="8"/>
            <color indexed="81"/>
            <rFont val="Tahoma"/>
            <family val="2"/>
          </rPr>
          <t xml:space="preserve">Only report the federal share of the revenue on this page.  Do not lump sum the 
 federal and state revenues. 
</t>
        </r>
      </text>
    </comment>
    <comment ref="A492" authorId="0" shapeId="0" xr:uid="{00000000-0006-0000-0000-000009000000}">
      <text>
        <r>
          <rPr>
            <sz val="8"/>
            <color indexed="81"/>
            <rFont val="Tahoma"/>
            <family val="2"/>
          </rPr>
          <t xml:space="preserve">Please use the Month slash Year Format.  For example: July 2001 = 07/01
</t>
        </r>
      </text>
    </comment>
    <comment ref="K599" authorId="0" shapeId="0" xr:uid="{00000000-0006-0000-0000-00000A000000}">
      <text>
        <r>
          <rPr>
            <sz val="8"/>
            <color indexed="81"/>
            <rFont val="Tahoma"/>
            <family val="2"/>
          </rPr>
          <t xml:space="preserve">The total reported here must agree with the total transportation expenditures reported on Pages 7, 8, and 9.
</t>
        </r>
      </text>
    </comment>
    <comment ref="K606" authorId="0" shapeId="0" xr:uid="{00000000-0006-0000-0000-00000B000000}">
      <text>
        <r>
          <rPr>
            <sz val="8"/>
            <color indexed="81"/>
            <rFont val="Tahoma"/>
            <family val="2"/>
          </rPr>
          <t xml:space="preserve">The total reported here must agree with the total reported on Pages 10 and 14  minus Function 4000 (Facilities Acquisition) for 
 property.
</t>
        </r>
      </text>
    </comment>
    <comment ref="J618" authorId="1" shapeId="0" xr:uid="{00000000-0006-0000-0000-00000C000000}">
      <text>
        <r>
          <rPr>
            <b/>
            <sz val="9"/>
            <color indexed="81"/>
            <rFont val="Tahoma"/>
            <family val="2"/>
          </rPr>
          <t>Total Current Assets equal Total Liabilities &amp; Equity for General Fund 10</t>
        </r>
      </text>
    </comment>
    <comment ref="J619" authorId="1" shapeId="0" xr:uid="{00000000-0006-0000-0000-00000D000000}">
      <text>
        <r>
          <rPr>
            <b/>
            <sz val="9"/>
            <color indexed="81"/>
            <rFont val="Tahoma"/>
            <family val="2"/>
          </rPr>
          <t>Total Current Assets equal Total Liabilities &amp; Equity for Food Service Fund 21</t>
        </r>
        <r>
          <rPr>
            <sz val="9"/>
            <color indexed="81"/>
            <rFont val="Tahoma"/>
            <family val="2"/>
          </rPr>
          <t xml:space="preserve">
</t>
        </r>
      </text>
    </comment>
    <comment ref="J620" authorId="1" shapeId="0" xr:uid="{00000000-0006-0000-0000-00000E000000}">
      <text>
        <r>
          <rPr>
            <b/>
            <sz val="9"/>
            <color indexed="81"/>
            <rFont val="Tahoma"/>
            <family val="2"/>
          </rPr>
          <t>Total Current Assets equal Total Liabilities &amp; Equity for All Other Special Revenue Fund 22</t>
        </r>
        <r>
          <rPr>
            <sz val="9"/>
            <color indexed="81"/>
            <rFont val="Tahoma"/>
            <family val="2"/>
          </rPr>
          <t xml:space="preserve">
</t>
        </r>
      </text>
    </comment>
    <comment ref="J621" authorId="1" shapeId="0" xr:uid="{00000000-0006-0000-0000-00000F000000}">
      <text>
        <r>
          <rPr>
            <b/>
            <sz val="9"/>
            <color indexed="81"/>
            <rFont val="Tahoma"/>
            <family val="2"/>
          </rPr>
          <t>Total Current Assets equal Total Liabilities &amp; Equity for Capital Projects Fund 30</t>
        </r>
        <r>
          <rPr>
            <sz val="9"/>
            <color indexed="81"/>
            <rFont val="Tahoma"/>
            <family val="2"/>
          </rPr>
          <t xml:space="preserve">
</t>
        </r>
      </text>
    </comment>
    <comment ref="J622" authorId="1" shapeId="0" xr:uid="{00000000-0006-0000-0000-000010000000}">
      <text>
        <r>
          <rPr>
            <b/>
            <sz val="9"/>
            <color indexed="81"/>
            <rFont val="Tahoma"/>
            <family val="2"/>
          </rPr>
          <t>Total Current Assets equal Total Liabilities &amp; Equity for Trust Agency Fund 70</t>
        </r>
        <r>
          <rPr>
            <sz val="9"/>
            <color indexed="81"/>
            <rFont val="Tahoma"/>
            <family val="2"/>
          </rPr>
          <t xml:space="preserve">
</t>
        </r>
      </text>
    </comment>
    <comment ref="J623" authorId="1" shapeId="0" xr:uid="{00000000-0006-0000-0000-000011000000}">
      <text>
        <r>
          <rPr>
            <b/>
            <sz val="9"/>
            <color indexed="81"/>
            <rFont val="Tahoma"/>
            <family val="2"/>
          </rPr>
          <t>Total Fund Equity on Balance Sheet equals ending fund balance on page 19 for General Fund 10</t>
        </r>
        <r>
          <rPr>
            <sz val="9"/>
            <color indexed="81"/>
            <rFont val="Tahoma"/>
            <family val="2"/>
          </rPr>
          <t xml:space="preserve">
</t>
        </r>
      </text>
    </comment>
    <comment ref="J624" authorId="1" shapeId="0" xr:uid="{00000000-0006-0000-0000-000012000000}">
      <text>
        <r>
          <rPr>
            <b/>
            <sz val="9"/>
            <color indexed="81"/>
            <rFont val="Tahoma"/>
            <family val="2"/>
          </rPr>
          <t>Total Fund Equity on Balance Sheet equals ending fund balance on page 19 for Food Service Fund 21</t>
        </r>
        <r>
          <rPr>
            <sz val="9"/>
            <color indexed="81"/>
            <rFont val="Tahoma"/>
            <family val="2"/>
          </rPr>
          <t xml:space="preserve">
</t>
        </r>
      </text>
    </comment>
    <comment ref="J625" authorId="1" shapeId="0" xr:uid="{00000000-0006-0000-0000-000013000000}">
      <text>
        <r>
          <rPr>
            <b/>
            <sz val="9"/>
            <color indexed="81"/>
            <rFont val="Tahoma"/>
            <family val="2"/>
          </rPr>
          <t>Total Fund Equity on Balance Sheet equals ending fund balance on page 19 for All Other Special Revenue Fund 22</t>
        </r>
        <r>
          <rPr>
            <sz val="9"/>
            <color indexed="81"/>
            <rFont val="Tahoma"/>
            <family val="2"/>
          </rPr>
          <t xml:space="preserve">
</t>
        </r>
      </text>
    </comment>
    <comment ref="J626" authorId="1" shapeId="0" xr:uid="{00000000-0006-0000-0000-000014000000}">
      <text>
        <r>
          <rPr>
            <b/>
            <sz val="9"/>
            <color indexed="81"/>
            <rFont val="Tahoma"/>
            <family val="2"/>
          </rPr>
          <t>Total Fund Equity on Balance Sheet equals ending fund balance on page 19 for Capital Projects Fund 30</t>
        </r>
      </text>
    </comment>
    <comment ref="J627" authorId="1" shapeId="0" xr:uid="{00000000-0006-0000-0000-000015000000}">
      <text>
        <r>
          <rPr>
            <b/>
            <sz val="9"/>
            <color indexed="81"/>
            <rFont val="Tahoma"/>
            <family val="2"/>
          </rPr>
          <t>Total Fund Equity on Balance Sheet equals ending fund balance on page 19 for Trust Agency Fund 70</t>
        </r>
        <r>
          <rPr>
            <sz val="9"/>
            <color indexed="81"/>
            <rFont val="Tahoma"/>
            <family val="2"/>
          </rPr>
          <t xml:space="preserve">
</t>
        </r>
      </text>
    </comment>
    <comment ref="J628" authorId="1" shapeId="0" xr:uid="{00000000-0006-0000-0000-000016000000}">
      <text>
        <r>
          <rPr>
            <b/>
            <sz val="9"/>
            <color indexed="81"/>
            <rFont val="Tahoma"/>
            <family val="2"/>
          </rPr>
          <t>Total Revenue &amp; Other Financing Sources on Page 6 equals Revenue reported on Page 19 for General Fund 10</t>
        </r>
        <r>
          <rPr>
            <sz val="9"/>
            <color indexed="81"/>
            <rFont val="Tahoma"/>
            <family val="2"/>
          </rPr>
          <t xml:space="preserve">
</t>
        </r>
      </text>
    </comment>
    <comment ref="J629" authorId="1" shapeId="0" xr:uid="{00000000-0006-0000-0000-000017000000}">
      <text>
        <r>
          <rPr>
            <b/>
            <sz val="9"/>
            <color indexed="81"/>
            <rFont val="Tahoma"/>
            <family val="2"/>
          </rPr>
          <t>Total Revenue &amp; Other Financing Sources on Page 6 equals Revenue reported on Page 19 for Food Service Fund 21</t>
        </r>
        <r>
          <rPr>
            <sz val="9"/>
            <color indexed="81"/>
            <rFont val="Tahoma"/>
            <family val="2"/>
          </rPr>
          <t xml:space="preserve">
</t>
        </r>
      </text>
    </comment>
    <comment ref="J630" authorId="1" shapeId="0" xr:uid="{00000000-0006-0000-0000-000018000000}">
      <text>
        <r>
          <rPr>
            <b/>
            <sz val="9"/>
            <color indexed="81"/>
            <rFont val="Tahoma"/>
            <family val="2"/>
          </rPr>
          <t>Total Revenue &amp; Other Financing Sources on Page 6 equals Revenue reported on Page 19 for All Other Special Revenue Fund 22</t>
        </r>
      </text>
    </comment>
    <comment ref="J631" authorId="1" shapeId="0" xr:uid="{00000000-0006-0000-0000-000019000000}">
      <text>
        <r>
          <rPr>
            <b/>
            <sz val="9"/>
            <color indexed="81"/>
            <rFont val="Tahoma"/>
            <family val="2"/>
          </rPr>
          <t>Total Revenue &amp; Other Financing Sources on Page 6 equals Revenue reported on Page 19 for Capital Projects Fund 30</t>
        </r>
        <r>
          <rPr>
            <sz val="9"/>
            <color indexed="81"/>
            <rFont val="Tahoma"/>
            <family val="2"/>
          </rPr>
          <t xml:space="preserve">
</t>
        </r>
      </text>
    </comment>
    <comment ref="J632" authorId="1" shapeId="0" xr:uid="{00000000-0006-0000-0000-00001A000000}">
      <text>
        <r>
          <rPr>
            <b/>
            <sz val="9"/>
            <color indexed="81"/>
            <rFont val="Tahoma"/>
            <family val="2"/>
          </rPr>
          <t>Total Revenue &amp; Other Financing Sources on Page 6 equals Revenue reported on Page 19 for Trust Agency Fund 70</t>
        </r>
        <r>
          <rPr>
            <sz val="9"/>
            <color indexed="81"/>
            <rFont val="Tahoma"/>
            <family val="2"/>
          </rPr>
          <t xml:space="preserve">
</t>
        </r>
      </text>
    </comment>
    <comment ref="J633" authorId="1" shapeId="0" xr:uid="{00000000-0006-0000-0000-00001B000000}">
      <text>
        <r>
          <rPr>
            <b/>
            <sz val="9"/>
            <color indexed="81"/>
            <rFont val="Tahoma"/>
            <family val="2"/>
          </rPr>
          <t>Total Expenditures &amp; Other Financing Uses on Page 10 equals Expenditures reported on Page 19 for General Fund 10</t>
        </r>
        <r>
          <rPr>
            <sz val="9"/>
            <color indexed="81"/>
            <rFont val="Tahoma"/>
            <family val="2"/>
          </rPr>
          <t xml:space="preserve">
</t>
        </r>
      </text>
    </comment>
    <comment ref="J634" authorId="1" shapeId="0" xr:uid="{00000000-0006-0000-0000-00001C000000}">
      <text>
        <r>
          <rPr>
            <b/>
            <sz val="9"/>
            <color indexed="81"/>
            <rFont val="Tahoma"/>
            <family val="2"/>
          </rPr>
          <t>Total Expenditures &amp; Other Financing Uses on Page 14 equals Expenditures reported on Page 19 for Special Revenue Fund 22</t>
        </r>
        <r>
          <rPr>
            <sz val="9"/>
            <color indexed="81"/>
            <rFont val="Tahoma"/>
            <family val="2"/>
          </rPr>
          <t xml:space="preserve">
</t>
        </r>
      </text>
    </comment>
    <comment ref="J635" authorId="1" shapeId="0" xr:uid="{00000000-0006-0000-0000-00001D000000}">
      <text>
        <r>
          <rPr>
            <b/>
            <sz val="9"/>
            <color indexed="81"/>
            <rFont val="Tahoma"/>
            <family val="2"/>
          </rPr>
          <t>Total Food Service Supplies on Page 15 equals Total Food &amp; Supplies reported on Page 15, Line 8, Column 4 for Food Service Fund 22</t>
        </r>
      </text>
    </comment>
    <comment ref="J636" authorId="1" shapeId="0" xr:uid="{00000000-0006-0000-0000-00001E000000}">
      <text>
        <r>
          <rPr>
            <b/>
            <sz val="9"/>
            <color indexed="81"/>
            <rFont val="Tahoma"/>
            <family val="2"/>
          </rPr>
          <t>Total Food Service Expenditures on Page 15, line 5 equals Expenditures reported on Page 19 for Food Service Fund 22</t>
        </r>
        <r>
          <rPr>
            <sz val="9"/>
            <color indexed="81"/>
            <rFont val="Tahoma"/>
            <family val="2"/>
          </rPr>
          <t xml:space="preserve">
</t>
        </r>
      </text>
    </comment>
    <comment ref="J637" authorId="1" shapeId="0" xr:uid="{00000000-0006-0000-0000-00001F000000}">
      <text>
        <r>
          <rPr>
            <b/>
            <sz val="9"/>
            <color indexed="81"/>
            <rFont val="Tahoma"/>
            <family val="2"/>
          </rPr>
          <t>Total Expenditures for Page 15 line 17 equals page 19 Expenditures for Capital Fund 30</t>
        </r>
        <r>
          <rPr>
            <sz val="9"/>
            <color indexed="81"/>
            <rFont val="Tahoma"/>
            <family val="2"/>
          </rPr>
          <t xml:space="preserve">
</t>
        </r>
      </text>
    </comment>
    <comment ref="J638" authorId="1" shapeId="0" xr:uid="{00000000-0006-0000-0000-000020000000}">
      <text>
        <r>
          <rPr>
            <b/>
            <sz val="9"/>
            <color indexed="81"/>
            <rFont val="Tahoma"/>
            <family val="2"/>
          </rPr>
          <t>Total Trust Fund Revenue on page 16, line 20 equals Revenues reported on Page 19 for Trust Agency Fund 70</t>
        </r>
        <r>
          <rPr>
            <sz val="9"/>
            <color indexed="81"/>
            <rFont val="Tahoma"/>
            <family val="2"/>
          </rPr>
          <t xml:space="preserve">
</t>
        </r>
      </text>
    </comment>
    <comment ref="J639" authorId="1" shapeId="0" xr:uid="{00000000-0006-0000-0000-000021000000}">
      <text>
        <r>
          <rPr>
            <b/>
            <sz val="9"/>
            <color indexed="81"/>
            <rFont val="Tahoma"/>
            <family val="2"/>
          </rPr>
          <t>Total Trust Fund Expenditures on page 17, line 20 equals Expenditures reported on Page 19 for Trust Agency Fund 70</t>
        </r>
        <r>
          <rPr>
            <sz val="9"/>
            <color indexed="81"/>
            <rFont val="Tahoma"/>
            <family val="2"/>
          </rPr>
          <t xml:space="preserve">
</t>
        </r>
      </text>
    </comment>
    <comment ref="J640" authorId="1" shapeId="0" xr:uid="{00000000-0006-0000-0000-000022000000}">
      <text>
        <r>
          <rPr>
            <b/>
            <sz val="9"/>
            <color indexed="81"/>
            <rFont val="Tahoma"/>
            <family val="2"/>
          </rPr>
          <t>Total Current Trust Assets equal Total Liabilities and Equity on Page 18, column 1 for Capital Reserves</t>
        </r>
        <r>
          <rPr>
            <sz val="9"/>
            <color indexed="81"/>
            <rFont val="Tahoma"/>
            <family val="2"/>
          </rPr>
          <t xml:space="preserve">
</t>
        </r>
      </text>
    </comment>
    <comment ref="J641" authorId="1" shapeId="0" xr:uid="{00000000-0006-0000-0000-000023000000}">
      <text>
        <r>
          <rPr>
            <b/>
            <sz val="9"/>
            <color indexed="81"/>
            <rFont val="Tahoma"/>
            <family val="2"/>
          </rPr>
          <t>Total Current Trust Assets equal Total Liabilities and Equity on Page 18, column 2 for Other Expendable</t>
        </r>
        <r>
          <rPr>
            <sz val="9"/>
            <color indexed="81"/>
            <rFont val="Tahoma"/>
            <family val="2"/>
          </rPr>
          <t xml:space="preserve">
</t>
        </r>
      </text>
    </comment>
    <comment ref="J642" authorId="1" shapeId="0" xr:uid="{00000000-0006-0000-0000-000024000000}">
      <text>
        <r>
          <rPr>
            <b/>
            <sz val="9"/>
            <color indexed="81"/>
            <rFont val="Tahoma"/>
            <family val="2"/>
          </rPr>
          <t>Total Current Trust Assets equal Total Liabilities and Equity on Page 18, column 3 for Non-Expendable</t>
        </r>
        <r>
          <rPr>
            <sz val="9"/>
            <color indexed="81"/>
            <rFont val="Tahoma"/>
            <family val="2"/>
          </rPr>
          <t xml:space="preserve">
</t>
        </r>
      </text>
    </comment>
    <comment ref="J643" authorId="1" shapeId="0" xr:uid="{00000000-0006-0000-0000-000025000000}">
      <text>
        <r>
          <rPr>
            <b/>
            <sz val="9"/>
            <color indexed="81"/>
            <rFont val="Tahoma"/>
            <family val="2"/>
          </rPr>
          <t>Total Current Trust Assets equal Total Liabilities and Equity on Page 18, column 4 for Total Trust</t>
        </r>
        <r>
          <rPr>
            <sz val="9"/>
            <color indexed="81"/>
            <rFont val="Tahoma"/>
            <family val="2"/>
          </rPr>
          <t xml:space="preserve">
</t>
        </r>
      </text>
    </comment>
    <comment ref="J644" authorId="1" shapeId="0" xr:uid="{00000000-0006-0000-0000-000026000000}">
      <text>
        <r>
          <rPr>
            <b/>
            <sz val="9"/>
            <color indexed="81"/>
            <rFont val="Tahoma"/>
            <family val="2"/>
          </rPr>
          <t xml:space="preserve">Total Appropriation for Trust Fund Page 2, Column 5 equals Page 16, column 1 line 20 Total Appropriations </t>
        </r>
        <r>
          <rPr>
            <sz val="9"/>
            <color indexed="81"/>
            <rFont val="Tahoma"/>
            <family val="2"/>
          </rPr>
          <t xml:space="preserve">
</t>
        </r>
      </text>
    </comment>
    <comment ref="J645" authorId="1" shapeId="0" xr:uid="{00000000-0006-0000-0000-000027000000}">
      <text>
        <r>
          <rPr>
            <b/>
            <sz val="9"/>
            <color indexed="81"/>
            <rFont val="Tahoma"/>
            <family val="2"/>
          </rPr>
          <t xml:space="preserve">Total Earnings on Investments Page 3, Column 5 equals Page 16, column 3 line 20 Total Interest Earned </t>
        </r>
        <r>
          <rPr>
            <sz val="9"/>
            <color indexed="81"/>
            <rFont val="Tahoma"/>
            <family val="2"/>
          </rPr>
          <t xml:space="preserve">
</t>
        </r>
      </text>
    </comment>
    <comment ref="J646" authorId="1" shapeId="0" xr:uid="{00000000-0006-0000-0000-000028000000}">
      <text>
        <r>
          <rPr>
            <b/>
            <sz val="9"/>
            <color indexed="81"/>
            <rFont val="Tahoma"/>
            <family val="2"/>
          </rPr>
          <t>Total Inter-fund transfers on page 6 line 10 Fund 70 equals Total Inter-fund Transfers on Page 16, line20 Column 2</t>
        </r>
        <r>
          <rPr>
            <sz val="9"/>
            <color indexed="81"/>
            <rFont val="Tahoma"/>
            <family val="2"/>
          </rPr>
          <t xml:space="preserve">
</t>
        </r>
      </text>
    </comment>
    <comment ref="J647" authorId="1" shapeId="0" xr:uid="{00000000-0006-0000-0000-000029000000}">
      <text>
        <r>
          <rPr>
            <b/>
            <sz val="9"/>
            <color indexed="81"/>
            <rFont val="Tahoma"/>
            <family val="2"/>
          </rPr>
          <t>Total Revenue &amp; Other Financing Sources Page 6 line 19 Fund 70 equals Total Trust Fund Revenue on Page 16 line 20 column 7</t>
        </r>
        <r>
          <rPr>
            <sz val="9"/>
            <color indexed="81"/>
            <rFont val="Tahoma"/>
            <family val="2"/>
          </rPr>
          <t xml:space="preserve">
</t>
        </r>
      </text>
    </comment>
    <comment ref="J648" authorId="1" shapeId="0" xr:uid="{00000000-0006-0000-0000-00002A000000}">
      <text>
        <r>
          <rPr>
            <b/>
            <sz val="9"/>
            <color indexed="81"/>
            <rFont val="Tahoma"/>
            <family val="2"/>
          </rPr>
          <t>Total transportation expenses on Page 23 line 8 equals total transportation reported on Pages 7, 8, and 9 on line 11 for each page</t>
        </r>
        <r>
          <rPr>
            <sz val="9"/>
            <color indexed="81"/>
            <rFont val="Tahoma"/>
            <family val="2"/>
          </rPr>
          <t xml:space="preserve">
</t>
        </r>
      </text>
    </comment>
    <comment ref="J649" authorId="1" shapeId="0" xr:uid="{00000000-0006-0000-0000-00002B000000}">
      <text>
        <r>
          <rPr>
            <b/>
            <sz val="9"/>
            <color indexed="81"/>
            <rFont val="Tahoma"/>
            <charset val="1"/>
          </rPr>
          <t>Welch, Matthew:</t>
        </r>
        <r>
          <rPr>
            <sz val="9"/>
            <color indexed="81"/>
            <rFont val="Tahoma"/>
            <charset val="1"/>
          </rPr>
          <t xml:space="preserve">
Total Capital Items on page 23 equal total property items on pages 7/8/9/10/11/12/13/14</t>
        </r>
      </text>
    </comment>
    <comment ref="J650" authorId="1" shapeId="0" xr:uid="{00000000-0006-0000-0000-00002C000000}">
      <text>
        <r>
          <rPr>
            <b/>
            <sz val="9"/>
            <color indexed="81"/>
            <rFont val="Tahoma"/>
            <charset val="1"/>
          </rPr>
          <t>Welch, Matthew:</t>
        </r>
        <r>
          <rPr>
            <sz val="9"/>
            <color indexed="81"/>
            <rFont val="Tahoma"/>
            <charset val="1"/>
          </rPr>
          <t xml:space="preserve">
Elementary transportation on page 7 equals elementary transportation reported on page 23</t>
        </r>
      </text>
    </comment>
    <comment ref="J651" authorId="1" shapeId="0" xr:uid="{00000000-0006-0000-0000-00002D000000}">
      <text>
        <r>
          <rPr>
            <b/>
            <sz val="9"/>
            <color indexed="81"/>
            <rFont val="Tahoma"/>
            <charset val="1"/>
          </rPr>
          <t>Welch, Matthew:</t>
        </r>
        <r>
          <rPr>
            <sz val="9"/>
            <color indexed="81"/>
            <rFont val="Tahoma"/>
            <charset val="1"/>
          </rPr>
          <t xml:space="preserve">
Middle/Jr. High  transportation on page 8 equals middle/Jr. High transportation reported on page 23</t>
        </r>
      </text>
    </comment>
    <comment ref="J652" authorId="1" shapeId="0" xr:uid="{00000000-0006-0000-0000-00002E000000}">
      <text>
        <r>
          <rPr>
            <b/>
            <sz val="9"/>
            <color indexed="81"/>
            <rFont val="Tahoma"/>
            <charset val="1"/>
          </rPr>
          <t>Welch, Matthew:</t>
        </r>
        <r>
          <rPr>
            <sz val="9"/>
            <color indexed="81"/>
            <rFont val="Tahoma"/>
            <charset val="1"/>
          </rPr>
          <t xml:space="preserve">
High School  transportation on page 9 equals High School transportation reported on page 23</t>
        </r>
      </text>
    </comment>
    <comment ref="J653" authorId="1" shapeId="0" xr:uid="{00000000-0006-0000-0000-00002F000000}">
      <text>
        <r>
          <rPr>
            <b/>
            <sz val="9"/>
            <color indexed="81"/>
            <rFont val="Tahoma"/>
            <charset val="1"/>
          </rPr>
          <t>Welch, Matthew:</t>
        </r>
        <r>
          <rPr>
            <sz val="9"/>
            <color indexed="81"/>
            <rFont val="Tahoma"/>
            <charset val="1"/>
          </rPr>
          <t xml:space="preserve">
Fund tranfer to Food Service on Page 6 equals Food Service transfers reported on pages 10 and 14</t>
        </r>
      </text>
    </comment>
    <comment ref="J654" authorId="1" shapeId="0" xr:uid="{00000000-0006-0000-0000-000030000000}">
      <text>
        <r>
          <rPr>
            <b/>
            <sz val="9"/>
            <color indexed="81"/>
            <rFont val="Tahoma"/>
            <charset val="1"/>
          </rPr>
          <t>Welch, Matthew:</t>
        </r>
        <r>
          <rPr>
            <sz val="9"/>
            <color indexed="81"/>
            <rFont val="Tahoma"/>
            <charset val="1"/>
          </rPr>
          <t xml:space="preserve">
Fund tranfer to Spec Revenue Fund on Page 6 equals Special Revenue transfers reported on page 10</t>
        </r>
      </text>
    </comment>
    <comment ref="J655" authorId="1" shapeId="0" xr:uid="{00000000-0006-0000-0000-000031000000}">
      <text>
        <r>
          <rPr>
            <b/>
            <sz val="9"/>
            <color indexed="81"/>
            <rFont val="Tahoma"/>
            <charset val="1"/>
          </rPr>
          <t>Welch, Matthew:</t>
        </r>
        <r>
          <rPr>
            <sz val="9"/>
            <color indexed="81"/>
            <rFont val="Tahoma"/>
            <charset val="1"/>
          </rPr>
          <t xml:space="preserve">
Fund tranfer to Capital Fund on Page 6 equals Capital Fund transfers reported on pages 10 and 14</t>
        </r>
      </text>
    </comment>
    <comment ref="J656" authorId="1" shapeId="0" xr:uid="{00000000-0006-0000-0000-000032000000}">
      <text>
        <r>
          <rPr>
            <b/>
            <sz val="9"/>
            <color indexed="81"/>
            <rFont val="Tahoma"/>
            <charset val="1"/>
          </rPr>
          <t>Welch, Matthew:</t>
        </r>
        <r>
          <rPr>
            <sz val="9"/>
            <color indexed="81"/>
            <rFont val="Tahoma"/>
            <charset val="1"/>
          </rPr>
          <t xml:space="preserve">
Fund tranfer to Trust Fund on Page 6 equals Trust Fund transfers reported on pages 10 and 14</t>
        </r>
      </text>
    </comment>
    <comment ref="H657" authorId="0" shapeId="0" xr:uid="{00000000-0006-0000-0000-000033000000}">
      <text>
        <r>
          <rPr>
            <sz val="8"/>
            <color indexed="81"/>
            <rFont val="Tahoma"/>
            <family val="2"/>
          </rPr>
          <t xml:space="preserve">This value must equal zero.  Please also make sure that rows 632 to 668 column H equals zero.
</t>
        </r>
      </text>
    </comment>
  </commentList>
</comments>
</file>

<file path=xl/metadata.xml><?xml version="1.0" encoding="utf-8"?>
<metadata xmlns="http://schemas.openxmlformats.org/spreadsheetml/2006/main" xmlns:xda="http://schemas.microsoft.com/office/spreadsheetml/2017/dynamicarray">
  <metadataTypes count="1">
    <metadataType name="XLDAPR" minSupportedVersion="120000" copy="1" pasteAll="1" pasteValues="1" merge="1" splitFirst="1" rowColShift="1" clearFormats="1" clearComments="1" assign="1" coerce="1" cellMeta="1"/>
  </metadataTypes>
  <futureMetadata name="XLDAPR" count="1">
    <bk>
      <extLst>
        <ext uri="{bdbb8cdc-fa1e-496e-a857-3c3f30c029c3}">
          <xda:dynamicArrayProperties fDynamic="1" fCollapsed="0"/>
        </ext>
      </extLst>
    </bk>
  </futureMetadata>
  <cellMetadata count="1">
    <bk>
      <rc t="1" v="0"/>
    </bk>
  </cellMetadata>
</metadata>
</file>

<file path=xl/sharedStrings.xml><?xml version="1.0" encoding="utf-8"?>
<sst xmlns="http://schemas.openxmlformats.org/spreadsheetml/2006/main" count="6533" uniqueCount="1805">
  <si>
    <t>TRUST FUNDS:</t>
  </si>
  <si>
    <t>COMBINING BALANCE SHEET</t>
  </si>
  <si>
    <t>Capital Reserve</t>
  </si>
  <si>
    <t>Other Expendable</t>
  </si>
  <si>
    <t>Non-Expendable</t>
  </si>
  <si>
    <t>Total</t>
  </si>
  <si>
    <t>CURRENT ASSETS</t>
  </si>
  <si>
    <t>CURRENT LIABILITIES</t>
  </si>
  <si>
    <t>FUND EQUITY</t>
  </si>
  <si>
    <t>STATEMENT OF ANALYSIS OF CHANGE IN FUND EQUITY</t>
  </si>
  <si>
    <t>General</t>
  </si>
  <si>
    <t>Food Service</t>
  </si>
  <si>
    <t>All Other</t>
  </si>
  <si>
    <t>Capital Projects</t>
  </si>
  <si>
    <t>Trust</t>
  </si>
  <si>
    <t>Additions</t>
  </si>
  <si>
    <t>Deletions</t>
  </si>
  <si>
    <t>*** Must agree with total for:</t>
  </si>
  <si>
    <t xml:space="preserve">  Capital Projects Funds on…….……………….Page 15, Line 17, Col. 7</t>
  </si>
  <si>
    <t xml:space="preserve">AMORTIZATION SCHEDULE OF LONG TERM DEBT </t>
  </si>
  <si>
    <t>For the Fiscal Year Ending on June 30th</t>
  </si>
  <si>
    <t>REPORT IN WHOLE DOLLARS</t>
  </si>
  <si>
    <t>DEBT 1</t>
  </si>
  <si>
    <t>DEBT 2</t>
  </si>
  <si>
    <t>DEBT 3</t>
  </si>
  <si>
    <t>DEBT 4</t>
  </si>
  <si>
    <t>DEBT 5</t>
  </si>
  <si>
    <t>Length of Debt (yrs)</t>
  </si>
  <si>
    <t>Date of Issue (mm/yy)</t>
  </si>
  <si>
    <t>Date of Final Payment(mm/yy)</t>
  </si>
  <si>
    <t>Original Debt Amount</t>
  </si>
  <si>
    <t>Interest Rate</t>
  </si>
  <si>
    <t>Principal at Beginning of Yr</t>
  </si>
  <si>
    <t>New Issues This Year</t>
  </si>
  <si>
    <t>Retired Issues This Yr</t>
  </si>
  <si>
    <t>Remaining Principal Bal Due</t>
  </si>
  <si>
    <t>Remaining Interest Bal Due</t>
  </si>
  <si>
    <t>Remaining Debt(P&amp;I) Bal Due</t>
  </si>
  <si>
    <t>Amount of Prin to be Paid Next Fisc. Yr</t>
  </si>
  <si>
    <t>Amount of Interest to be Paid Next Fisc Yr.</t>
  </si>
  <si>
    <t>COMPENSATED ABSENCES PAYABLE</t>
  </si>
  <si>
    <t>BAL BEG OF YEAR</t>
  </si>
  <si>
    <t>ADDITIONS</t>
  </si>
  <si>
    <t>DEDUCTIONS</t>
  </si>
  <si>
    <t>BAL END OF YEAR</t>
  </si>
  <si>
    <t>FIXED ASSET GROUP OF ACCOUNTS (OPTIONAL)</t>
  </si>
  <si>
    <t>BEGINNING OF YEAR</t>
  </si>
  <si>
    <t>END OF YEAR</t>
  </si>
  <si>
    <t>Debit</t>
  </si>
  <si>
    <t>Credit</t>
  </si>
  <si>
    <t>ACTIVITY</t>
  </si>
  <si>
    <t>23/8/6</t>
  </si>
  <si>
    <t>23/12/6</t>
  </si>
  <si>
    <t>Page/Line/Column</t>
  </si>
  <si>
    <t>Salaries</t>
  </si>
  <si>
    <t>Employee Benefits</t>
  </si>
  <si>
    <t>Purchased Services</t>
  </si>
  <si>
    <t>Supplies</t>
  </si>
  <si>
    <t>Property</t>
  </si>
  <si>
    <t>Other</t>
  </si>
  <si>
    <t>INSTRUCTION</t>
  </si>
  <si>
    <t>Elementary</t>
  </si>
  <si>
    <t>High</t>
  </si>
  <si>
    <t>Subtotal (Lines 1 thru 3)</t>
  </si>
  <si>
    <t>RELATED SERVICES</t>
  </si>
  <si>
    <t>Subtotal (Lines 5 thru 7)</t>
  </si>
  <si>
    <t>ADMINISTRATION</t>
  </si>
  <si>
    <t>Subtotal (Lines 9 thru 11)</t>
  </si>
  <si>
    <t>LEGAL</t>
  </si>
  <si>
    <t>Subtotal (Lines 13 thru 15)</t>
  </si>
  <si>
    <t>TRANSPORTATION</t>
  </si>
  <si>
    <t>Subtotal (Lines 17 thru 19)</t>
  </si>
  <si>
    <t>TOTAL (Lines 4,8,12,16.20)</t>
  </si>
  <si>
    <t>Total by</t>
  </si>
  <si>
    <t>(1) Instruction</t>
  </si>
  <si>
    <t>(2) Related Svcs.</t>
  </si>
  <si>
    <t>(3) Administration</t>
  </si>
  <si>
    <t>(4) Legal</t>
  </si>
  <si>
    <t>(5) Transportation</t>
  </si>
  <si>
    <t>(6) Total</t>
  </si>
  <si>
    <t>Lines 1,2,3</t>
  </si>
  <si>
    <t>Lines 5,6,7</t>
  </si>
  <si>
    <t>Lines 9,10,11</t>
  </si>
  <si>
    <t>Lines 13, 14,15</t>
  </si>
  <si>
    <t>Lines 17, 18,19</t>
  </si>
  <si>
    <t>CULTURALLY DEPRIVED</t>
  </si>
  <si>
    <t>BILINGUAL</t>
  </si>
  <si>
    <t>GIFTED AND TALENTED</t>
  </si>
  <si>
    <t>TOTAL (Lines 4, 8, 12)</t>
  </si>
  <si>
    <t>Description</t>
  </si>
  <si>
    <t>(1) Elementary</t>
  </si>
  <si>
    <t>(2) Middle/Jr. High</t>
  </si>
  <si>
    <t>(3) High</t>
  </si>
  <si>
    <t>(4) Total</t>
  </si>
  <si>
    <t>Function</t>
  </si>
  <si>
    <t>Object</t>
  </si>
  <si>
    <t>Middle/Jr. High</t>
  </si>
  <si>
    <t>ALL</t>
  </si>
  <si>
    <t>DETAILED EXPENDITURE DATA ON CAPITAL ITEMS IN THE GENERAL AND OTHER SPECIAL REV FUNDS</t>
  </si>
  <si>
    <t>CHECK</t>
  </si>
  <si>
    <t>TOTALS</t>
  </si>
  <si>
    <t>19/8/1</t>
  </si>
  <si>
    <t>19/8/2</t>
  </si>
  <si>
    <t>19/8/3</t>
  </si>
  <si>
    <t>19/8/4</t>
  </si>
  <si>
    <t>19/8/5</t>
  </si>
  <si>
    <t>19/2/1</t>
  </si>
  <si>
    <t>19/2/2</t>
  </si>
  <si>
    <t>19/2/3</t>
  </si>
  <si>
    <t>19/2/4</t>
  </si>
  <si>
    <t>19/2/5</t>
  </si>
  <si>
    <t>19/5/1</t>
  </si>
  <si>
    <t>19/5/3</t>
  </si>
  <si>
    <t>15/5/7</t>
  </si>
  <si>
    <t>19/5/2</t>
  </si>
  <si>
    <t>15/17/7</t>
  </si>
  <si>
    <t>19/5/4</t>
  </si>
  <si>
    <t>19/5/5</t>
  </si>
  <si>
    <t>18/8/1</t>
  </si>
  <si>
    <t>18/8/2</t>
  </si>
  <si>
    <t>18/8/3</t>
  </si>
  <si>
    <t>18/8/4</t>
  </si>
  <si>
    <t>BALANCE CHECK</t>
  </si>
  <si>
    <t xml:space="preserve">    PER PUPIL COST</t>
  </si>
  <si>
    <t>ELEM</t>
  </si>
  <si>
    <t>MID/JH</t>
  </si>
  <si>
    <t>CURRENT EXPENDITURES</t>
  </si>
  <si>
    <t>LESS: FOOD SERVICE REVENUE</t>
  </si>
  <si>
    <t>LESS: TRANSPORTATION EXPENDITURES</t>
  </si>
  <si>
    <t>LESS: SUPPLMT EXPENDITURES</t>
  </si>
  <si>
    <t xml:space="preserve">  PUPIL COST</t>
  </si>
  <si>
    <t>AVE DAILY MEMBERSHIP</t>
  </si>
  <si>
    <t xml:space="preserve">       </t>
  </si>
  <si>
    <t xml:space="preserve">  COST PER PUPIL</t>
  </si>
  <si>
    <t>Adjustment to Cost</t>
  </si>
  <si>
    <t>Adjustment to ADM</t>
  </si>
  <si>
    <t>Adjusted Cost per Pupil</t>
  </si>
  <si>
    <t xml:space="preserve">  99</t>
  </si>
  <si>
    <t>Acct #</t>
  </si>
  <si>
    <t>1.  CASH</t>
  </si>
  <si>
    <t>2.  INVESTMENTS</t>
  </si>
  <si>
    <t>3.  ASSESSMENTS RECEIVABLE</t>
  </si>
  <si>
    <t>4.  INTERFUND RECEIVABLE</t>
  </si>
  <si>
    <t>5.  INTERGOV'T REC</t>
  </si>
  <si>
    <t>6.  OTHER RECEIVABLES</t>
  </si>
  <si>
    <t>7.  BOND PROCEEDS REC</t>
  </si>
  <si>
    <t>8.  INVENTORIES</t>
  </si>
  <si>
    <t>9.  PREPAID EXPENSES</t>
  </si>
  <si>
    <t>10. OTHER CURRENT ASSETS</t>
  </si>
  <si>
    <t>11. Total Current Assets lines 1 - 10</t>
  </si>
  <si>
    <t>12. INTERFUND PAYABLES</t>
  </si>
  <si>
    <t>13. INTERGOV'T PAYABLES</t>
  </si>
  <si>
    <t>14. OTHER PAYABLES</t>
  </si>
  <si>
    <t>15. CONTRACTS PAYABLE</t>
  </si>
  <si>
    <t>16. BOND AND INTEREST PAY</t>
  </si>
  <si>
    <t>17. LOANS AND INTEREST PAY</t>
  </si>
  <si>
    <t>18. ACCRUED EXPENSES</t>
  </si>
  <si>
    <t>19. PAYROLL DEDUCTIONS</t>
  </si>
  <si>
    <t>20. DEFERRED REVENUES</t>
  </si>
  <si>
    <t>21. OTHER CURRENT LIAB</t>
  </si>
  <si>
    <t>22. Total  Current Liabilities     lines 12 - 21</t>
  </si>
  <si>
    <t>Revenue From Local Sources</t>
  </si>
  <si>
    <t>1.  Total Assessments</t>
  </si>
  <si>
    <t>1100-1119</t>
  </si>
  <si>
    <t>2. Tuition from All Sources</t>
  </si>
  <si>
    <t>1300-1399</t>
  </si>
  <si>
    <t>3. Transportation Fees from All Sources</t>
  </si>
  <si>
    <t>1400-1499</t>
  </si>
  <si>
    <t>4. Earnings on Investments</t>
  </si>
  <si>
    <t>1500-1599</t>
  </si>
  <si>
    <t>5. Food Services Sales</t>
  </si>
  <si>
    <t>1600-1699</t>
  </si>
  <si>
    <t>6. Other Revenue from Local Sources</t>
  </si>
  <si>
    <t>1700-1999</t>
  </si>
  <si>
    <t>7. Total Local Non-Tax Revenue Lines  2-6</t>
  </si>
  <si>
    <t>8. Total Local Revenue Lines 1 &amp; 7</t>
  </si>
  <si>
    <t>UNRESTRICTED GRANTS-IN-AID</t>
  </si>
  <si>
    <t>3190-3199</t>
  </si>
  <si>
    <t>RESTRICTED GRANTS-IN-AID</t>
  </si>
  <si>
    <t>3241-3249</t>
  </si>
  <si>
    <t>3250-3299</t>
  </si>
  <si>
    <t>Revenue From Federal Sources</t>
  </si>
  <si>
    <t>4100-4299</t>
  </si>
  <si>
    <t>4300-4399</t>
  </si>
  <si>
    <t>4500-4599</t>
  </si>
  <si>
    <t>4700-4999</t>
  </si>
  <si>
    <t>Other Financing Sources</t>
  </si>
  <si>
    <t>5100-5139</t>
  </si>
  <si>
    <t>5220-5229</t>
  </si>
  <si>
    <t>5230-5239</t>
  </si>
  <si>
    <t>5252-5253</t>
  </si>
  <si>
    <t>5300-5399</t>
  </si>
  <si>
    <t>5500-5600</t>
  </si>
  <si>
    <t>SPECIAL REVENEU</t>
  </si>
  <si>
    <t>EXPENDITURES</t>
  </si>
  <si>
    <t>Instruction</t>
  </si>
  <si>
    <t>1.  Regular Programs</t>
  </si>
  <si>
    <t>1100-1199</t>
  </si>
  <si>
    <t>2. Special Programs</t>
  </si>
  <si>
    <t>1200-1299</t>
  </si>
  <si>
    <t>3. Vocational Programs</t>
  </si>
  <si>
    <t>4. Other Instructional Programs</t>
  </si>
  <si>
    <t>5. Non-Public Programs</t>
  </si>
  <si>
    <t>6. Adult &amp; Community Programs</t>
  </si>
  <si>
    <t>1600-1899</t>
  </si>
  <si>
    <t>7.  Total Instructional Expenditures (Lines 1-6)</t>
  </si>
  <si>
    <t>8. Student Services</t>
  </si>
  <si>
    <t>2100-2199</t>
  </si>
  <si>
    <t>9. Instructional Staff</t>
  </si>
  <si>
    <t>2200-2299</t>
  </si>
  <si>
    <t>10. General Administration - SAU Level</t>
  </si>
  <si>
    <t>2300-2399</t>
  </si>
  <si>
    <t>11. School Administration</t>
  </si>
  <si>
    <t>2400-2499</t>
  </si>
  <si>
    <t>12. Business</t>
  </si>
  <si>
    <t>2500-2599</t>
  </si>
  <si>
    <t>13. Operation/Maintenance of Plant</t>
  </si>
  <si>
    <t>2600-2699</t>
  </si>
  <si>
    <t>14. Student Transportation</t>
  </si>
  <si>
    <t>2700-2799</t>
  </si>
  <si>
    <t>15. Centralized Services</t>
  </si>
  <si>
    <t>2800-2899</t>
  </si>
  <si>
    <t>16. Other Support Services</t>
  </si>
  <si>
    <t>2900-2999</t>
  </si>
  <si>
    <t>17. Food Service Operation</t>
  </si>
  <si>
    <t>3100-3199</t>
  </si>
  <si>
    <t>18. Total Support Services (Lines 8-17)</t>
  </si>
  <si>
    <t>19. Facility Acquisition &amp; Construction</t>
  </si>
  <si>
    <t>4000-4999</t>
  </si>
  <si>
    <t>20. Debt Service - Principal</t>
  </si>
  <si>
    <t>21. Debt Service - Interest</t>
  </si>
  <si>
    <t>Other Financing Uses</t>
  </si>
  <si>
    <t>22.  Transfer to General Fund</t>
  </si>
  <si>
    <t>23.  Transfer to Food Service (Special Revenue) Funds</t>
  </si>
  <si>
    <t>5220-5221</t>
  </si>
  <si>
    <t>24. Transfers to All Other Special Revenue Funds</t>
  </si>
  <si>
    <t>5222-5229</t>
  </si>
  <si>
    <t>25.  Transfer to Capital Projects Funds</t>
  </si>
  <si>
    <t>26.  Transfer to Capital Reserves</t>
  </si>
  <si>
    <t>27.  Transfer to Expendable Trust Funds</t>
  </si>
  <si>
    <t>28.  Transfer  to Nonexpendable Trust Funds</t>
  </si>
  <si>
    <t>30.  Allocation to Charter Schools</t>
  </si>
  <si>
    <t>31.  Allocation to Other Agencies</t>
  </si>
  <si>
    <t>32.  Total Other Outlays and Financing Uses (Lines 19-31)</t>
  </si>
  <si>
    <t>33.  Total Expenditures for All Purposes (Lines, 7,18 &amp; 32)</t>
  </si>
  <si>
    <t xml:space="preserve">AMORTIZATION  OF LONG TERM DEBT </t>
  </si>
  <si>
    <t>Total Debt (P&amp;I) to be Paid Next Fisc. Yr</t>
  </si>
  <si>
    <t>15/5/4</t>
  </si>
  <si>
    <t>15/8/4</t>
  </si>
  <si>
    <t>2/1/5</t>
  </si>
  <si>
    <t>Instructional Level</t>
  </si>
  <si>
    <t>12. Other (Specify)</t>
  </si>
  <si>
    <t>13.  Total Unrestricted Grants-in-Aid 9-12</t>
  </si>
  <si>
    <t>14. School Building Aid</t>
  </si>
  <si>
    <t>15. Kindergarten Building Aid</t>
  </si>
  <si>
    <t>16.  Kindergarten Aid</t>
  </si>
  <si>
    <t>17. Catastrophic Aid</t>
  </si>
  <si>
    <t>18. Vocational Education</t>
  </si>
  <si>
    <t>19.  All Other Restricted Grants-in Aid</t>
  </si>
  <si>
    <t>20. Total Restricted Grants-in Aid (Lines 14-19)</t>
  </si>
  <si>
    <t>21. Grants-in-Aid Through Other Public Intermediate Agencies</t>
  </si>
  <si>
    <t>NAME:</t>
  </si>
  <si>
    <t>DIST</t>
  </si>
  <si>
    <t>LOC</t>
  </si>
  <si>
    <t>(1)</t>
  </si>
  <si>
    <t>(2)</t>
  </si>
  <si>
    <t>(3)</t>
  </si>
  <si>
    <t>(4)</t>
  </si>
  <si>
    <t>(5)</t>
  </si>
  <si>
    <t>(6)</t>
  </si>
  <si>
    <t>TITLES</t>
  </si>
  <si>
    <t>PAGE</t>
  </si>
  <si>
    <t>LINE</t>
  </si>
  <si>
    <t>Fund 10</t>
  </si>
  <si>
    <t>Fund 21</t>
  </si>
  <si>
    <t>Fund 22</t>
  </si>
  <si>
    <t>Fund 30</t>
  </si>
  <si>
    <t>Fund 70</t>
  </si>
  <si>
    <t>****************************</t>
  </si>
  <si>
    <t>BALANCE SHEET</t>
  </si>
  <si>
    <t>GENERAL</t>
  </si>
  <si>
    <t>FOOD SERVICE</t>
  </si>
  <si>
    <t>ALL OTHER</t>
  </si>
  <si>
    <t>CAPITAL PROJECTS</t>
  </si>
  <si>
    <t>TRUST/AGENCY</t>
  </si>
  <si>
    <t xml:space="preserve">     ASSETS</t>
  </si>
  <si>
    <t xml:space="preserve"> </t>
  </si>
  <si>
    <t xml:space="preserve">  Current Assets</t>
  </si>
  <si>
    <t>............</t>
  </si>
  <si>
    <t xml:space="preserve">   1</t>
  </si>
  <si>
    <t xml:space="preserve">  1</t>
  </si>
  <si>
    <t xml:space="preserve">  2</t>
  </si>
  <si>
    <t xml:space="preserve">  3</t>
  </si>
  <si>
    <t xml:space="preserve">  4</t>
  </si>
  <si>
    <t xml:space="preserve">  5</t>
  </si>
  <si>
    <t xml:space="preserve">  6</t>
  </si>
  <si>
    <t xml:space="preserve">  7</t>
  </si>
  <si>
    <t xml:space="preserve">  8</t>
  </si>
  <si>
    <t xml:space="preserve">  9</t>
  </si>
  <si>
    <t xml:space="preserve"> 10</t>
  </si>
  <si>
    <t xml:space="preserve"> 11</t>
  </si>
  <si>
    <t xml:space="preserve">   </t>
  </si>
  <si>
    <t xml:space="preserve">     LIAB &amp; FUND EQUITY</t>
  </si>
  <si>
    <t xml:space="preserve">  Current Liabilities</t>
  </si>
  <si>
    <t xml:space="preserve">  Fund Equity</t>
  </si>
  <si>
    <t>STATEMENT OF REVENUES</t>
  </si>
  <si>
    <t>TRUST</t>
  </si>
  <si>
    <t>Revenue from Local Sources</t>
  </si>
  <si>
    <t>Assessments</t>
  </si>
  <si>
    <t xml:space="preserve">   2</t>
  </si>
  <si>
    <t>OTHER</t>
  </si>
  <si>
    <t>Tuition from Individuals</t>
  </si>
  <si>
    <t>Other LEAs Within NH</t>
  </si>
  <si>
    <t>Tuition from Other Sources</t>
  </si>
  <si>
    <t xml:space="preserve"> 18</t>
  </si>
  <si>
    <t xml:space="preserve">   3</t>
  </si>
  <si>
    <t>Other LEAs Outside NH</t>
  </si>
  <si>
    <t>Additional Revenues</t>
  </si>
  <si>
    <t>Other Revenue from Local Sources</t>
  </si>
  <si>
    <t>REVENUES</t>
  </si>
  <si>
    <t>Revenue from State Sources</t>
  </si>
  <si>
    <t xml:space="preserve">   4</t>
  </si>
  <si>
    <t>PUBLIC INTER AGENCIES</t>
  </si>
  <si>
    <t>Unrestricted Grants-In-Aid</t>
  </si>
  <si>
    <t xml:space="preserve">   5</t>
  </si>
  <si>
    <t>Restricted Grants-In-Aid</t>
  </si>
  <si>
    <t xml:space="preserve">    </t>
  </si>
  <si>
    <t xml:space="preserve">  ADULT EDUCATION</t>
  </si>
  <si>
    <t>Revenue in Lieu of Taxes</t>
  </si>
  <si>
    <t>Sales of Bonds &amp; Notes Proceeds</t>
  </si>
  <si>
    <t xml:space="preserve">   6</t>
  </si>
  <si>
    <t>Interfund Transfers</t>
  </si>
  <si>
    <t>Transfer from Trust Funds</t>
  </si>
  <si>
    <t>COMPENSATION FOR LOSS OF FIXED ASSETS</t>
  </si>
  <si>
    <t>CAPITAL LEASES</t>
  </si>
  <si>
    <t>LEASE PURCHASES</t>
  </si>
  <si>
    <t>SALARIES</t>
  </si>
  <si>
    <t>BENEFITS</t>
  </si>
  <si>
    <t>SUPPLIES</t>
  </si>
  <si>
    <t>PROPERTY</t>
  </si>
  <si>
    <t>TOTAL</t>
  </si>
  <si>
    <t xml:space="preserve">   7</t>
  </si>
  <si>
    <t>Support Services</t>
  </si>
  <si>
    <t xml:space="preserve"> 12</t>
  </si>
  <si>
    <t xml:space="preserve"> 13</t>
  </si>
  <si>
    <t xml:space="preserve"> 14</t>
  </si>
  <si>
    <t xml:space="preserve">   8</t>
  </si>
  <si>
    <t xml:space="preserve"> 15</t>
  </si>
  <si>
    <t xml:space="preserve"> 16</t>
  </si>
  <si>
    <t xml:space="preserve"> 17</t>
  </si>
  <si>
    <t xml:space="preserve">   9</t>
  </si>
  <si>
    <t xml:space="preserve">  DISTRICT WIDE EXPENDITURES</t>
  </si>
  <si>
    <t xml:space="preserve">  10</t>
  </si>
  <si>
    <t>ADULT/CONTINUING ED PROGRAMS</t>
  </si>
  <si>
    <t>OTHER FINANCING USES</t>
  </si>
  <si>
    <t xml:space="preserve">  </t>
  </si>
  <si>
    <t>Fund Transfers</t>
  </si>
  <si>
    <t xml:space="preserve">  11</t>
  </si>
  <si>
    <t xml:space="preserve">  12</t>
  </si>
  <si>
    <t xml:space="preserve">  13</t>
  </si>
  <si>
    <t>ALL OTHER SPEC REV FUNDS</t>
  </si>
  <si>
    <t>DISTRICT WIDE EXPENDITURES</t>
  </si>
  <si>
    <t>Other Outlays</t>
  </si>
  <si>
    <t>FUNCTION</t>
  </si>
  <si>
    <t>Food service Operations</t>
  </si>
  <si>
    <t>ELEMENTARY</t>
  </si>
  <si>
    <t xml:space="preserve">  15</t>
  </si>
  <si>
    <t>HIGH</t>
  </si>
  <si>
    <t>TRANSFER TO OTHER FUNDS</t>
  </si>
  <si>
    <t>SUMMARY OF OBJECT 600 SUPPLIES (COLUMN 4)</t>
  </si>
  <si>
    <t>MIDDLE/JR HIGH</t>
  </si>
  <si>
    <t>FOOD</t>
  </si>
  <si>
    <t>OTHER SUPPLIES</t>
  </si>
  <si>
    <t>Facilities Acquisition &amp; Construction</t>
  </si>
  <si>
    <t>INTERFUND</t>
  </si>
  <si>
    <t>INTEREST</t>
  </si>
  <si>
    <t>Capital Reserve Funds</t>
  </si>
  <si>
    <t>APPROPRIATIONS</t>
  </si>
  <si>
    <t>TRANSFERS</t>
  </si>
  <si>
    <t>EARNED</t>
  </si>
  <si>
    <t>INCOME</t>
  </si>
  <si>
    <t xml:space="preserve">  16</t>
  </si>
  <si>
    <t>Other Expendable Funds</t>
  </si>
  <si>
    <t>Non-Expendable Funds</t>
  </si>
  <si>
    <t>EMPLOYEE</t>
  </si>
  <si>
    <t>PURCHASE</t>
  </si>
  <si>
    <t>SERVICES</t>
  </si>
  <si>
    <t>7/11/7</t>
  </si>
  <si>
    <t>23/8/3</t>
  </si>
  <si>
    <t>23/8/4</t>
  </si>
  <si>
    <t>23/8/5</t>
  </si>
  <si>
    <t>NON-STUDENT TRANSPORTATION</t>
  </si>
  <si>
    <t>8/11/7</t>
  </si>
  <si>
    <t>9/11/7</t>
  </si>
  <si>
    <t>10/18/7</t>
  </si>
  <si>
    <t>14/17/7</t>
  </si>
  <si>
    <t>7/11/7+8/11/7+9/11/7</t>
  </si>
  <si>
    <t>(10/11/6+14/11/6)</t>
  </si>
  <si>
    <t>10/12/6</t>
  </si>
  <si>
    <t>10/13/6+14/12/6</t>
  </si>
  <si>
    <t>10/14/6+14/13/6</t>
  </si>
  <si>
    <t xml:space="preserve">  General Fund on.. ……..………...…..Page 10,Line 18, Col. 7</t>
  </si>
  <si>
    <t>No</t>
  </si>
  <si>
    <t>Current Assets</t>
  </si>
  <si>
    <t xml:space="preserve">Total Current Assets </t>
  </si>
  <si>
    <t>Current Liabilities</t>
  </si>
  <si>
    <t>Total  Current Liabilities</t>
  </si>
  <si>
    <t xml:space="preserve">Total Fund Equity </t>
  </si>
  <si>
    <t xml:space="preserve"> Total Assessments</t>
  </si>
  <si>
    <t>Total Tuition</t>
  </si>
  <si>
    <t>Tuition from Other LEAs Within NH</t>
  </si>
  <si>
    <t>Tuition from Other LEAs outside NH</t>
  </si>
  <si>
    <t>Transportation Fees from Individuals</t>
  </si>
  <si>
    <t xml:space="preserve">Total Transportation </t>
  </si>
  <si>
    <t>Total Local Revenue</t>
  </si>
  <si>
    <t>Total State Revenue</t>
  </si>
  <si>
    <t>Total Interfund Transfers</t>
  </si>
  <si>
    <t>Total Transfer from Trust Funds</t>
  </si>
  <si>
    <t>Total Other Financing Sources</t>
  </si>
  <si>
    <t>Total Elementary Expenditures</t>
  </si>
  <si>
    <t>Total Other Financing Uses</t>
  </si>
  <si>
    <t xml:space="preserve">Total Trust Fund Revenue </t>
  </si>
  <si>
    <t>Total Trust Fund Expenditures</t>
  </si>
  <si>
    <t xml:space="preserve">Total Current Liabilities </t>
  </si>
  <si>
    <t>Tot Liabilities &amp; Fund Equity</t>
  </si>
  <si>
    <t xml:space="preserve">Total Additions </t>
  </si>
  <si>
    <t>Total Deletions</t>
  </si>
  <si>
    <t xml:space="preserve">Total </t>
  </si>
  <si>
    <t>A</t>
  </si>
  <si>
    <t>L</t>
  </si>
  <si>
    <t>R</t>
  </si>
  <si>
    <t>E</t>
  </si>
  <si>
    <t>S</t>
  </si>
  <si>
    <t>Total Additional/Other Revenue</t>
  </si>
  <si>
    <t>Total Restricted Grants-In-Aid</t>
  </si>
  <si>
    <t>Total Unrestricted Grants-In-Aid</t>
  </si>
  <si>
    <t xml:space="preserve">Total Restricted Grants-In-Aid </t>
  </si>
  <si>
    <t xml:space="preserve"> Total Sale of Bonds and Notes</t>
  </si>
  <si>
    <t xml:space="preserve">    REGULAR PROGRAMS</t>
  </si>
  <si>
    <t xml:space="preserve">    SPECIAL PROGRAMS</t>
  </si>
  <si>
    <t xml:space="preserve">    VOCATIONAL PROGRAMS</t>
  </si>
  <si>
    <t xml:space="preserve">    OTHER INSTRUCTIONAL PROGRAMS</t>
  </si>
  <si>
    <t xml:space="preserve">    STUDENT</t>
  </si>
  <si>
    <t xml:space="preserve">    INSTRUCTIONAL STAFF</t>
  </si>
  <si>
    <t xml:space="preserve">    GENERAL ADMINISTRATION</t>
  </si>
  <si>
    <t xml:space="preserve">    SCHOOL ADMINISTRATION</t>
  </si>
  <si>
    <t xml:space="preserve">    BUSINESS</t>
  </si>
  <si>
    <t xml:space="preserve">    OPERATION/MAINTENANCE OF PLANT</t>
  </si>
  <si>
    <t xml:space="preserve">    STUDENT TRANSPORTATION</t>
  </si>
  <si>
    <t xml:space="preserve">    CENTRAL</t>
  </si>
  <si>
    <t xml:space="preserve">    OTHER</t>
  </si>
  <si>
    <t>ELEMENTARY EXPENDITURES</t>
  </si>
  <si>
    <t>MIDDLE/JUNIOR HIGH EXPENDITURES</t>
  </si>
  <si>
    <t>HIGH SCHOOL EXPENDITURES</t>
  </si>
  <si>
    <t xml:space="preserve">     LIABILITY &amp; FUND EQUITY</t>
  </si>
  <si>
    <t>Total Liabilities and Fund Equity</t>
  </si>
  <si>
    <t>Revenues from Federal sources</t>
  </si>
  <si>
    <t>Total Revenue &amp; Other Financing Sources</t>
  </si>
  <si>
    <t xml:space="preserve">Total Revenue from Federal Sources </t>
  </si>
  <si>
    <t>Total Middle/Junior High Expenditures</t>
  </si>
  <si>
    <t>Operation of Non-Instructional Services</t>
  </si>
  <si>
    <t xml:space="preserve">Total District Wide Expenditures </t>
  </si>
  <si>
    <t>Total Expenditures General Fund</t>
  </si>
  <si>
    <t>Debt Service</t>
  </si>
  <si>
    <t xml:space="preserve">Total Expenditures &amp; Other Financing Uses </t>
  </si>
  <si>
    <t>GENERAL FUND</t>
  </si>
  <si>
    <t>SPECIAL REVENUE FUND</t>
  </si>
  <si>
    <t>Total District Wide Expenditures</t>
  </si>
  <si>
    <t>Total Expenditures Special Revenue Funds</t>
  </si>
  <si>
    <t>Total Expenditures &amp; Other Financing Uses</t>
  </si>
  <si>
    <t>Subtotal (Lines 8 thru 13)</t>
  </si>
  <si>
    <t>Subtotal (Lines 1 thru 6)</t>
  </si>
  <si>
    <t>Subtotal (Lines 15 thru 19)</t>
  </si>
  <si>
    <t xml:space="preserve">  All Other Special Revenue Funds on ……..Page 14, Line 17, Col. 7</t>
  </si>
  <si>
    <t xml:space="preserve">  Trust Funds on….…………………………………..Page 17, Line 20, Col.7</t>
  </si>
  <si>
    <t>**** Must agree with………….…………………….Page 1, Line 31</t>
  </si>
  <si>
    <t>All except 4000</t>
  </si>
  <si>
    <t>16/20/7</t>
  </si>
  <si>
    <t>17/20/7</t>
  </si>
  <si>
    <t>16/20/1</t>
  </si>
  <si>
    <t>16/20/3</t>
  </si>
  <si>
    <t>16/20/2</t>
  </si>
  <si>
    <t xml:space="preserve">TRUST FUNDS: </t>
  </si>
  <si>
    <t>COMBINING STATEMENT OF REVENUES</t>
  </si>
  <si>
    <t>COMBINING STATEMENT OF EXPENDITURES</t>
  </si>
  <si>
    <t xml:space="preserve">   VOCATIONAL PROGRAMS</t>
  </si>
  <si>
    <t xml:space="preserve">   DISABILITIES PROGRAMS</t>
  </si>
  <si>
    <t xml:space="preserve"> FROM THE FEDERAL GOV'T THROUGH STATE</t>
  </si>
  <si>
    <t xml:space="preserve">   VOCATION EDU (ALL PROGRAMS)</t>
  </si>
  <si>
    <t xml:space="preserve">   ADULT EDUCATION</t>
  </si>
  <si>
    <t xml:space="preserve">   CHILD NUTRITION </t>
  </si>
  <si>
    <t xml:space="preserve">   MEDICAID DISTRIBUTIONS</t>
  </si>
  <si>
    <t xml:space="preserve">   OTHER RESTRICTED FED AID THROUGH STATE</t>
  </si>
  <si>
    <t xml:space="preserve">    FEDERAL FOREST RESERVE</t>
  </si>
  <si>
    <t xml:space="preserve">    OTHER REVENUE IN LIEU OF TAXES</t>
  </si>
  <si>
    <t xml:space="preserve"> REVENUE FOR/ON BEHALF OF LEA</t>
  </si>
  <si>
    <t xml:space="preserve">  SCHOOL BUILDING AID</t>
  </si>
  <si>
    <t xml:space="preserve">  KINDERGARTEN BUILDING AID</t>
  </si>
  <si>
    <t xml:space="preserve">  CHILD NUTRITION</t>
  </si>
  <si>
    <t xml:space="preserve">  DRIVER EDUCATION</t>
  </si>
  <si>
    <t xml:space="preserve">  SCHOOL IMPROVEMENT AID</t>
  </si>
  <si>
    <t xml:space="preserve">  OTHER RESTRICTED STATE AID</t>
  </si>
  <si>
    <t xml:space="preserve">  OTHER STATE AID</t>
  </si>
  <si>
    <t xml:space="preserve">  FOOD SERVICE SALES</t>
  </si>
  <si>
    <t xml:space="preserve">  STUDENT ACTIVITIES</t>
  </si>
  <si>
    <t xml:space="preserve">  RENTALS</t>
  </si>
  <si>
    <t xml:space="preserve">  CONTRIBUTION &amp; DONATIONS</t>
  </si>
  <si>
    <t xml:space="preserve">  SALE OF FIXED ASSETS</t>
  </si>
  <si>
    <t xml:space="preserve">  SERVICES PROVIDED SAUs</t>
  </si>
  <si>
    <t xml:space="preserve">  REFUND OF PRIOR YEAR EXPENDITURES</t>
  </si>
  <si>
    <t xml:space="preserve">  OTHER</t>
  </si>
  <si>
    <t xml:space="preserve">  CURRENT APPROPRIATION</t>
  </si>
  <si>
    <t xml:space="preserve">  DEFICIT APPROPRIATION</t>
  </si>
  <si>
    <t xml:space="preserve">  REGULAR DAY SCHOOL</t>
  </si>
  <si>
    <t xml:space="preserve">  SUMMER SCHOOL</t>
  </si>
  <si>
    <t xml:space="preserve">  SPECIAL EDUCATION</t>
  </si>
  <si>
    <t xml:space="preserve">  VOCATIONAL</t>
  </si>
  <si>
    <t xml:space="preserve">TUITION  </t>
  </si>
  <si>
    <t>TRANSPORTATION FEES</t>
  </si>
  <si>
    <t xml:space="preserve">  TRANSPORTATION FEES FOR NON-STUDENT</t>
  </si>
  <si>
    <t xml:space="preserve">  PRINCIPAL</t>
  </si>
  <si>
    <t xml:space="preserve">  PREMIUM</t>
  </si>
  <si>
    <t xml:space="preserve">  REIMBURSEMENT ANTICIPATION NOTES</t>
  </si>
  <si>
    <t xml:space="preserve">  ACCRUED INTEREST</t>
  </si>
  <si>
    <t xml:space="preserve">  TRANS FROM GENERAL FUND</t>
  </si>
  <si>
    <t xml:space="preserve">  TRANS FROM FOOD SERVICE SPECIAL REV FUND</t>
  </si>
  <si>
    <t xml:space="preserve">  TRANS FROM ALL OTHER SPEC REV FUNDS</t>
  </si>
  <si>
    <t xml:space="preserve">  TRANS FROM CAPITAL PROJECTS FUNDS</t>
  </si>
  <si>
    <t xml:space="preserve">  FROM CAPITAL RESERVE FUND</t>
  </si>
  <si>
    <t xml:space="preserve">  FROM OTHER EXPENDABLE TRUST FUNDS</t>
  </si>
  <si>
    <t xml:space="preserve">  FROM NONEXPENDABLE TRUST FUNDS</t>
  </si>
  <si>
    <t xml:space="preserve"> Instruction</t>
  </si>
  <si>
    <t xml:space="preserve">  INTEREST</t>
  </si>
  <si>
    <t xml:space="preserve">  FOOD SERVICE SPECIAL REV. FUND</t>
  </si>
  <si>
    <t xml:space="preserve">  CAPITAL PROJECT FUNDS</t>
  </si>
  <si>
    <t xml:space="preserve">  TRUST/AGENCY FUNDS</t>
  </si>
  <si>
    <t xml:space="preserve">  TO CHARTER SCHOOLS</t>
  </si>
  <si>
    <t xml:space="preserve">  TO OTHER AGENCIES</t>
  </si>
  <si>
    <t xml:space="preserve">  TO GENERAL FUND</t>
  </si>
  <si>
    <t xml:space="preserve">  TO CAPITAL PROJECTS FUNDS</t>
  </si>
  <si>
    <t xml:space="preserve">  TO TRUST/AGENCY FUNDS</t>
  </si>
  <si>
    <t xml:space="preserve">  ELEMENTARY</t>
  </si>
  <si>
    <t xml:space="preserve">  MIDDLE/JUNIOR HIGH</t>
  </si>
  <si>
    <t xml:space="preserve">  HIGH</t>
  </si>
  <si>
    <t xml:space="preserve">  SITE ACQUISITION</t>
  </si>
  <si>
    <t xml:space="preserve">  SITE IMPROVEMENT</t>
  </si>
  <si>
    <t xml:space="preserve">  ARCHITECTURAL/ENGINEERING</t>
  </si>
  <si>
    <t xml:space="preserve">  EDU SPECIFICATION DEVELOPMENT</t>
  </si>
  <si>
    <t xml:space="preserve">  BUILDING ACQUISITION/CONSTRUCTION</t>
  </si>
  <si>
    <t xml:space="preserve">  BUILDING IMPROVEMENT</t>
  </si>
  <si>
    <t xml:space="preserve">  LAND ACQUISITION</t>
  </si>
  <si>
    <t xml:space="preserve">  BUILDING CONSTRUCTION</t>
  </si>
  <si>
    <t xml:space="preserve">  BUILDING RENOVATION</t>
  </si>
  <si>
    <t xml:space="preserve">  SCHOOL BUS</t>
  </si>
  <si>
    <t xml:space="preserve">  ATHLETIC FIELDS</t>
  </si>
  <si>
    <t xml:space="preserve">  OTHER  </t>
  </si>
  <si>
    <t xml:space="preserve">  HEALTH MAINTENANCE FUND </t>
  </si>
  <si>
    <t xml:space="preserve">  FACILITIES MAINTENANCE/REPAIR</t>
  </si>
  <si>
    <t xml:space="preserve">  TUITION</t>
  </si>
  <si>
    <t xml:space="preserve">  TECHNOLOGY</t>
  </si>
  <si>
    <t>Intergovernmental Agency Allocations</t>
  </si>
  <si>
    <t xml:space="preserve">  CASH</t>
  </si>
  <si>
    <t xml:space="preserve">  INVESTMENTS</t>
  </si>
  <si>
    <t xml:space="preserve">  ASSESSMENTS RECEIVABLE</t>
  </si>
  <si>
    <t xml:space="preserve">  INTERFUND RECEIVABLE</t>
  </si>
  <si>
    <t xml:space="preserve">  OTHER RECEIVABLES</t>
  </si>
  <si>
    <t xml:space="preserve">  INVENTORIES</t>
  </si>
  <si>
    <t xml:space="preserve">  PREPAID EXPENSES</t>
  </si>
  <si>
    <t xml:space="preserve">  OTHER CURRENT ASSETS</t>
  </si>
  <si>
    <t xml:space="preserve">  INTERFUND PAYABLES</t>
  </si>
  <si>
    <t xml:space="preserve">  OTHER PAYABLES</t>
  </si>
  <si>
    <t xml:space="preserve">  BOND AND INTEREST PAYABLE</t>
  </si>
  <si>
    <t xml:space="preserve">  LOANS AND INTEREST PAYABLE</t>
  </si>
  <si>
    <t xml:space="preserve">  ACCRUED EXPENSES</t>
  </si>
  <si>
    <t xml:space="preserve">  CONTRACTS PAYABLE</t>
  </si>
  <si>
    <t xml:space="preserve">  PAYROLL DEDUCTIONS</t>
  </si>
  <si>
    <t xml:space="preserve">  DEFERRED REVENUES</t>
  </si>
  <si>
    <t xml:space="preserve">  RESERVE FOR INVENTORIES</t>
  </si>
  <si>
    <t xml:space="preserve">  RESERVE FOR PREPAID EXPENSES</t>
  </si>
  <si>
    <t xml:space="preserve">  RESERVED FOR SPECIAL PURPOSES</t>
  </si>
  <si>
    <t>DETAILED EXP DATA FOR SPECIAL EDUCATION (Data for Culturally Deprived, Bilingual and Gifted/Talented) (All Funds)</t>
  </si>
  <si>
    <t>DETAILED EXPENDITURE DATA ON SUMMER SCHOOL PROGRAMS EXPENDITURES (All Funds Combined)</t>
  </si>
  <si>
    <t>COMMUNITY/JR. COLLEGE ED. PROGRAMS</t>
  </si>
  <si>
    <t>COMMUNITY SERVICE PROGRAMS</t>
  </si>
  <si>
    <t>FACILITIES ACQUISITION &amp; CONSTRUCTION</t>
  </si>
  <si>
    <t xml:space="preserve">  OTHER CURRENT LIABILITIES</t>
  </si>
  <si>
    <t xml:space="preserve">  BOND PROCEEDS RECEIVABLE</t>
  </si>
  <si>
    <t xml:space="preserve">  COMMUNITY SERVICE ACTIVITIES</t>
  </si>
  <si>
    <t xml:space="preserve">  SALE OF TEXTBOOKS &amp; MATERIALS</t>
  </si>
  <si>
    <t xml:space="preserve">  SERVICES PROVIDED OTHER LEAs WITHIN NH</t>
  </si>
  <si>
    <t xml:space="preserve">  SERVICES PROVIDED OTHER LEAs OUTSIDE NH</t>
  </si>
  <si>
    <t xml:space="preserve">  SERVICES PROVIDED TO LOCAL GOV UNITS</t>
  </si>
  <si>
    <t xml:space="preserve">  EARNINGS ON INVESTMENTS</t>
  </si>
  <si>
    <t xml:space="preserve">  VOCATIONAL EDUCATION (TUITION)</t>
  </si>
  <si>
    <t xml:space="preserve">  VOCATIONAL EDUCATION (TRANSPORTATION)</t>
  </si>
  <si>
    <t xml:space="preserve">  VOCATIONAL EDUCATION (BUILDING)</t>
  </si>
  <si>
    <t>REVENUE IN LIEU OF TAXES</t>
  </si>
  <si>
    <t>REVENUE FOR/ON BEHALF OF LEA</t>
  </si>
  <si>
    <t xml:space="preserve">   FROM THE FEDERAL GOV'T THROUGH STATE</t>
  </si>
  <si>
    <t xml:space="preserve">   FROM THE FEDERAL GOV'T DIRECT</t>
  </si>
  <si>
    <t xml:space="preserve"> FROM THE FEDERAL GOV'T DIRECT</t>
  </si>
  <si>
    <t xml:space="preserve">  ALL OTHER SPECIAL REV. FUNDS</t>
  </si>
  <si>
    <t xml:space="preserve">  TO FOOD SERVICE SPEC REV. FUND</t>
  </si>
  <si>
    <t xml:space="preserve">  INTERFUND RECEIVABLES</t>
  </si>
  <si>
    <t xml:space="preserve">  INTERGOVERNMENTAL RECEIVABLES</t>
  </si>
  <si>
    <t xml:space="preserve">  PREPAID EXPENSE</t>
  </si>
  <si>
    <t xml:space="preserve">  OTHER ASSETS</t>
  </si>
  <si>
    <t xml:space="preserve">  INTERGOVERNMENTAL PAYABLES</t>
  </si>
  <si>
    <t xml:space="preserve">  OTHER LIABILITIES</t>
  </si>
  <si>
    <t xml:space="preserve">  RESERVED FOR CONTINUING APPROPRIATIONS</t>
  </si>
  <si>
    <t xml:space="preserve">  REVENUE *</t>
  </si>
  <si>
    <t xml:space="preserve">  OTHER ADDITIONS **</t>
  </si>
  <si>
    <t xml:space="preserve">  EXPENDITURES ***</t>
  </si>
  <si>
    <t xml:space="preserve">  OTHER DELETIONS **</t>
  </si>
  <si>
    <t xml:space="preserve">  Length of Debt (yrs)</t>
  </si>
  <si>
    <t xml:space="preserve">  Date of Issue (mm/yy)</t>
  </si>
  <si>
    <t xml:space="preserve">  Date of Final Payment(mm/yy)</t>
  </si>
  <si>
    <t xml:space="preserve">  Original Debt Amount</t>
  </si>
  <si>
    <t xml:space="preserve">  Interest Rate</t>
  </si>
  <si>
    <t xml:space="preserve">  Principal at Beginning of Year</t>
  </si>
  <si>
    <t xml:space="preserve">  New Issues This Year</t>
  </si>
  <si>
    <t xml:space="preserve">  Retired Issues This Year</t>
  </si>
  <si>
    <t xml:space="preserve">  Remaining Principal Balance Due</t>
  </si>
  <si>
    <t xml:space="preserve">  Remaining Interest Balance Due</t>
  </si>
  <si>
    <t xml:space="preserve">  Remaining Debt(P&amp;I) (Lines 9 plus 10)</t>
  </si>
  <si>
    <t xml:space="preserve">  Amount of Interest to be Paid Next Fiscal Year</t>
  </si>
  <si>
    <t xml:space="preserve">  Total Debt Next Fiscal Year Lines 12 plus 13)</t>
  </si>
  <si>
    <t xml:space="preserve">  SITES</t>
  </si>
  <si>
    <t xml:space="preserve">  SITE IMPROVEMENTS</t>
  </si>
  <si>
    <t xml:space="preserve">  BUILDINGS AND IMPROVEMENTS</t>
  </si>
  <si>
    <t xml:space="preserve">  MACHINERY AND EQUIPMENT</t>
  </si>
  <si>
    <t xml:space="preserve">  CONSTRUCTION IN PROGRESS</t>
  </si>
  <si>
    <t xml:space="preserve">  INVESTMENT IN GENERAL FIXED ASSETS</t>
  </si>
  <si>
    <t xml:space="preserve">  Elementary</t>
  </si>
  <si>
    <t xml:space="preserve">  Middle/Junior High</t>
  </si>
  <si>
    <t xml:space="preserve">  High</t>
  </si>
  <si>
    <t xml:space="preserve">  Special Program Residential Costs</t>
  </si>
  <si>
    <t xml:space="preserve">  Regular To and From Transportation</t>
  </si>
  <si>
    <t xml:space="preserve">  All Special Education Transportation</t>
  </si>
  <si>
    <t xml:space="preserve">  Vocational Education Transportation</t>
  </si>
  <si>
    <t xml:space="preserve">  Athletic Trips</t>
  </si>
  <si>
    <t xml:space="preserve">  Intra-District Transportation</t>
  </si>
  <si>
    <t xml:space="preserve">  Land and Improvements</t>
  </si>
  <si>
    <t xml:space="preserve">  Buildings</t>
  </si>
  <si>
    <t xml:space="preserve">  Equipment (Mach/Furn/Veh/Computers)</t>
  </si>
  <si>
    <t xml:space="preserve">  High School</t>
  </si>
  <si>
    <t xml:space="preserve">   ELEM/SEC(ESEA) - TITLE 1</t>
  </si>
  <si>
    <t xml:space="preserve">   ELEM/SEC(ESEA) - ALL OTHER PROGRAMS</t>
  </si>
  <si>
    <t xml:space="preserve">Total Unrestricted Grants-In-Aid </t>
  </si>
  <si>
    <t xml:space="preserve">   ELEMENTARY/SECONDARY PROGRAMS</t>
  </si>
  <si>
    <t xml:space="preserve">  Food Service Special Revenue Fund on…..Page 15, Line 5, Col. 7</t>
  </si>
  <si>
    <t xml:space="preserve">  Amount of Principal to be Paid Next Fiscal Year</t>
  </si>
  <si>
    <t xml:space="preserve">  Co curricular Trips/Field Trips</t>
  </si>
  <si>
    <t>F</t>
  </si>
  <si>
    <t>DETAILED EXPENDITURE DATA ON TRANSPORTATION EXPENDITURES (General Fund only)</t>
  </si>
  <si>
    <t xml:space="preserve">  Other Transportation</t>
  </si>
  <si>
    <t>PRIVATE PROGRAMS</t>
  </si>
  <si>
    <t>*    Must agree with totals on Page 6, line 19</t>
  </si>
  <si>
    <t>6/19/1</t>
  </si>
  <si>
    <t>6/19/2</t>
  </si>
  <si>
    <t>6/19/3</t>
  </si>
  <si>
    <t>6/19/4</t>
  </si>
  <si>
    <t>6/19/5</t>
  </si>
  <si>
    <t>3/11/5</t>
  </si>
  <si>
    <t>6/10/5</t>
  </si>
  <si>
    <t>6/6/2</t>
  </si>
  <si>
    <t>6/6/3</t>
  </si>
  <si>
    <t>6/6/4</t>
  </si>
  <si>
    <t>6/6/5</t>
  </si>
  <si>
    <t xml:space="preserve">  Regular Program Tuition to LEAs within NH</t>
  </si>
  <si>
    <t xml:space="preserve">  Regular Program Tuition to LEAs outside NH</t>
  </si>
  <si>
    <t xml:space="preserve">  Special Program Tuition to LEAs within NH</t>
  </si>
  <si>
    <t xml:space="preserve">  Special Program Tuition to LEAs outside NH</t>
  </si>
  <si>
    <t xml:space="preserve">  Special Program Tuition to Private and Other Schools </t>
  </si>
  <si>
    <t xml:space="preserve">  Regular Program Tuition to Private and Other Schools</t>
  </si>
  <si>
    <t xml:space="preserve">  Vocational Program Tuition to LEAs within NH</t>
  </si>
  <si>
    <t xml:space="preserve">  Vocational Program Tuition to LEAs outside NH</t>
  </si>
  <si>
    <t xml:space="preserve">  Vocational Program Tuition to Private &amp; Other Schools</t>
  </si>
  <si>
    <t>Acct</t>
  </si>
  <si>
    <t xml:space="preserve">  OTHER PUBLIC INTERMEDIATE AGENCIES</t>
  </si>
  <si>
    <t>OTHER FINANCING SOURCES</t>
  </si>
  <si>
    <t>Total High School Expenditures</t>
  </si>
  <si>
    <t>Revenue For/On Behalf of LEA</t>
  </si>
  <si>
    <t>1/11/1</t>
  </si>
  <si>
    <t>1/11/2</t>
  </si>
  <si>
    <t>1/11/3</t>
  </si>
  <si>
    <t>1/11/4</t>
  </si>
  <si>
    <t>1/11/5</t>
  </si>
  <si>
    <t>(7)</t>
  </si>
  <si>
    <t>100</t>
  </si>
  <si>
    <t>200</t>
  </si>
  <si>
    <t>300,400,500</t>
  </si>
  <si>
    <t>600</t>
  </si>
  <si>
    <t>700</t>
  </si>
  <si>
    <t>800/900</t>
  </si>
  <si>
    <r>
      <t xml:space="preserve">**  Other Additions - </t>
    </r>
    <r>
      <rPr>
        <b/>
        <sz val="8"/>
        <color indexed="12"/>
        <rFont val="Arial Rounded MT Bold"/>
        <family val="2"/>
      </rPr>
      <t>(Explain below)</t>
    </r>
  </si>
  <si>
    <r>
      <t xml:space="preserve">** Other Deletions - </t>
    </r>
    <r>
      <rPr>
        <b/>
        <sz val="8"/>
        <color indexed="12"/>
        <rFont val="Arial Rounded MT Bold"/>
        <family val="2"/>
      </rPr>
      <t>(Explain below)</t>
    </r>
  </si>
  <si>
    <t>(Data for Handicapped/Disabled Only) (All Funds)</t>
  </si>
  <si>
    <t>DETAILED EXP DATA FOR SPECIAL EDUCATION</t>
  </si>
  <si>
    <t>(10/8/5+14/7/5)-(10/6/5+14/5/5)</t>
  </si>
  <si>
    <t>Middle/Junior</t>
  </si>
  <si>
    <t>District Total</t>
  </si>
  <si>
    <t>Regular Education</t>
  </si>
  <si>
    <t>Special Programs</t>
  </si>
  <si>
    <t>Vocational Programs</t>
  </si>
  <si>
    <t>Other Instructional Programs</t>
  </si>
  <si>
    <t>Student Support Services</t>
  </si>
  <si>
    <t>Instructional Staff Support</t>
  </si>
  <si>
    <t>Business Services</t>
  </si>
  <si>
    <t>Plant Operations</t>
  </si>
  <si>
    <t>Transportation</t>
  </si>
  <si>
    <t>School Administration</t>
  </si>
  <si>
    <t>Other Support Services</t>
  </si>
  <si>
    <t>Dist Name:</t>
  </si>
  <si>
    <t>Non-public Programs</t>
  </si>
  <si>
    <t>Community Programs</t>
  </si>
  <si>
    <t>Bond Interest</t>
  </si>
  <si>
    <t>5310+5390</t>
  </si>
  <si>
    <t>Charter Schools/Other Agencies</t>
  </si>
  <si>
    <t>Total Recurring Expenditures</t>
  </si>
  <si>
    <t>$</t>
  </si>
  <si>
    <t>%</t>
  </si>
  <si>
    <t>1600-1800,2750</t>
  </si>
  <si>
    <t>2300&amp;2800</t>
  </si>
  <si>
    <t>Facility Construction</t>
  </si>
  <si>
    <t>Total Expenditures</t>
  </si>
  <si>
    <t>Bonds &amp; Notes Principal Repayment</t>
  </si>
  <si>
    <t>Local Property Tax</t>
  </si>
  <si>
    <t>State Foundation/Adequacy Aid</t>
  </si>
  <si>
    <t>Other State Aid</t>
  </si>
  <si>
    <t>Federal Aid</t>
  </si>
  <si>
    <t xml:space="preserve">Other   </t>
  </si>
  <si>
    <t>Total Revenues</t>
  </si>
  <si>
    <t>Sales of Bonds &amp; Notes</t>
  </si>
  <si>
    <t>3120-3900</t>
  </si>
  <si>
    <t>5300-5600</t>
  </si>
  <si>
    <t>School District Profile</t>
  </si>
  <si>
    <t>5110&amp;5140</t>
  </si>
  <si>
    <t>Genral Administration &amp; Business</t>
  </si>
  <si>
    <t>Tuition, Food &amp; Other Local Services</t>
  </si>
  <si>
    <t xml:space="preserve">  Regular Program Tuition to Public Academies/JMA * </t>
  </si>
  <si>
    <t xml:space="preserve">  Special Program Tuition to Public Academies/JMA *</t>
  </si>
  <si>
    <t xml:space="preserve">  Vocational Program Tuition to Public Academies/JMA*</t>
  </si>
  <si>
    <t xml:space="preserve">  *Coe-Brown, Pinkerton and Prospect Mtn only</t>
  </si>
  <si>
    <t>23. Total Revenue from State Sources Lines 13, and 20-22</t>
  </si>
  <si>
    <t>24. Unrestricted Grants-In-Aid</t>
  </si>
  <si>
    <t>25. Restricted Grants-in-Aid Direct from Fed Gov't</t>
  </si>
  <si>
    <t>26. Restricted Grants-in-Aid  from Fed Gov't thru State</t>
  </si>
  <si>
    <t>27. Other Revenue for /on Behalf of LEA</t>
  </si>
  <si>
    <t>28. Federal Forest Land Distribution</t>
  </si>
  <si>
    <t>29. Total Revenue from Federal Gov't (Lines 24-28)</t>
  </si>
  <si>
    <t>30. Sale of Bonds and Notes</t>
  </si>
  <si>
    <t>31.  Reimbursement Anticipation Notes</t>
  </si>
  <si>
    <t>32. Transfer from General Fund</t>
  </si>
  <si>
    <t>33. Transfer from Special Revenue Funds</t>
  </si>
  <si>
    <t>34. Transfer from Capital Projects</t>
  </si>
  <si>
    <t>35. Transfer from Capital Reserve Funds</t>
  </si>
  <si>
    <t>36. Transfer from Trust Funds</t>
  </si>
  <si>
    <t>37. Compensation for Loss of Fixed Assets</t>
  </si>
  <si>
    <t>38. Capital Lease/Lease Purchases</t>
  </si>
  <si>
    <t>39. Total Other Financing Sources (Lines 30-38)</t>
  </si>
  <si>
    <t>40. Total Revenue &amp; Other Financing Sources (Lines 8,23,29,39)</t>
  </si>
  <si>
    <t>29.  Transfer to Fiduciary Fund</t>
  </si>
  <si>
    <t>District Notes</t>
  </si>
  <si>
    <t>Page #</t>
  </si>
  <si>
    <t>Line #</t>
  </si>
  <si>
    <t>Comments</t>
  </si>
  <si>
    <t>Notes</t>
  </si>
  <si>
    <t>SPECIAL REVENUE</t>
  </si>
  <si>
    <t xml:space="preserve">  STATEWIDE ENHANCED EDUCATION TAX</t>
  </si>
  <si>
    <t>10.  Statewide Enhanced Education Tax</t>
  </si>
  <si>
    <t>DETAILED EXPENDITURE DATA REGARDING TUITION (All Funds) - DO NOT INCLUDE CHARTER SCHOOLS</t>
  </si>
  <si>
    <t>Benefits</t>
  </si>
  <si>
    <t>Totals</t>
  </si>
  <si>
    <t>Instructions</t>
  </si>
  <si>
    <t xml:space="preserve">   1. Teachers</t>
  </si>
  <si>
    <t xml:space="preserve">   2. Aides/Paras</t>
  </si>
  <si>
    <t xml:space="preserve">   3. Other</t>
  </si>
  <si>
    <t>Regular Programs</t>
  </si>
  <si>
    <t xml:space="preserve">Totals - Reported on Pages 7-9 and 11-13 </t>
  </si>
  <si>
    <t>General and Special Revenue Fund Personnel Expenditures for Instruction</t>
  </si>
  <si>
    <t xml:space="preserve">District Name:  </t>
  </si>
  <si>
    <t>Account Code - 1100</t>
  </si>
  <si>
    <t>Account Code - 1200</t>
  </si>
  <si>
    <t>Account Code - 1300</t>
  </si>
  <si>
    <t>Account Code - 1400</t>
  </si>
  <si>
    <t>Expenditures</t>
  </si>
  <si>
    <t>Direct/</t>
  </si>
  <si>
    <t>Disallowed Cost</t>
  </si>
  <si>
    <t>Indirect</t>
  </si>
  <si>
    <t>Cost</t>
  </si>
  <si>
    <t>Capital Outlay</t>
  </si>
  <si>
    <t>Object 700</t>
  </si>
  <si>
    <t>Debt Services</t>
  </si>
  <si>
    <t>Function 5100</t>
  </si>
  <si>
    <t>Code</t>
  </si>
  <si>
    <t>Support Services - Student</t>
  </si>
  <si>
    <t>General Administration</t>
  </si>
  <si>
    <t>Business</t>
  </si>
  <si>
    <t>Student Transportation</t>
  </si>
  <si>
    <t>Central</t>
  </si>
  <si>
    <t>Adult/Continuing Ed Programs</t>
  </si>
  <si>
    <t>Community/Jr. College Programs</t>
  </si>
  <si>
    <t>Community Service Programs</t>
  </si>
  <si>
    <t>5110-5120</t>
  </si>
  <si>
    <t>Principal &amp; Interest</t>
  </si>
  <si>
    <t>Object 800-900</t>
  </si>
  <si>
    <t>Special Revenue Funds</t>
  </si>
  <si>
    <r>
      <t xml:space="preserve">  </t>
    </r>
    <r>
      <rPr>
        <sz val="8"/>
        <color indexed="10"/>
        <rFont val="Arial"/>
        <family val="2"/>
      </rPr>
      <t>minus</t>
    </r>
    <r>
      <rPr>
        <sz val="8"/>
        <rFont val="Arial"/>
        <family val="2"/>
      </rPr>
      <t xml:space="preserve"> Cost of Food</t>
    </r>
  </si>
  <si>
    <t>Total Grand Expenditures</t>
  </si>
  <si>
    <t>Total Direct Cost</t>
  </si>
  <si>
    <t>Fund</t>
  </si>
  <si>
    <t>Objects 100-600</t>
  </si>
  <si>
    <t xml:space="preserve">         pool of expenditures, and is added to the direct pool of expenditures.</t>
  </si>
  <si>
    <t xml:space="preserve">         to the direct pool of expenditures.</t>
  </si>
  <si>
    <t>Includes Audit - Y/N</t>
  </si>
  <si>
    <t xml:space="preserve"> 1. Food Service Operations</t>
  </si>
  <si>
    <t xml:space="preserve"> 2. Special Revenue Expenditures</t>
  </si>
  <si>
    <t>1000-2800</t>
  </si>
  <si>
    <t>Operation and Maintenance of Plant</t>
  </si>
  <si>
    <t>Facilities Acquisition And Construction</t>
  </si>
  <si>
    <t>Support Services - Instructional Staff</t>
  </si>
  <si>
    <r>
      <t xml:space="preserve">Note: </t>
    </r>
    <r>
      <rPr>
        <sz val="8"/>
        <rFont val="Arial"/>
        <family val="2"/>
      </rPr>
      <t xml:space="preserve"> Please provide the instructional salaries and benefits by job classification. </t>
    </r>
  </si>
  <si>
    <t xml:space="preserve">  special revenue funds on the DOE-25 worksheet.</t>
  </si>
  <si>
    <t>See Instructions on Row 48</t>
  </si>
  <si>
    <t xml:space="preserve">  "Check Total OK", will change to "Check Total Error" in cells A13, A22, A31 and A40.</t>
  </si>
  <si>
    <t xml:space="preserve">           Personal costs contitute about 85% of current expenditures, and this information will allow the </t>
  </si>
  <si>
    <t xml:space="preserve">           NH DOE to report a more comprehensive analysis of expenditures for districts, elected officials</t>
  </si>
  <si>
    <t xml:space="preserve">           and the public.  This breakout of expenditures will aslo be reported to the US Department of Education.</t>
  </si>
  <si>
    <t xml:space="preserve">  1.  The top line in each section is the sum of amounts reported at all grade levels for both the general and </t>
  </si>
  <si>
    <r>
      <t xml:space="preserve">  2.  Allocate the full amount to the three employee catagories. </t>
    </r>
    <r>
      <rPr>
        <sz val="8"/>
        <color indexed="10"/>
        <rFont val="Arial"/>
        <family val="2"/>
      </rPr>
      <t xml:space="preserve"> If the allocations do not sum to the total</t>
    </r>
    <r>
      <rPr>
        <sz val="8"/>
        <color indexed="8"/>
        <rFont val="Arial"/>
        <family val="2"/>
      </rPr>
      <t xml:space="preserve">, </t>
    </r>
  </si>
  <si>
    <t>Total Indirect Cost</t>
  </si>
  <si>
    <t>Bureau of Data Management Notes</t>
  </si>
  <si>
    <t xml:space="preserve">  ADEQUACY AID GRANT</t>
  </si>
  <si>
    <t>9. Adequacy Education Grant</t>
  </si>
  <si>
    <t>3111&amp;3112&amp;3119</t>
  </si>
  <si>
    <t xml:space="preserve">   RESERVE FOR CONTINUING APPROPRIATIONS</t>
  </si>
  <si>
    <t xml:space="preserve">   RESERVE FOR AMTS VOTED </t>
  </si>
  <si>
    <t xml:space="preserve">   RESERVE FOR ENCUMBRANCES (non-lapsing)</t>
  </si>
  <si>
    <t xml:space="preserve">   RESERVED FOR SPECIAL PURPOSES</t>
  </si>
  <si>
    <t>UNASSIGNED FUND BALANCE</t>
  </si>
  <si>
    <t>18/21/1</t>
  </si>
  <si>
    <t>18/21/2</t>
  </si>
  <si>
    <t>18/21/3</t>
  </si>
  <si>
    <t>18/21/4</t>
  </si>
  <si>
    <t xml:space="preserve"> Restricted:</t>
  </si>
  <si>
    <t xml:space="preserve"> Nonspendable:</t>
  </si>
  <si>
    <t xml:space="preserve">  Committed:</t>
  </si>
  <si>
    <t xml:space="preserve">  Assigned:</t>
  </si>
  <si>
    <t>23. RESERVE FOR INVENTORIES</t>
  </si>
  <si>
    <t>24. RESERVE FOR PREPAID EXPENSES</t>
  </si>
  <si>
    <t xml:space="preserve">  RESERVE FOR ENCUMBRANCES (NON-LAPSING)</t>
  </si>
  <si>
    <t xml:space="preserve">  RESERVE FOR ENDOWMENTS (principal only) </t>
  </si>
  <si>
    <t xml:space="preserve">  RESERVE FOR ENDOWMENTS (interest)</t>
  </si>
  <si>
    <t xml:space="preserve">  RESERVED FOR ENDOWMENTS (principal)</t>
  </si>
  <si>
    <t xml:space="preserve">  RESERVED FOR ENDOWMENTS (Interest)</t>
  </si>
  <si>
    <t>25. RESERVE FOR ENDOWMENTS (principal only)</t>
  </si>
  <si>
    <t>26. RESERVE FOR ENDOWMENTS (interest)</t>
  </si>
  <si>
    <t xml:space="preserve">  RESERVED FOR ENCUMBRANCES </t>
  </si>
  <si>
    <t xml:space="preserve">   RESERVED FOR ENCUMBRANCES </t>
  </si>
  <si>
    <t xml:space="preserve">  RESTRICTED FOR FOOD SERVICE</t>
  </si>
  <si>
    <t>27. RESTRICTED FOR FOOD SERVICE</t>
  </si>
  <si>
    <t>29. RESERVE FOR CONTINUING APPROPRIATIONS</t>
  </si>
  <si>
    <t xml:space="preserve">30. RESERVE FOR AMTS VOTED </t>
  </si>
  <si>
    <t>31. RESERVE FOR ENCUMBRANCES (non-lapsing)</t>
  </si>
  <si>
    <t>1/36/1</t>
  </si>
  <si>
    <t>1/36/2</t>
  </si>
  <si>
    <t>1/36/3</t>
  </si>
  <si>
    <t>1/36/4</t>
  </si>
  <si>
    <t>1/36/5</t>
  </si>
  <si>
    <t xml:space="preserve">  UNSPENT BOND PROCEEDS</t>
  </si>
  <si>
    <t>28. UNSPENT BOND PROCEEDS</t>
  </si>
  <si>
    <t xml:space="preserve">  SHARED REVENUE</t>
  </si>
  <si>
    <t>11. Shared Revenues</t>
  </si>
  <si>
    <t xml:space="preserve">   UNASSIGNED FUND BALANCE RETAINED</t>
  </si>
  <si>
    <t>1/37/1</t>
  </si>
  <si>
    <t>1/37/2</t>
  </si>
  <si>
    <t>1/37/3</t>
  </si>
  <si>
    <t>1/37/4</t>
  </si>
  <si>
    <t>1/37/5</t>
  </si>
  <si>
    <t>32. UNASSIGNED FUND BALANCE RETAINED</t>
  </si>
  <si>
    <t>33.  RESERVED FOR SPECIAL PURPOSES</t>
  </si>
  <si>
    <t>34.  RESERVE FOR ENCUMBRANCES</t>
  </si>
  <si>
    <t>35. UNASSIGNED FUND BALANCE</t>
  </si>
  <si>
    <t>36. Total Fund Equity    lines 23-35</t>
  </si>
  <si>
    <t>37. TOT LIAB &amp; FUND EQUITY    lines 22 &amp; 36</t>
  </si>
  <si>
    <t>22. Revenue In Lieu of Taxes</t>
  </si>
  <si>
    <t>Capital/Property</t>
  </si>
  <si>
    <r>
      <t>School Board Cost</t>
    </r>
    <r>
      <rPr>
        <vertAlign val="superscript"/>
        <sz val="8"/>
        <rFont val="Arial"/>
        <family val="2"/>
      </rPr>
      <t xml:space="preserve"> </t>
    </r>
    <r>
      <rPr>
        <b/>
        <vertAlign val="superscript"/>
        <sz val="10"/>
        <color indexed="10"/>
        <rFont val="Arial"/>
        <family val="2"/>
      </rPr>
      <t>1</t>
    </r>
  </si>
  <si>
    <r>
      <t>School Board Audit</t>
    </r>
    <r>
      <rPr>
        <vertAlign val="superscript"/>
        <sz val="8"/>
        <color indexed="10"/>
        <rFont val="Arial"/>
        <family val="2"/>
      </rPr>
      <t xml:space="preserve"> </t>
    </r>
    <r>
      <rPr>
        <vertAlign val="superscript"/>
        <sz val="10"/>
        <color indexed="10"/>
        <rFont val="Arial"/>
        <family val="2"/>
      </rPr>
      <t>2</t>
    </r>
  </si>
  <si>
    <r>
      <t>Cost of Superintendent &amp; Sec &amp; Assistant Super</t>
    </r>
    <r>
      <rPr>
        <vertAlign val="superscript"/>
        <sz val="8"/>
        <color indexed="10"/>
        <rFont val="Arial"/>
        <family val="2"/>
      </rPr>
      <t xml:space="preserve"> </t>
    </r>
    <r>
      <rPr>
        <vertAlign val="superscript"/>
        <sz val="10"/>
        <color indexed="10"/>
        <rFont val="Arial"/>
        <family val="2"/>
      </rPr>
      <t>3</t>
    </r>
  </si>
  <si>
    <t>Excluded Cost per 34 CFR 76</t>
  </si>
  <si>
    <t>Schedule of Expenditures for Computation of Restricted Indirect Cost</t>
  </si>
  <si>
    <t>2500 Business - Assistant Superintendent of Finance.  This is an"unallowed" cost that is subtracted from the indirect pool of expenditures, and is added</t>
  </si>
  <si>
    <r>
      <t xml:space="preserve"> 1)</t>
    </r>
    <r>
      <rPr>
        <u/>
        <sz val="9"/>
        <rFont val="Arial"/>
        <family val="2"/>
      </rPr>
      <t xml:space="preserve"> </t>
    </r>
    <r>
      <rPr>
        <b/>
        <u/>
        <sz val="9"/>
        <rFont val="Arial"/>
        <family val="2"/>
      </rPr>
      <t>2310 School Board Costs</t>
    </r>
    <r>
      <rPr>
        <sz val="9"/>
        <rFont val="Arial"/>
        <family val="2"/>
      </rPr>
      <t xml:space="preserve"> - Enter the total expenditures for the District School Board Operations.  This is an "unallowed" cost that is subtracted from the indirect</t>
    </r>
  </si>
  <si>
    <r>
      <t>2)</t>
    </r>
    <r>
      <rPr>
        <b/>
        <sz val="9"/>
        <rFont val="Arial"/>
        <family val="2"/>
      </rPr>
      <t xml:space="preserve"> </t>
    </r>
    <r>
      <rPr>
        <b/>
        <u/>
        <sz val="9"/>
        <rFont val="Arial"/>
        <family val="2"/>
      </rPr>
      <t>2317 Cost of Audit</t>
    </r>
    <r>
      <rPr>
        <sz val="9"/>
        <rFont val="Arial"/>
        <family val="2"/>
      </rPr>
      <t xml:space="preserve"> - Enter the cost of the audit.  This is an "allowed" cost that is added back in to the indrect pool of expenditures. </t>
    </r>
  </si>
  <si>
    <t xml:space="preserve">of  the LEA. The activities of the Assistant Superintendent's office should be charge  here, unless the activities can be placed properly into a service area such as;  </t>
  </si>
  <si>
    <t xml:space="preserve">cost of the Superintendent, Superintendent's Secretary and Assistant Superintendent (where applicable) whose responsibilities is directing and managing all affairs </t>
  </si>
  <si>
    <r>
      <t xml:space="preserve">3) </t>
    </r>
    <r>
      <rPr>
        <b/>
        <u/>
        <sz val="9"/>
        <rFont val="Arial"/>
        <family val="2"/>
      </rPr>
      <t>2321 Cost of Superintendent &amp; Secretary and Assistant Superintendent</t>
    </r>
    <r>
      <rPr>
        <b/>
        <sz val="9"/>
        <rFont val="Arial"/>
        <family val="2"/>
      </rPr>
      <t xml:space="preserve"> </t>
    </r>
    <r>
      <rPr>
        <sz val="9"/>
        <rFont val="Arial"/>
        <family val="2"/>
      </rPr>
      <t>- Enter the cost which reflects the salary, benefits, fixed charges, supplies and other</t>
    </r>
  </si>
  <si>
    <t>Restricted Indirect Cost Rate to be determined</t>
  </si>
  <si>
    <r>
      <t xml:space="preserve">4)  </t>
    </r>
    <r>
      <rPr>
        <b/>
        <u/>
        <sz val="9"/>
        <rFont val="Arial"/>
        <family val="2"/>
      </rPr>
      <t>Contract Amounts Above $25,000</t>
    </r>
    <r>
      <rPr>
        <b/>
        <sz val="9"/>
        <rFont val="Arial"/>
        <family val="2"/>
      </rPr>
      <t xml:space="preserve"> </t>
    </r>
    <r>
      <rPr>
        <sz val="9"/>
        <rFont val="Arial"/>
        <family val="2"/>
      </rPr>
      <t xml:space="preserve">- Enter the amount of any contracted service that exceeds $25,000 per year per contract.  (Prorate multi-year contracts.) This applies to object 300 (professional and technical services) except per diem. It also includes object code 400 and 500 fixed price and term contracts for such things as janitorial, grounds maintenance, transportation and food service operation. </t>
    </r>
    <r>
      <rPr>
        <sz val="9"/>
        <color rgb="FFFF0000"/>
        <rFont val="Arial"/>
        <family val="2"/>
      </rPr>
      <t xml:space="preserve"> It does not include rentals, utilities or tuition.</t>
    </r>
  </si>
  <si>
    <t xml:space="preserve">  SPECIAL EDUCATION AID</t>
  </si>
  <si>
    <t xml:space="preserve">  VOCATIONAL EDUCATION (ROBOTICS)</t>
  </si>
  <si>
    <t xml:space="preserve">  KENO-KINDERGARTEN AID</t>
  </si>
  <si>
    <t>District</t>
  </si>
  <si>
    <t>District #</t>
  </si>
  <si>
    <t>Manchester</t>
  </si>
  <si>
    <t>Dst ID</t>
  </si>
  <si>
    <t>District Name</t>
  </si>
  <si>
    <t>School Name</t>
  </si>
  <si>
    <t>Allenstown</t>
  </si>
  <si>
    <t>Armand R. Dupont School</t>
  </si>
  <si>
    <t>Allenstown Elementary School</t>
  </si>
  <si>
    <t>Alton</t>
  </si>
  <si>
    <t>Alton Central School (Elem)</t>
  </si>
  <si>
    <t>Amherst</t>
  </si>
  <si>
    <t>Amherst Middle School</t>
  </si>
  <si>
    <t>Clark-Wilkins School</t>
  </si>
  <si>
    <t>Andover</t>
  </si>
  <si>
    <t>Andover Elementary School</t>
  </si>
  <si>
    <t>Ashland</t>
  </si>
  <si>
    <t>Ashland Elementary School</t>
  </si>
  <si>
    <t>Auburn</t>
  </si>
  <si>
    <t>Auburn Village School</t>
  </si>
  <si>
    <t>Barnstead</t>
  </si>
  <si>
    <t>Barnstead Elementary School</t>
  </si>
  <si>
    <t>Barrington</t>
  </si>
  <si>
    <t>Barrington Middle School</t>
  </si>
  <si>
    <t>Barrington Elementary School</t>
  </si>
  <si>
    <t>Early Childhood Learning Center</t>
  </si>
  <si>
    <t>Bartlett</t>
  </si>
  <si>
    <t>Josiah Bartlett Elementary School</t>
  </si>
  <si>
    <t>Bath</t>
  </si>
  <si>
    <t>Bath Village School</t>
  </si>
  <si>
    <t>Bedford</t>
  </si>
  <si>
    <t>Peter Woodbury School</t>
  </si>
  <si>
    <t>McKelvie Intermediate School</t>
  </si>
  <si>
    <t>Riddle Brook School</t>
  </si>
  <si>
    <t>Bedford High School</t>
  </si>
  <si>
    <t>Ross A. Lurgio Middle School</t>
  </si>
  <si>
    <t>Berlin</t>
  </si>
  <si>
    <t>Berlin Middle School</t>
  </si>
  <si>
    <t>Berlin Senior High School</t>
  </si>
  <si>
    <t>Bethlehem</t>
  </si>
  <si>
    <t>Bethlehem Elementary School</t>
  </si>
  <si>
    <t>Bow</t>
  </si>
  <si>
    <t>Bow Memorial School</t>
  </si>
  <si>
    <t>Bow Elementary School</t>
  </si>
  <si>
    <t>Bow High School</t>
  </si>
  <si>
    <t>Brentwood</t>
  </si>
  <si>
    <t>Brookline</t>
  </si>
  <si>
    <t>Captain Samuel Douglass Academy</t>
  </si>
  <si>
    <t>Richard Maghakian Memorial School</t>
  </si>
  <si>
    <t>Campton</t>
  </si>
  <si>
    <t>Campton Elementary School</t>
  </si>
  <si>
    <t>Candia</t>
  </si>
  <si>
    <t>Henry W. Moore School</t>
  </si>
  <si>
    <t>Chester</t>
  </si>
  <si>
    <t>Chester Academy</t>
  </si>
  <si>
    <t>Chesterfield</t>
  </si>
  <si>
    <t>Chesterfield Central School</t>
  </si>
  <si>
    <t>Chichester</t>
  </si>
  <si>
    <t>Chichester Central School</t>
  </si>
  <si>
    <t>Claremont</t>
  </si>
  <si>
    <t>Claremont Middle School</t>
  </si>
  <si>
    <t>Stevens High School</t>
  </si>
  <si>
    <t>Bluff School</t>
  </si>
  <si>
    <t>Disnard Elementary School</t>
  </si>
  <si>
    <t>Colebrook</t>
  </si>
  <si>
    <t>Concord</t>
  </si>
  <si>
    <t>Beaver Meadow School</t>
  </si>
  <si>
    <t>Abbot-Downing School</t>
  </si>
  <si>
    <t>Mill Brook School</t>
  </si>
  <si>
    <t>Broken Ground School</t>
  </si>
  <si>
    <t>Rundlett Middle School</t>
  </si>
  <si>
    <t>Concord High School</t>
  </si>
  <si>
    <t>Christa McAuliffe School</t>
  </si>
  <si>
    <t>Contoocook Valley</t>
  </si>
  <si>
    <t>Great Brook School</t>
  </si>
  <si>
    <t>Antrim Elementary School</t>
  </si>
  <si>
    <t>Pierce Elementary School</t>
  </si>
  <si>
    <t>Dublin Consolidated School</t>
  </si>
  <si>
    <t>Francestown Elementary School</t>
  </si>
  <si>
    <t>Greenfield Elementary School</t>
  </si>
  <si>
    <t>Hancock Elementary School</t>
  </si>
  <si>
    <t>Conval Regional High School</t>
  </si>
  <si>
    <t>South Meadow School</t>
  </si>
  <si>
    <t>Peterborough Elementary School</t>
  </si>
  <si>
    <t>Temple Elementary School</t>
  </si>
  <si>
    <t>Conway</t>
  </si>
  <si>
    <t>Pine Tree Elementary School</t>
  </si>
  <si>
    <t>John H. Fuller School</t>
  </si>
  <si>
    <t>Conway Elementary School</t>
  </si>
  <si>
    <t>Kennett High School</t>
  </si>
  <si>
    <t>Cornish</t>
  </si>
  <si>
    <t>Cornish Elementary School</t>
  </si>
  <si>
    <t>Croydon</t>
  </si>
  <si>
    <t>Croydon Village School</t>
  </si>
  <si>
    <t>Deerfield</t>
  </si>
  <si>
    <t>Deerfield Community School</t>
  </si>
  <si>
    <t>Derry Cooperative</t>
  </si>
  <si>
    <t>West Running Brook Middle School</t>
  </si>
  <si>
    <t>Ernest P. Barka Elementary School</t>
  </si>
  <si>
    <t>East Derry Memorial Elementary School</t>
  </si>
  <si>
    <t>Derry Village School</t>
  </si>
  <si>
    <t>Grinnell School</t>
  </si>
  <si>
    <t>South Range Elementary School</t>
  </si>
  <si>
    <t>Gilbert H. Hood Middle School</t>
  </si>
  <si>
    <t>Dover</t>
  </si>
  <si>
    <t>Garrison School</t>
  </si>
  <si>
    <t>Dover Middle School</t>
  </si>
  <si>
    <t>Horne Street School</t>
  </si>
  <si>
    <t>Dover Senior High School</t>
  </si>
  <si>
    <t>Woodman Park School</t>
  </si>
  <si>
    <t>Dresden</t>
  </si>
  <si>
    <t>Hanover High School</t>
  </si>
  <si>
    <t>Frances C. Richmond School</t>
  </si>
  <si>
    <t>Dunbarton</t>
  </si>
  <si>
    <t>Dunbarton Elementary School</t>
  </si>
  <si>
    <t>East Kingston</t>
  </si>
  <si>
    <t>East Kingston Elementary School</t>
  </si>
  <si>
    <t>Epping</t>
  </si>
  <si>
    <t>Epping Elementary School</t>
  </si>
  <si>
    <t>Epsom</t>
  </si>
  <si>
    <t>Epsom Central School</t>
  </si>
  <si>
    <t>Errol</t>
  </si>
  <si>
    <t>Errol Consolidated Elementary School</t>
  </si>
  <si>
    <t>Exeter Region Cooperative</t>
  </si>
  <si>
    <t>Cooperative Middle School</t>
  </si>
  <si>
    <t>Exeter High School</t>
  </si>
  <si>
    <t>Exeter</t>
  </si>
  <si>
    <t>Main Street School</t>
  </si>
  <si>
    <t>Lincoln Street Elementary School</t>
  </si>
  <si>
    <t>Fall Mountain Regional</t>
  </si>
  <si>
    <t>Acworth Elementary School</t>
  </si>
  <si>
    <t>Alstead Primary School</t>
  </si>
  <si>
    <t>Vilas Elementary School</t>
  </si>
  <si>
    <t>Charlestown Middle School</t>
  </si>
  <si>
    <t>N. Charlestown Community School</t>
  </si>
  <si>
    <t>Charlestown Primary School</t>
  </si>
  <si>
    <t>Fall Mountain Regional High School</t>
  </si>
  <si>
    <t>Sarah Porter School</t>
  </si>
  <si>
    <t>North Walpole School</t>
  </si>
  <si>
    <t>Walpole Primary School</t>
  </si>
  <si>
    <t>Walpole Elementary School</t>
  </si>
  <si>
    <t>Farmington</t>
  </si>
  <si>
    <t>Valley View Community School</t>
  </si>
  <si>
    <t>Farmington Senior High School</t>
  </si>
  <si>
    <t>Henry Wilson Memorial School</t>
  </si>
  <si>
    <t>Franklin</t>
  </si>
  <si>
    <t>Paul A. Smith School</t>
  </si>
  <si>
    <t>Franklin High School</t>
  </si>
  <si>
    <t>Franklin Middle School</t>
  </si>
  <si>
    <t>Freedom</t>
  </si>
  <si>
    <t>Freedom Elementary School</t>
  </si>
  <si>
    <t>Fremont</t>
  </si>
  <si>
    <t>Ellis School</t>
  </si>
  <si>
    <t>Gilford</t>
  </si>
  <si>
    <t>Gilford High School</t>
  </si>
  <si>
    <t>Gilford Elementary School</t>
  </si>
  <si>
    <t>Gilford Middle School</t>
  </si>
  <si>
    <t>Gilmanton</t>
  </si>
  <si>
    <t>Gilmanton Elementary School</t>
  </si>
  <si>
    <t>Goffstown</t>
  </si>
  <si>
    <t>Mountain View Middle School</t>
  </si>
  <si>
    <t>Glen Lake School</t>
  </si>
  <si>
    <t>Bartlett Elementary School</t>
  </si>
  <si>
    <t>Goffstown High School</t>
  </si>
  <si>
    <t>Gorham Randolph Shelburne Cooperative</t>
  </si>
  <si>
    <t>Edward Fenn School</t>
  </si>
  <si>
    <t>Gorham High School</t>
  </si>
  <si>
    <t>Gorham Middle School</t>
  </si>
  <si>
    <t>Governor Wentworth Regional</t>
  </si>
  <si>
    <t>Effingham Elementary School</t>
  </si>
  <si>
    <t>New Durham Elementary School</t>
  </si>
  <si>
    <t>Ossipee Central School</t>
  </si>
  <si>
    <t>Tuftonboro Central School</t>
  </si>
  <si>
    <t>Kingswood Regional High School</t>
  </si>
  <si>
    <t>Carpenter Elementary School</t>
  </si>
  <si>
    <t>Kingswood Regional Middle School</t>
  </si>
  <si>
    <t>Crescent Lake School</t>
  </si>
  <si>
    <t>Grantham</t>
  </si>
  <si>
    <t>Grantham Village School</t>
  </si>
  <si>
    <t>Greenland</t>
  </si>
  <si>
    <t>Greenland Central School</t>
  </si>
  <si>
    <t>Hampstead</t>
  </si>
  <si>
    <t>Hampstead Middle School</t>
  </si>
  <si>
    <t>Hampstead Central School</t>
  </si>
  <si>
    <t>Hampton</t>
  </si>
  <si>
    <t>Hampton Centre School</t>
  </si>
  <si>
    <t>Adeline C. Marston School</t>
  </si>
  <si>
    <t>Hampton Falls</t>
  </si>
  <si>
    <t>Lincoln Akerman School</t>
  </si>
  <si>
    <t>Hanover</t>
  </si>
  <si>
    <t>Bernice A. Ray School</t>
  </si>
  <si>
    <t>Harrisville</t>
  </si>
  <si>
    <t>Wells Memorial School</t>
  </si>
  <si>
    <t>Haverhill Cooperative</t>
  </si>
  <si>
    <t>Woodsville Elementary School</t>
  </si>
  <si>
    <t>Woodsville High School</t>
  </si>
  <si>
    <t>Haverhill Cooperative Middle School</t>
  </si>
  <si>
    <t>Henniker</t>
  </si>
  <si>
    <t>Henniker Community School</t>
  </si>
  <si>
    <t>Hill</t>
  </si>
  <si>
    <t>Jennie D. Blake School</t>
  </si>
  <si>
    <t>Hillsboro-Deering Cooperative</t>
  </si>
  <si>
    <t>Hillsboro-Deering High School</t>
  </si>
  <si>
    <t>Hillsboro-Deering Elementary School</t>
  </si>
  <si>
    <t>Hillsboro-Deering Middle School</t>
  </si>
  <si>
    <t>Hinsdale</t>
  </si>
  <si>
    <t>Hinsdale High School</t>
  </si>
  <si>
    <t>Hinsdale Elementary School</t>
  </si>
  <si>
    <t>Hinsdale Middle High School</t>
  </si>
  <si>
    <t>Holderness</t>
  </si>
  <si>
    <t>Holderness Central School</t>
  </si>
  <si>
    <t>Hollis</t>
  </si>
  <si>
    <t>Hollis Upper Elementary School</t>
  </si>
  <si>
    <t>Hollis Primary School</t>
  </si>
  <si>
    <t>Hollis-Brookline Cooperative</t>
  </si>
  <si>
    <t>Hollis-Brookline Middle School</t>
  </si>
  <si>
    <t>Hollis-Brookline High School</t>
  </si>
  <si>
    <t>Hooksett</t>
  </si>
  <si>
    <t>Hooksett Memorial School</t>
  </si>
  <si>
    <t>Fred C. Underhill School</t>
  </si>
  <si>
    <t>David R. Cawley Middle School</t>
  </si>
  <si>
    <t>Hopkinton</t>
  </si>
  <si>
    <t>Hopkinton Middle School</t>
  </si>
  <si>
    <t>Maple Street Elementary School</t>
  </si>
  <si>
    <t>Hopkinton High School</t>
  </si>
  <si>
    <t>Harold Martin School</t>
  </si>
  <si>
    <t>Hudson</t>
  </si>
  <si>
    <t>Dr. H. O. Smith Elementary School</t>
  </si>
  <si>
    <t>Alvirne High School</t>
  </si>
  <si>
    <t>Hudson Memorial School</t>
  </si>
  <si>
    <t>Hills Garrison Elementary School</t>
  </si>
  <si>
    <t>Nottingham West Elementary School</t>
  </si>
  <si>
    <t>Inter-Lakes Cooperative</t>
  </si>
  <si>
    <t>Inter-Lakes Elementary School</t>
  </si>
  <si>
    <t>Inter-Lakes Middle School</t>
  </si>
  <si>
    <t>Inter-Lakes High School</t>
  </si>
  <si>
    <t>Sandwich Central School</t>
  </si>
  <si>
    <t>Jackson</t>
  </si>
  <si>
    <t>Jackson Grammar School</t>
  </si>
  <si>
    <t>Jaffrey-Rindge Cooperative</t>
  </si>
  <si>
    <t>Rindge Memorial School</t>
  </si>
  <si>
    <t>Conant High School</t>
  </si>
  <si>
    <t>Jaffrey Grade School</t>
  </si>
  <si>
    <t>Jaffrey-Rindge Middle School</t>
  </si>
  <si>
    <t>John Stark Regional</t>
  </si>
  <si>
    <t>John Stark Regional High School</t>
  </si>
  <si>
    <t>Kearsarge Regional</t>
  </si>
  <si>
    <t>Sutton Central Elementary School</t>
  </si>
  <si>
    <t>Kearsarge Regional High School</t>
  </si>
  <si>
    <t>Simonds Elementary School</t>
  </si>
  <si>
    <t>Kearsarge Reg. Elem. School at New London</t>
  </si>
  <si>
    <t>Kearsarge Reg. Elementary School - Bradford</t>
  </si>
  <si>
    <t>Kearsarge Regional Middle School</t>
  </si>
  <si>
    <t>Keene</t>
  </si>
  <si>
    <t>Fuller Elementary School</t>
  </si>
  <si>
    <t>Symonds Elementary School</t>
  </si>
  <si>
    <t>Keene Middle School</t>
  </si>
  <si>
    <t>Franklin Elementary School</t>
  </si>
  <si>
    <t>Keene High School</t>
  </si>
  <si>
    <t>Wheelock Elementary School</t>
  </si>
  <si>
    <t>Kensington</t>
  </si>
  <si>
    <t>Kensington Elementary School</t>
  </si>
  <si>
    <t>Laconia</t>
  </si>
  <si>
    <t>Laconia High School</t>
  </si>
  <si>
    <t>Pleasant Street School</t>
  </si>
  <si>
    <t>Laconia Middle School</t>
  </si>
  <si>
    <t>Woodland Heights Elementary School</t>
  </si>
  <si>
    <t>Elm Street School</t>
  </si>
  <si>
    <t>Lafayette Regional</t>
  </si>
  <si>
    <t>Lafayette Regional School</t>
  </si>
  <si>
    <t>Landaff</t>
  </si>
  <si>
    <t>Landaff Blue School</t>
  </si>
  <si>
    <t>Lebanon</t>
  </si>
  <si>
    <t>Hanover Street School</t>
  </si>
  <si>
    <t>Mt. Lebanon School</t>
  </si>
  <si>
    <t>Lebanon High School</t>
  </si>
  <si>
    <t>Lebanon Middle School</t>
  </si>
  <si>
    <t>Lempster</t>
  </si>
  <si>
    <t>Lempster Community School</t>
  </si>
  <si>
    <t>Lincoln-Woodstock Cooperative</t>
  </si>
  <si>
    <t>Lin-Wood Public School (Middle)</t>
  </si>
  <si>
    <t>Lin-Wood Public School (High)</t>
  </si>
  <si>
    <t>Lin-Wood Public School (Elem)</t>
  </si>
  <si>
    <t>Lisbon Regional</t>
  </si>
  <si>
    <t>Lisbon Regional School (Elem)</t>
  </si>
  <si>
    <t>Lisbon Regional School (Middle)</t>
  </si>
  <si>
    <t>Lisbon Regional School (High)</t>
  </si>
  <si>
    <t>Litchfield</t>
  </si>
  <si>
    <t>Griffin Memorial School</t>
  </si>
  <si>
    <t>Campbell High School</t>
  </si>
  <si>
    <t>Litchfield Middle School</t>
  </si>
  <si>
    <t>Littleton</t>
  </si>
  <si>
    <t>Daisy Bronson Junior High School</t>
  </si>
  <si>
    <t>Littleton High School</t>
  </si>
  <si>
    <t>Mildred C. Lakeway School</t>
  </si>
  <si>
    <t>Londonderry</t>
  </si>
  <si>
    <t>Moose Hill School</t>
  </si>
  <si>
    <t>North Londonderry Elementary School</t>
  </si>
  <si>
    <t>South Londonderry Elementary School</t>
  </si>
  <si>
    <t>Londonderry Middle School</t>
  </si>
  <si>
    <t>Matthew Thornton Elementary School</t>
  </si>
  <si>
    <t>Londonderry Senior High School</t>
  </si>
  <si>
    <t>Lyme</t>
  </si>
  <si>
    <t>Lyme Elementary School</t>
  </si>
  <si>
    <t>Madison</t>
  </si>
  <si>
    <t>Madison Elementary School</t>
  </si>
  <si>
    <t>Manchester Memorial High School</t>
  </si>
  <si>
    <t>Manchester Central High School</t>
  </si>
  <si>
    <t>Hillside Middle School</t>
  </si>
  <si>
    <t>Middle School At Parkside</t>
  </si>
  <si>
    <t>Gossler Park School</t>
  </si>
  <si>
    <t>Parker-Varney School</t>
  </si>
  <si>
    <t>Bakersville School</t>
  </si>
  <si>
    <t>Manchester West High School</t>
  </si>
  <si>
    <t>Highland-Goffes Falls School</t>
  </si>
  <si>
    <t>McDonough School</t>
  </si>
  <si>
    <t>Southside Middle School</t>
  </si>
  <si>
    <t>Jewett School</t>
  </si>
  <si>
    <t>Beech Street School</t>
  </si>
  <si>
    <t>Smyth Road School</t>
  </si>
  <si>
    <t>Green Acres School</t>
  </si>
  <si>
    <t>Webster School</t>
  </si>
  <si>
    <t>Northwest Elementary School</t>
  </si>
  <si>
    <t>Manchester School of Technology (High School)</t>
  </si>
  <si>
    <t>Marlborough</t>
  </si>
  <si>
    <t>Marlborough Elementary School</t>
  </si>
  <si>
    <t>Marlow</t>
  </si>
  <si>
    <t>John D. Perkins Academy</t>
  </si>
  <si>
    <t>Mascenic Regional</t>
  </si>
  <si>
    <t>Boynton Middle School</t>
  </si>
  <si>
    <t>Mascenic Regional High School</t>
  </si>
  <si>
    <t>Highbridge Hill Elementary School</t>
  </si>
  <si>
    <t>Mascoma Valley Regional</t>
  </si>
  <si>
    <t>Mascoma Valley Regional High School</t>
  </si>
  <si>
    <t>Canaan Elementary School</t>
  </si>
  <si>
    <t>Enfield Village School</t>
  </si>
  <si>
    <t>Indian River School</t>
  </si>
  <si>
    <t>Mason</t>
  </si>
  <si>
    <t>Mason Elementary School</t>
  </si>
  <si>
    <t>Merrimack</t>
  </si>
  <si>
    <t>Merrimack Middle School</t>
  </si>
  <si>
    <t>Reeds Ferry School</t>
  </si>
  <si>
    <t>James Mastricola Elementary School</t>
  </si>
  <si>
    <t>James Mastricola Upper Elementary School</t>
  </si>
  <si>
    <t>Thorntons Ferry School</t>
  </si>
  <si>
    <t>Merrimack High School</t>
  </si>
  <si>
    <t>Merrimack Valley</t>
  </si>
  <si>
    <t>Merrimack Valley Middle School</t>
  </si>
  <si>
    <t>Boscawen Elementary School</t>
  </si>
  <si>
    <t>Loudon Elementary School</t>
  </si>
  <si>
    <t>Penacook Elementary School</t>
  </si>
  <si>
    <t>Merrimack Valley High School</t>
  </si>
  <si>
    <t>Salisbury Elementary School</t>
  </si>
  <si>
    <t>Webster Elementary School</t>
  </si>
  <si>
    <t>Middleton</t>
  </si>
  <si>
    <t>Middleton Elementary School</t>
  </si>
  <si>
    <t>Milan</t>
  </si>
  <si>
    <t>Milan Village Elementary School</t>
  </si>
  <si>
    <t>Milford</t>
  </si>
  <si>
    <t>Milford Middle School</t>
  </si>
  <si>
    <t>Milford High School</t>
  </si>
  <si>
    <t>Heron Pond Elementary School</t>
  </si>
  <si>
    <t>Jacques Memorial Elementary School</t>
  </si>
  <si>
    <t>Milton</t>
  </si>
  <si>
    <t>Nute Junior High School</t>
  </si>
  <si>
    <t>Nute High School</t>
  </si>
  <si>
    <t>Milton Elementary School</t>
  </si>
  <si>
    <t>Monadnock Regional</t>
  </si>
  <si>
    <t>Monadnock Regional Middle School</t>
  </si>
  <si>
    <t>Monadnock Regional High School</t>
  </si>
  <si>
    <t>Troy Elementary School</t>
  </si>
  <si>
    <t>Dr. George S. Emerson Elementary School</t>
  </si>
  <si>
    <t>Monroe</t>
  </si>
  <si>
    <t>Monroe Consolidated School</t>
  </si>
  <si>
    <t>Mont Vernon</t>
  </si>
  <si>
    <t>Mont Vernon Village School</t>
  </si>
  <si>
    <t>Moultonborough</t>
  </si>
  <si>
    <t>Moultonborough Central School</t>
  </si>
  <si>
    <t>Moultonborough Academy</t>
  </si>
  <si>
    <t>Nashua</t>
  </si>
  <si>
    <t>Pennichuck Middle School</t>
  </si>
  <si>
    <t>Dr. Norman W. Crisp School</t>
  </si>
  <si>
    <t>Fairgrounds Elementary School</t>
  </si>
  <si>
    <t>New Searles School</t>
  </si>
  <si>
    <t>Sunset Heights School</t>
  </si>
  <si>
    <t>Nashua High School South</t>
  </si>
  <si>
    <t>Bicentennial Elementary School</t>
  </si>
  <si>
    <t>Fairgrounds Middle School</t>
  </si>
  <si>
    <t>Mt. Pleasant School</t>
  </si>
  <si>
    <t>Elm Street Middle School</t>
  </si>
  <si>
    <t>Birch Hill Elementary School</t>
  </si>
  <si>
    <t>Ledge Street School</t>
  </si>
  <si>
    <t>Broad Street Elementary School</t>
  </si>
  <si>
    <t>Charlotte Ave Elementary School</t>
  </si>
  <si>
    <t>Main Dunstable School</t>
  </si>
  <si>
    <t>Amherst Street School</t>
  </si>
  <si>
    <t>Nashua High School North</t>
  </si>
  <si>
    <t>Nelson</t>
  </si>
  <si>
    <t>Nelson Elementary School</t>
  </si>
  <si>
    <t>New Boston</t>
  </si>
  <si>
    <t>New Boston Central School</t>
  </si>
  <si>
    <t>New Castle</t>
  </si>
  <si>
    <t>Maude H. Trefethen School</t>
  </si>
  <si>
    <t>Newfields</t>
  </si>
  <si>
    <t>Newfields Elementary School</t>
  </si>
  <si>
    <t>Bridgewater-Hebron Village School</t>
  </si>
  <si>
    <t>Newfound Memorial Middle School</t>
  </si>
  <si>
    <t>Newfound Regional High School</t>
  </si>
  <si>
    <t>Bristol Elementary School</t>
  </si>
  <si>
    <t>Danbury Elementary School</t>
  </si>
  <si>
    <t>New Hampton Community School</t>
  </si>
  <si>
    <t>Newington</t>
  </si>
  <si>
    <t>Newington Public School</t>
  </si>
  <si>
    <t>Newmarket</t>
  </si>
  <si>
    <t>Newmarket Elementary School</t>
  </si>
  <si>
    <t>Newmarket Jr.-Sr. High School</t>
  </si>
  <si>
    <t>Newmarket Jr.-Sr. High (Elem)</t>
  </si>
  <si>
    <t>Newport</t>
  </si>
  <si>
    <t>Newport Middle School</t>
  </si>
  <si>
    <t>Newport Middle High School (High)</t>
  </si>
  <si>
    <t>Richards Elementary School</t>
  </si>
  <si>
    <t>North Hampton</t>
  </si>
  <si>
    <t>North Hampton School</t>
  </si>
  <si>
    <t>Northumberland</t>
  </si>
  <si>
    <t>Groveton High School</t>
  </si>
  <si>
    <t>Groveton Elementary School</t>
  </si>
  <si>
    <t>Groveton High School (Middle)</t>
  </si>
  <si>
    <t>Northwood</t>
  </si>
  <si>
    <t>Northwood Elementary School</t>
  </si>
  <si>
    <t>Nottingham</t>
  </si>
  <si>
    <t>Nottingham Elementary School</t>
  </si>
  <si>
    <t>Oyster River Coop</t>
  </si>
  <si>
    <t>Moharimet School</t>
  </si>
  <si>
    <t>Oyster River Middle School</t>
  </si>
  <si>
    <t>Oyster River High School</t>
  </si>
  <si>
    <t>Mast Way School</t>
  </si>
  <si>
    <t>Pelham</t>
  </si>
  <si>
    <t>Pelham Elementary School</t>
  </si>
  <si>
    <t>Pelham High School</t>
  </si>
  <si>
    <t>Pelham Memorial School</t>
  </si>
  <si>
    <t>Pembroke</t>
  </si>
  <si>
    <t>Pembroke Hill School</t>
  </si>
  <si>
    <t>Pembroke Academy</t>
  </si>
  <si>
    <t>Three Rivers School</t>
  </si>
  <si>
    <t>Pemi-Baker Regional</t>
  </si>
  <si>
    <t>Plymouth Regional High School</t>
  </si>
  <si>
    <t>Piermont</t>
  </si>
  <si>
    <t>Piermont Village School</t>
  </si>
  <si>
    <t>Pittsburg</t>
  </si>
  <si>
    <t>Pittsburg School (Elem)</t>
  </si>
  <si>
    <t>Pittsburg School (High)</t>
  </si>
  <si>
    <t>Pittsfield</t>
  </si>
  <si>
    <t>Pittsfield Elementary School</t>
  </si>
  <si>
    <t>Pittsfield Middle School</t>
  </si>
  <si>
    <t>Pittsfield High School</t>
  </si>
  <si>
    <t>Plainfield</t>
  </si>
  <si>
    <t>Plainfield Elementary School</t>
  </si>
  <si>
    <t>Plymouth</t>
  </si>
  <si>
    <t>Plymouth Elementary School</t>
  </si>
  <si>
    <t>Portsmouth</t>
  </si>
  <si>
    <t>Portsmouth Middle School</t>
  </si>
  <si>
    <t>Little Harbour School</t>
  </si>
  <si>
    <t>New Franklin School</t>
  </si>
  <si>
    <t>Mary C. Dondero Elementary School</t>
  </si>
  <si>
    <t>Portsmouth High School</t>
  </si>
  <si>
    <t>Profile</t>
  </si>
  <si>
    <t>Profile Senior High School</t>
  </si>
  <si>
    <t>Profile Junior High School</t>
  </si>
  <si>
    <t>Raymond</t>
  </si>
  <si>
    <t>Lamprey River Elementary School</t>
  </si>
  <si>
    <t>Raymond High School</t>
  </si>
  <si>
    <t>Iber Holmes Gove Middle School</t>
  </si>
  <si>
    <t>Rochester</t>
  </si>
  <si>
    <t>East Rochester School</t>
  </si>
  <si>
    <t>Nancy Loud School</t>
  </si>
  <si>
    <t>McClelland School</t>
  </si>
  <si>
    <t>Bud Carlson Academy</t>
  </si>
  <si>
    <t>William Allen School</t>
  </si>
  <si>
    <t>Chamberlain Street School</t>
  </si>
  <si>
    <t>Spaulding High School</t>
  </si>
  <si>
    <t>Rochester Middle School</t>
  </si>
  <si>
    <t>School Street School</t>
  </si>
  <si>
    <t>Gonic School</t>
  </si>
  <si>
    <t>Maple Street Magnet School</t>
  </si>
  <si>
    <t>Rollinsford</t>
  </si>
  <si>
    <t>Rollinsford Grade School</t>
  </si>
  <si>
    <t>Rumney</t>
  </si>
  <si>
    <t>Russell Elementary School</t>
  </si>
  <si>
    <t>Rye</t>
  </si>
  <si>
    <t>Rye Junior High School</t>
  </si>
  <si>
    <t>Rye Elementary School</t>
  </si>
  <si>
    <t>Salem</t>
  </si>
  <si>
    <t>Woodbury School</t>
  </si>
  <si>
    <t>William E. Lancaster School</t>
  </si>
  <si>
    <t>William T. Barron Elementary School</t>
  </si>
  <si>
    <t>Mary A. Fisk Elementary School</t>
  </si>
  <si>
    <t>Salem High School</t>
  </si>
  <si>
    <t>North Salem Elementary School</t>
  </si>
  <si>
    <t>Dr. L. F. Soule School</t>
  </si>
  <si>
    <t>Sanborn Regional</t>
  </si>
  <si>
    <t>Sanborn Regional High School</t>
  </si>
  <si>
    <t>Daniel J. Bakie School</t>
  </si>
  <si>
    <t>Sanborn Regional Middle School</t>
  </si>
  <si>
    <t>Seabrook</t>
  </si>
  <si>
    <t>Seabrook Middle School</t>
  </si>
  <si>
    <t>Seabrook Elementary School</t>
  </si>
  <si>
    <t>Shaker Regional</t>
  </si>
  <si>
    <t>Canterbury Elementary School</t>
  </si>
  <si>
    <t>Belmont Elementary School</t>
  </si>
  <si>
    <t>Belmont High School</t>
  </si>
  <si>
    <t>Belmont Middle School</t>
  </si>
  <si>
    <t>Somersworth</t>
  </si>
  <si>
    <t>Somersworth Middle School</t>
  </si>
  <si>
    <t>Somersworth High School</t>
  </si>
  <si>
    <t>Idlehurst Elementary School</t>
  </si>
  <si>
    <t>Maple Wood Elementary School</t>
  </si>
  <si>
    <t>Souhegan Cooperative</t>
  </si>
  <si>
    <t>Souhegan Coop High School</t>
  </si>
  <si>
    <t>South Hampton</t>
  </si>
  <si>
    <t>South Hampton Barnard School</t>
  </si>
  <si>
    <t>Stark</t>
  </si>
  <si>
    <t>Stark Village School</t>
  </si>
  <si>
    <t>Stewartstown</t>
  </si>
  <si>
    <t>Stewartstown Community School</t>
  </si>
  <si>
    <t>Stoddard</t>
  </si>
  <si>
    <t>James Faulkner Elementary School</t>
  </si>
  <si>
    <t>Strafford</t>
  </si>
  <si>
    <t>Strafford School</t>
  </si>
  <si>
    <t>Stratford</t>
  </si>
  <si>
    <t>Stratford Public School</t>
  </si>
  <si>
    <t>Stratham</t>
  </si>
  <si>
    <t>Stratham Memorial School</t>
  </si>
  <si>
    <t>Sunapee</t>
  </si>
  <si>
    <t>Sunapee Sr. High School</t>
  </si>
  <si>
    <t>Sunapee Central School</t>
  </si>
  <si>
    <t>Tamworth</t>
  </si>
  <si>
    <t>Kenneth A. Brett School</t>
  </si>
  <si>
    <t>Thornton</t>
  </si>
  <si>
    <t>Thornton Central School</t>
  </si>
  <si>
    <t>Timberlane Regional</t>
  </si>
  <si>
    <t>Sandown North Elementary School</t>
  </si>
  <si>
    <t>Atkinson Academy</t>
  </si>
  <si>
    <t>Danville Elementary School</t>
  </si>
  <si>
    <t>Timberlane Regional Middle School</t>
  </si>
  <si>
    <t>Pollard Elementary School</t>
  </si>
  <si>
    <t>Timberlane Regional High School</t>
  </si>
  <si>
    <t>Sandown Central School</t>
  </si>
  <si>
    <t>Unity</t>
  </si>
  <si>
    <t>Unity Elementary School</t>
  </si>
  <si>
    <t>Wakefield</t>
  </si>
  <si>
    <t>Paul Elementary School</t>
  </si>
  <si>
    <t>Warren</t>
  </si>
  <si>
    <t>Warren Village School</t>
  </si>
  <si>
    <t>Washington</t>
  </si>
  <si>
    <t>Washington Elementary School</t>
  </si>
  <si>
    <t>Waterville Valley</t>
  </si>
  <si>
    <t>Waterville Valley Elementary School</t>
  </si>
  <si>
    <t>Weare</t>
  </si>
  <si>
    <t>Center Woods School</t>
  </si>
  <si>
    <t>Weare Middle School</t>
  </si>
  <si>
    <t>Wentworth</t>
  </si>
  <si>
    <t>Wentworth Elementary School</t>
  </si>
  <si>
    <t>Westmoreland</t>
  </si>
  <si>
    <t>Westmoreland School</t>
  </si>
  <si>
    <t>White Mountains Regional</t>
  </si>
  <si>
    <t>Whitefield Elementary School</t>
  </si>
  <si>
    <t>Lancaster Elementary School</t>
  </si>
  <si>
    <t>White Mountains Regional High School</t>
  </si>
  <si>
    <t>Wilton-Lyndeborough Cooperative</t>
  </si>
  <si>
    <t>Lyndeborough Central School</t>
  </si>
  <si>
    <t>Florence Rideout Elementary School</t>
  </si>
  <si>
    <t>Wilton-Lyndeboro Senior High School</t>
  </si>
  <si>
    <t>Wilton-Lyndeboro Middle School</t>
  </si>
  <si>
    <t>Winchester</t>
  </si>
  <si>
    <t>Windham</t>
  </si>
  <si>
    <t>Windham Middle School</t>
  </si>
  <si>
    <t>Golden Brook Elementary School</t>
  </si>
  <si>
    <t>Windham Center School</t>
  </si>
  <si>
    <t>Windham High School</t>
  </si>
  <si>
    <t>Winnacunnet Cooperative</t>
  </si>
  <si>
    <t>Winnacunnet High School</t>
  </si>
  <si>
    <t>Winnisquam Regional</t>
  </si>
  <si>
    <t>Sanbornton Central School</t>
  </si>
  <si>
    <t>Union Sanborn School</t>
  </si>
  <si>
    <t>Winnisquam Regional High School</t>
  </si>
  <si>
    <t>Winnisquam Regional Middle School</t>
  </si>
  <si>
    <t>Southwick School</t>
  </si>
  <si>
    <t>Granite State Arts Academy Charter School</t>
  </si>
  <si>
    <t>North Country Charter Academy</t>
  </si>
  <si>
    <t>North Country Charter Academy (M)</t>
  </si>
  <si>
    <t>North Country Charter Academy (H)</t>
  </si>
  <si>
    <t>Mountain Village Charter School</t>
  </si>
  <si>
    <t>Seacoast Charter School</t>
  </si>
  <si>
    <t>LEAF Charter School</t>
  </si>
  <si>
    <t>Cocheco Academy for the Arts</t>
  </si>
  <si>
    <t>Kreiva Academy Public Charter School District</t>
  </si>
  <si>
    <t>Kreiva Academy Public Charter School (M)</t>
  </si>
  <si>
    <t>Kreiva Academy Public Charter School (H)</t>
  </si>
  <si>
    <t>Great Bay Charter School</t>
  </si>
  <si>
    <t>Great Bay Charter School (H)</t>
  </si>
  <si>
    <t>Great Bay Charter School (M)</t>
  </si>
  <si>
    <t>Windham Academy Public Charter School</t>
  </si>
  <si>
    <t>Surry Village Charter School</t>
  </si>
  <si>
    <t>Ledyard Charter School</t>
  </si>
  <si>
    <t>Strong Foundations Charter School</t>
  </si>
  <si>
    <t>CSI Charter School</t>
  </si>
  <si>
    <t>Academy for Science and Design Charter School</t>
  </si>
  <si>
    <t>Academy for Science and Design Charter (H)</t>
  </si>
  <si>
    <t>Academy for Science and Design Charter (M)</t>
  </si>
  <si>
    <t>Virtual Learning Academy Charter School</t>
  </si>
  <si>
    <t>Virtual Learning Academy (E)</t>
  </si>
  <si>
    <t>Virtual Learning Academy (H)</t>
  </si>
  <si>
    <t>Mill Falls Charter School</t>
  </si>
  <si>
    <t>The Birches Academy of Academics &amp; Art A Public Charter Sch</t>
  </si>
  <si>
    <t>The Birches Academy of Academics - Art A Public Charter Sch</t>
  </si>
  <si>
    <t>Making Community Connections Charter School</t>
  </si>
  <si>
    <t>Making Community Connections Charter School - Monadnock</t>
  </si>
  <si>
    <t>Polaris Charter School</t>
  </si>
  <si>
    <t>Robert Frost Charter School</t>
  </si>
  <si>
    <t>Next Charter School</t>
  </si>
  <si>
    <t>The Founders Academy Charter School</t>
  </si>
  <si>
    <t>The Founders Academy Charter School (H)</t>
  </si>
  <si>
    <t>The Founders Academy Charter School (E)</t>
  </si>
  <si>
    <t>Gate City Charter School For the Arts</t>
  </si>
  <si>
    <t>Gate City Charter School for the Arts</t>
  </si>
  <si>
    <t>Compass Classical Academy Charter School</t>
  </si>
  <si>
    <t>Elementary School Name</t>
  </si>
  <si>
    <t>Elementary School #</t>
  </si>
  <si>
    <t>Variance</t>
  </si>
  <si>
    <t>Middle School</t>
  </si>
  <si>
    <t>High School</t>
  </si>
  <si>
    <t xml:space="preserve">Swasey Central School </t>
  </si>
  <si>
    <t xml:space="preserve">Hampton Academy </t>
  </si>
  <si>
    <t xml:space="preserve">Newfound Area </t>
  </si>
  <si>
    <t xml:space="preserve">Sunapee Middle High School </t>
  </si>
  <si>
    <t xml:space="preserve">Winchester School </t>
  </si>
  <si>
    <t xml:space="preserve">ELEMENTARY  </t>
  </si>
  <si>
    <t xml:space="preserve">State/Local </t>
  </si>
  <si>
    <t>Federal</t>
  </si>
  <si>
    <t>MIDDLE</t>
  </si>
  <si>
    <t>Middle School Name</t>
  </si>
  <si>
    <t>Middle School #</t>
  </si>
  <si>
    <t>High School Name</t>
  </si>
  <si>
    <t>High School #</t>
  </si>
  <si>
    <t>Other District Expenditures</t>
  </si>
  <si>
    <t>Grand Total</t>
  </si>
  <si>
    <t>DOE-25 Total Elem. School Pupil Cost Pg. 7&amp;11</t>
  </si>
  <si>
    <t>DOE-25 Total Middle School Pupil Cost Pg. 8&amp;12</t>
  </si>
  <si>
    <t>DOE-25 Total High School Pupil Cost Pg. 9&amp;13</t>
  </si>
  <si>
    <t>Claremont Preschool Center</t>
  </si>
  <si>
    <t>Pre School</t>
  </si>
  <si>
    <t>Derry Early Education Program</t>
  </si>
  <si>
    <t>Fall Mountain Regional -Pre School Program</t>
  </si>
  <si>
    <t>James House Preschool</t>
  </si>
  <si>
    <t>Jonathan Daniels School</t>
  </si>
  <si>
    <t>Purple Panthers Preschool</t>
  </si>
  <si>
    <t>Oyster River Preschool Education Program</t>
  </si>
  <si>
    <t>PEEP School - Pre School Program</t>
  </si>
  <si>
    <t xml:space="preserve"> 1) The total expenditures reported for each grade span (elementary, middle, high) on this page need to match the totals reported on the DOE-25 worksheet for that grade span.</t>
  </si>
  <si>
    <t xml:space="preserve">         The variance column needs to show zero for all grade spans.</t>
  </si>
  <si>
    <r>
      <t>2)</t>
    </r>
    <r>
      <rPr>
        <b/>
        <sz val="9"/>
        <rFont val="Arial"/>
        <family val="2"/>
      </rPr>
      <t xml:space="preserve"> </t>
    </r>
    <r>
      <rPr>
        <sz val="9"/>
        <rFont val="Arial"/>
        <family val="2"/>
      </rPr>
      <t>Use "Other District Expenditures" on the pull down menu to identify any out of district tuition expenses.</t>
    </r>
  </si>
  <si>
    <t>3) If your district only has one school for a certain gradespan, the school and its expenditures still need to be reported on this page.</t>
  </si>
  <si>
    <t>School Level Expenditures</t>
  </si>
  <si>
    <t>Food Service Financial information</t>
  </si>
  <si>
    <t>Revenues</t>
  </si>
  <si>
    <t xml:space="preserve">   1. Food Service Sales</t>
  </si>
  <si>
    <t xml:space="preserve">   2. Other Local Sources</t>
  </si>
  <si>
    <t xml:space="preserve">   3.  State Revenues</t>
  </si>
  <si>
    <t xml:space="preserve">   4. Federal Reveues</t>
  </si>
  <si>
    <t xml:space="preserve">   5. Miscellaneous</t>
  </si>
  <si>
    <t xml:space="preserve">     1.  Food Service Cost</t>
  </si>
  <si>
    <t xml:space="preserve">     2. Other</t>
  </si>
  <si>
    <t>Excess (deficiency)</t>
  </si>
  <si>
    <t>of Revenues over Expenditures</t>
  </si>
  <si>
    <t xml:space="preserve">  1. Transfer In from General Fund</t>
  </si>
  <si>
    <t>Value of USDA Commodities Used during Fiscal Year</t>
  </si>
  <si>
    <t xml:space="preserve">  2. Transfer Out from Food Service Fund</t>
  </si>
  <si>
    <t>Audited Yes/No</t>
  </si>
  <si>
    <t>Page 3 line 12</t>
  </si>
  <si>
    <t>Page 3 line 26 minus page 3 line 12</t>
  </si>
  <si>
    <t>Page 4 line 23</t>
  </si>
  <si>
    <t>Page 5 line 20</t>
  </si>
  <si>
    <t>DOE-25 worksheet tab Column G references</t>
  </si>
  <si>
    <t>DOE-25 worksheet tab Column L references</t>
  </si>
  <si>
    <t>Page 15 line 5 minus Page 15 line 4</t>
  </si>
  <si>
    <t>Calculated</t>
  </si>
  <si>
    <t>Page 6 line 6 column G</t>
  </si>
  <si>
    <t>page 15 line 4 column L</t>
  </si>
  <si>
    <t>Page 19 line 1 Column G</t>
  </si>
  <si>
    <t>Page 19 line 8 Column G</t>
  </si>
  <si>
    <t>Input provided by district</t>
  </si>
  <si>
    <t>Page 6 line 18 minus page 6 line 6</t>
  </si>
  <si>
    <t xml:space="preserve">  EMERGENCY RELIEF (ESSER) GRANT</t>
  </si>
  <si>
    <t>Berlin Elementary School</t>
  </si>
  <si>
    <t>Colebrook Academy and Elementary School (E)</t>
  </si>
  <si>
    <t>Compass Classical Academy Charter School (E)</t>
  </si>
  <si>
    <t>Cutler Elementary School</t>
  </si>
  <si>
    <t>Gilsum STEAM Academy</t>
  </si>
  <si>
    <t>Henry Wilson Elementary School</t>
  </si>
  <si>
    <t>MicroSociety Academy Charter School Foundation</t>
  </si>
  <si>
    <t>Mt. Caesar Elementary School</t>
  </si>
  <si>
    <t>Weston Elementary School</t>
  </si>
  <si>
    <t>Salem Preschool</t>
  </si>
  <si>
    <t>Henry J. McLaughlin Jr. Middle School</t>
  </si>
  <si>
    <t>Moultonborough Middle Level</t>
  </si>
  <si>
    <t>Colebrook Academy and Elementary School (H)</t>
  </si>
  <si>
    <t>Spark Academy of Advanced Technologies</t>
  </si>
  <si>
    <t>Spark Academy of Advanced Technologies Charter School</t>
  </si>
  <si>
    <t>Input field for adjustment if necessary</t>
  </si>
  <si>
    <t>YES</t>
  </si>
  <si>
    <t>NO</t>
  </si>
  <si>
    <r>
      <t xml:space="preserve">amounts above $25,000 </t>
    </r>
    <r>
      <rPr>
        <b/>
        <vertAlign val="superscript"/>
        <sz val="10"/>
        <color rgb="FFFF0000"/>
        <rFont val="Arial"/>
        <family val="2"/>
      </rPr>
      <t>4</t>
    </r>
  </si>
  <si>
    <t xml:space="preserve">Portion of Contract </t>
  </si>
  <si>
    <t>We are requesteting an indirect cost rate(choose yes or no in green cell below)</t>
  </si>
  <si>
    <t>Rivendell</t>
  </si>
  <si>
    <t>Rivendell Academy (E)</t>
  </si>
  <si>
    <t>Northeast Woodland Chartered Public School</t>
  </si>
  <si>
    <t>A. Crosby Kennett Middle School</t>
  </si>
  <si>
    <t>Rivendell Academy (H)</t>
  </si>
  <si>
    <t>Prospect Mountain JMA</t>
  </si>
  <si>
    <t>Prospect Mountain High School</t>
  </si>
  <si>
    <t>Coe-Brown Northwood Academy</t>
  </si>
  <si>
    <t>CFDA#</t>
  </si>
  <si>
    <t>Amount</t>
  </si>
  <si>
    <t>DOE 25  2021-2022</t>
  </si>
  <si>
    <t>TOTAL FUND EQUITY, JULY 1, 2021</t>
  </si>
  <si>
    <t xml:space="preserve">Total Fund Equity June 30, 2022**** </t>
  </si>
  <si>
    <t>For the Fiscal Year Ending on June 30, 2022</t>
  </si>
  <si>
    <t>For Fiscal Year Ending June 30, 2022</t>
  </si>
  <si>
    <t>2021-2022</t>
  </si>
  <si>
    <t>Fund Equity Beginning of Year July 1, 2021</t>
  </si>
  <si>
    <t>Fund Equity End of Year June 30, 2022</t>
  </si>
  <si>
    <t>ELEM/SEC(ESEA) - ALL OTHER PROGRAMS (TOTAL REPORTED ON PAGE 5 LINE 8)</t>
  </si>
  <si>
    <t>Title II, Part A-Supporting Effective Instruction</t>
  </si>
  <si>
    <t>Title IV, Part A-Subpart 1, Section 4105-Student Support &amp; Academic Enrichment Grants</t>
  </si>
  <si>
    <t>Title V, Part B-Subpart 2, Rural and Low Income School Program</t>
  </si>
  <si>
    <t>Title IV, Part B-21st Century Community Learning Centers</t>
  </si>
  <si>
    <t>FROM FEDERAL SOURCES DIRECT</t>
  </si>
  <si>
    <t>Title V, Part B, Subpart 1-Small, Rural School Achievement Program</t>
  </si>
  <si>
    <t xml:space="preserve">   ELEM/SEC(ESEA) - ALL OTHER PROGRAMS BREAKDOWN</t>
  </si>
  <si>
    <t>Sub-Total 1</t>
  </si>
  <si>
    <t>Sub-Total 2</t>
  </si>
  <si>
    <t>Sub-Total 3</t>
  </si>
  <si>
    <t>Sub-Total 4</t>
  </si>
  <si>
    <t>Title III, Part A-English Language Acquisition State Grants</t>
  </si>
  <si>
    <t>Sub-Total 5</t>
  </si>
  <si>
    <t>84.367A</t>
  </si>
  <si>
    <t>84.365A</t>
  </si>
  <si>
    <t>84.424A</t>
  </si>
  <si>
    <t>84.287C</t>
  </si>
  <si>
    <t>84.358B</t>
  </si>
  <si>
    <t>84.358A</t>
  </si>
  <si>
    <t>Dist Name</t>
  </si>
  <si>
    <t>Sch ID</t>
  </si>
  <si>
    <t>Sch Apr Lvl Desc</t>
  </si>
  <si>
    <t>Sau ID</t>
  </si>
  <si>
    <t>SAUName</t>
  </si>
  <si>
    <t>Concord SAU Office</t>
  </si>
  <si>
    <t>Fall Mountain Regional SAU Office</t>
  </si>
  <si>
    <t>Hampton SAU Office</t>
  </si>
  <si>
    <t>Pembroke SAU Office</t>
  </si>
  <si>
    <t>Alton SAU Office</t>
  </si>
  <si>
    <t>Nashua SAU Office</t>
  </si>
  <si>
    <t>Merrimack Valley SAU Office</t>
  </si>
  <si>
    <t>Contoocook Valley SAU Office</t>
  </si>
  <si>
    <t>Inter-Lakes Cooperative SAU Office</t>
  </si>
  <si>
    <t>Timberlane Regional SAU Office</t>
  </si>
  <si>
    <t>Hooksett SAU Office</t>
  </si>
  <si>
    <t>Manchester SAU Office</t>
  </si>
  <si>
    <t>Barnstead SAU Office</t>
  </si>
  <si>
    <t>Barrington SAU Office</t>
  </si>
  <si>
    <t>Goffstown SAU Office</t>
  </si>
  <si>
    <t>Haverhill Cooperative SAU Office</t>
  </si>
  <si>
    <t>Shaker Regional SAU Office</t>
  </si>
  <si>
    <t>Berlin SAU Office</t>
  </si>
  <si>
    <t>Hanover SAU Office</t>
  </si>
  <si>
    <t>SAU #35 Office</t>
  </si>
  <si>
    <t>Claremont SAU Office</t>
  </si>
  <si>
    <t>Bow SAU Office</t>
  </si>
  <si>
    <t>Newfound Area SAU Office</t>
  </si>
  <si>
    <t>Plymouth SAU Office</t>
  </si>
  <si>
    <t>Mascoma Valley SAU Office</t>
  </si>
  <si>
    <t>Hollis-Brookline SAU Office</t>
  </si>
  <si>
    <t>Governor Wentworth Regional SAU Office</t>
  </si>
  <si>
    <t>Henniker SAU Office</t>
  </si>
  <si>
    <t>Rochester SAU Office</t>
  </si>
  <si>
    <t>Chester SAU Office</t>
  </si>
  <si>
    <t>Keene SAU Office</t>
  </si>
  <si>
    <t>Amherst SAU Office</t>
  </si>
  <si>
    <t>Colebrook SAU Office</t>
  </si>
  <si>
    <t>Conway SAU Office</t>
  </si>
  <si>
    <t>Cornish SAU Office</t>
  </si>
  <si>
    <t>Croydon SAU Office</t>
  </si>
  <si>
    <t>Monadnock Regional SAU Office</t>
  </si>
  <si>
    <t>Sanborn Regional SAU Office</t>
  </si>
  <si>
    <t>Derry Cooperative SAU Office</t>
  </si>
  <si>
    <t>Hudson SAU Office</t>
  </si>
  <si>
    <t>Salem SAU Office</t>
  </si>
  <si>
    <t>Exeter SAU Office</t>
  </si>
  <si>
    <t>Gorham SAU Office</t>
  </si>
  <si>
    <t>Fremont SAU Office</t>
  </si>
  <si>
    <t>Laconia SAU Office</t>
  </si>
  <si>
    <t>Epping SAU Office</t>
  </si>
  <si>
    <t>Wilton SAU Office</t>
  </si>
  <si>
    <t>Franklin SAU Office</t>
  </si>
  <si>
    <t>Tamworth SAU Office</t>
  </si>
  <si>
    <t>Dover SAU Office</t>
  </si>
  <si>
    <t>Gathering Waters Charter School</t>
  </si>
  <si>
    <t>Gathering Waters Charter School (E)</t>
  </si>
  <si>
    <t>Gathering Waters Charter School SAU</t>
  </si>
  <si>
    <t>Gilford SAU Office</t>
  </si>
  <si>
    <t>Gilmanton SAU Office</t>
  </si>
  <si>
    <t>Windham SAU Office</t>
  </si>
  <si>
    <t>Grantham SAU Office</t>
  </si>
  <si>
    <t>Greenland SAU Office</t>
  </si>
  <si>
    <t>Litchfield SAU Office</t>
  </si>
  <si>
    <t>Northumberland SAU Office</t>
  </si>
  <si>
    <t>Hampstead SAU Office</t>
  </si>
  <si>
    <t>Lebanon SAU Office</t>
  </si>
  <si>
    <t>Hopkinton SAU Office</t>
  </si>
  <si>
    <t>Farmington SAU Office</t>
  </si>
  <si>
    <t>Milford SAU Office</t>
  </si>
  <si>
    <t>Mascenic Regional SAU Office</t>
  </si>
  <si>
    <t>Hillsboro-Deering SAU Office</t>
  </si>
  <si>
    <t>Hinsdale SAU Office</t>
  </si>
  <si>
    <t>Somersworth SAU Office</t>
  </si>
  <si>
    <t>Jaffrey-Rindge SAU Office</t>
  </si>
  <si>
    <t>Kearsarge Regional SAU Office</t>
  </si>
  <si>
    <t>Merrimack SAU Office</t>
  </si>
  <si>
    <t>Hill SAU Office</t>
  </si>
  <si>
    <t>Raymond SAU Office</t>
  </si>
  <si>
    <t>White Mountains Regional SAU Office</t>
  </si>
  <si>
    <t>Lempster SAU Office</t>
  </si>
  <si>
    <t>Winnacunnet SAU Office</t>
  </si>
  <si>
    <t>Lincoln-Woodstock SAU Office</t>
  </si>
  <si>
    <t>Portsmouth SAU Office</t>
  </si>
  <si>
    <t>Lyme SAU Office</t>
  </si>
  <si>
    <t>Mason SAU Office</t>
  </si>
  <si>
    <t>Oyster River SAU Office</t>
  </si>
  <si>
    <t>Londonderry SAU Office</t>
  </si>
  <si>
    <t>Bedford SAU Office</t>
  </si>
  <si>
    <t>Middleton SAU</t>
  </si>
  <si>
    <t>Littleton SAU Office</t>
  </si>
  <si>
    <t>Milton SAU Office</t>
  </si>
  <si>
    <t>Monroe SAU Office</t>
  </si>
  <si>
    <t>Moultonborough SAU Office</t>
  </si>
  <si>
    <t>Newmarket SAU Office</t>
  </si>
  <si>
    <t>Northwood SAU Office</t>
  </si>
  <si>
    <t>Nottingham West Elementary Pre School</t>
  </si>
  <si>
    <t>Wakefield SAU Office</t>
  </si>
  <si>
    <t>Pelham SAU Office</t>
  </si>
  <si>
    <t>Pittsfield SAU Office</t>
  </si>
  <si>
    <t>Plainfield SAU Office</t>
  </si>
  <si>
    <t>Newport SAU Office</t>
  </si>
  <si>
    <t>Rivendell Interstate SAU Office</t>
  </si>
  <si>
    <t>Rollinsford SAU Office</t>
  </si>
  <si>
    <t>Winnisquam Regional SAU Office</t>
  </si>
  <si>
    <t>Strafford SAU Office</t>
  </si>
  <si>
    <t>Sunapee SAU Office</t>
  </si>
  <si>
    <t>Winchester SAU Office</t>
  </si>
  <si>
    <t>Compass Classical Academy Charter School (H)</t>
  </si>
  <si>
    <t>Gathering Waters Charter School (H)</t>
  </si>
  <si>
    <t>Pinkerton Academy</t>
  </si>
  <si>
    <t>SCHOOL DISTRICTS</t>
  </si>
  <si>
    <t>Loc</t>
  </si>
  <si>
    <t>Helper 1</t>
  </si>
  <si>
    <t>Helper 2</t>
  </si>
  <si>
    <t>Helper 3</t>
  </si>
  <si>
    <t>Albany</t>
  </si>
  <si>
    <t>Benton</t>
  </si>
  <si>
    <t>Chatham</t>
  </si>
  <si>
    <t>Clarksville</t>
  </si>
  <si>
    <t>Columbia</t>
  </si>
  <si>
    <t>Coos County School District</t>
  </si>
  <si>
    <t>Coos County</t>
  </si>
  <si>
    <t>Dummer</t>
  </si>
  <si>
    <t>Eaton</t>
  </si>
  <si>
    <t>Ellsworth</t>
  </si>
  <si>
    <t>Goshen</t>
  </si>
  <si>
    <t>Goshen SAU Office</t>
  </si>
  <si>
    <t>Hale's Location (Carroll County)</t>
  </si>
  <si>
    <t>Hale's Location c/o Carroll Cty</t>
  </si>
  <si>
    <t>Hart's Location</t>
  </si>
  <si>
    <t>Newfound Area</t>
  </si>
  <si>
    <t>Sullivan</t>
  </si>
  <si>
    <t>Sullivan SAU Office</t>
  </si>
  <si>
    <t>Surry</t>
  </si>
  <si>
    <t>Surry SAU Office</t>
  </si>
  <si>
    <t>Windsor</t>
  </si>
  <si>
    <t>Memorial School (Sanborn)</t>
  </si>
  <si>
    <t>Memorial School (Bedford)</t>
  </si>
  <si>
    <t>Maple Avenue School (Claremont)</t>
  </si>
  <si>
    <t>Maple Avenue School (Goffstown)</t>
  </si>
  <si>
    <t>Dupe Name</t>
  </si>
  <si>
    <t>Dup Name</t>
  </si>
  <si>
    <t>2021-2022 Current Expenditure Per Pupil(in dollars)</t>
  </si>
  <si>
    <t>2021-22-Current Expenditure Per Pupil</t>
  </si>
  <si>
    <t>2021-22-Total Revenues</t>
  </si>
  <si>
    <t>Frost Fund</t>
  </si>
  <si>
    <t>11/17</t>
  </si>
  <si>
    <t>8/22</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</si>
</sst>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numFmts count="5">
    <numFmt numFmtId="43" formatCode="_(* #,##0.00_);_(* \(#,##0.00\);_(* &quot;-&quot;??_);_(@_)"/>
    <numFmt numFmtId="164" formatCode="0.00_)"/>
    <numFmt numFmtId="165" formatCode="0_)"/>
    <numFmt numFmtId="166" formatCode="0.0%"/>
    <numFmt numFmtId="167" formatCode="0.0"/>
  </numFmts>
  <fonts count="82" x14ac:knownFonts="1">
    <font>
      <sz val="8"/>
      <name val="Arial"/>
    </font>
    <font>
      <sz val="11"/>
      <color theme="1"/>
      <name val="Calibri"/>
      <family val="2"/>
      <scheme val="minor"/>
    </font>
    <font>
      <sz val="11"/>
      <color theme="1"/>
      <name val="Calibri"/>
      <family val="2"/>
      <scheme val="minor"/>
    </font>
    <font>
      <sz val="11"/>
      <color theme="1"/>
      <name val="Calibri"/>
      <family val="2"/>
      <scheme val="minor"/>
    </font>
    <font>
      <sz val="11"/>
      <color theme="1"/>
      <name val="Calibri"/>
      <family val="2"/>
      <scheme val="minor"/>
    </font>
    <font>
      <sz val="11"/>
      <color theme="1"/>
      <name val="Calibri"/>
      <family val="2"/>
      <scheme val="minor"/>
    </font>
    <font>
      <sz val="8"/>
      <name val="Arial Rounded MT Bold"/>
      <family val="2"/>
    </font>
    <font>
      <sz val="8"/>
      <color indexed="12"/>
      <name val="Arial Rounded MT Bold"/>
      <family val="2"/>
    </font>
    <font>
      <sz val="8"/>
      <color indexed="8"/>
      <name val="Arial Rounded MT Bold"/>
      <family val="2"/>
    </font>
    <font>
      <sz val="8"/>
      <color indexed="12"/>
      <name val="Arial"/>
      <family val="2"/>
    </font>
    <font>
      <b/>
      <sz val="8"/>
      <name val="Arial Rounded MT Bold"/>
      <family val="2"/>
    </font>
    <font>
      <i/>
      <sz val="8"/>
      <name val="Arial Rounded MT Bold"/>
      <family val="2"/>
    </font>
    <font>
      <b/>
      <i/>
      <sz val="8"/>
      <name val="Arial Rounded MT Bold"/>
      <family val="2"/>
    </font>
    <font>
      <i/>
      <sz val="8"/>
      <color indexed="12"/>
      <name val="Arial Rounded MT Bold"/>
      <family val="2"/>
    </font>
    <font>
      <b/>
      <sz val="8"/>
      <name val="Arial"/>
      <family val="2"/>
    </font>
    <font>
      <sz val="8"/>
      <name val="Arial"/>
      <family val="2"/>
    </font>
    <font>
      <b/>
      <sz val="8"/>
      <color indexed="12"/>
      <name val="Arial Rounded MT Bold"/>
      <family val="2"/>
    </font>
    <font>
      <b/>
      <i/>
      <sz val="8"/>
      <name val="Arial"/>
      <family val="2"/>
    </font>
    <font>
      <b/>
      <sz val="8"/>
      <color indexed="8"/>
      <name val="Arial Rounded MT Bold"/>
      <family val="2"/>
    </font>
    <font>
      <sz val="8"/>
      <color indexed="56"/>
      <name val="Arial"/>
      <family val="2"/>
    </font>
    <font>
      <sz val="8"/>
      <color indexed="8"/>
      <name val="Arial"/>
      <family val="2"/>
    </font>
    <font>
      <sz val="8"/>
      <color indexed="8"/>
      <name val="Arial Rounded MT Bold"/>
      <family val="2"/>
    </font>
    <font>
      <sz val="8"/>
      <color indexed="81"/>
      <name val="Tahoma"/>
      <family val="2"/>
    </font>
    <font>
      <b/>
      <sz val="8"/>
      <color indexed="8"/>
      <name val="Arial Rounded MT Bold"/>
      <family val="2"/>
    </font>
    <font>
      <b/>
      <sz val="8"/>
      <name val="Arial Rounded MT Bold"/>
      <family val="2"/>
    </font>
    <font>
      <sz val="8"/>
      <name val="Arial Rounded MT Bold"/>
      <family val="2"/>
    </font>
    <font>
      <sz val="8"/>
      <color indexed="12"/>
      <name val="Arial Rounded MT Bold"/>
      <family val="2"/>
    </font>
    <font>
      <i/>
      <sz val="8"/>
      <name val="Arial Rounded MT Bold"/>
      <family val="2"/>
    </font>
    <font>
      <b/>
      <sz val="8"/>
      <color indexed="12"/>
      <name val="Arial Rounded MT Bold"/>
      <family val="2"/>
    </font>
    <font>
      <sz val="14"/>
      <color indexed="12"/>
      <name val="Arial"/>
      <family val="2"/>
    </font>
    <font>
      <sz val="8"/>
      <color indexed="10"/>
      <name val="Arial"/>
      <family val="2"/>
    </font>
    <font>
      <b/>
      <sz val="8"/>
      <color indexed="12"/>
      <name val="Arial"/>
      <family val="2"/>
    </font>
    <font>
      <b/>
      <sz val="12"/>
      <name val="Arial"/>
      <family val="2"/>
    </font>
    <font>
      <b/>
      <sz val="10"/>
      <color indexed="10"/>
      <name val="Arial"/>
      <family val="2"/>
    </font>
    <font>
      <b/>
      <sz val="10"/>
      <color indexed="12"/>
      <name val="Arial"/>
      <family val="2"/>
    </font>
    <font>
      <sz val="10"/>
      <name val="Arial"/>
      <family val="2"/>
    </font>
    <font>
      <b/>
      <sz val="8"/>
      <color indexed="10"/>
      <name val="Arial"/>
      <family val="2"/>
    </font>
    <font>
      <vertAlign val="superscript"/>
      <sz val="8"/>
      <name val="Arial"/>
      <family val="2"/>
    </font>
    <font>
      <vertAlign val="superscript"/>
      <sz val="8"/>
      <color indexed="10"/>
      <name val="Arial"/>
      <family val="2"/>
    </font>
    <font>
      <sz val="8"/>
      <color indexed="8"/>
      <name val="Arial"/>
      <family val="2"/>
    </font>
    <font>
      <b/>
      <sz val="8"/>
      <color rgb="FFFF0000"/>
      <name val="Arial Rounded MT Bold"/>
      <family val="2"/>
    </font>
    <font>
      <b/>
      <sz val="8"/>
      <color rgb="FFFF0000"/>
      <name val="Arial"/>
      <family val="2"/>
    </font>
    <font>
      <b/>
      <vertAlign val="superscript"/>
      <sz val="10"/>
      <color rgb="FFFF0000"/>
      <name val="Arial"/>
      <family val="2"/>
    </font>
    <font>
      <b/>
      <vertAlign val="superscript"/>
      <sz val="10"/>
      <color indexed="10"/>
      <name val="Arial"/>
      <family val="2"/>
    </font>
    <font>
      <vertAlign val="superscript"/>
      <sz val="10"/>
      <color indexed="10"/>
      <name val="Arial"/>
      <family val="2"/>
    </font>
    <font>
      <sz val="9"/>
      <name val="Arial"/>
      <family val="2"/>
    </font>
    <font>
      <b/>
      <sz val="9"/>
      <color indexed="10"/>
      <name val="Arial"/>
      <family val="2"/>
    </font>
    <font>
      <u/>
      <sz val="9"/>
      <name val="Arial"/>
      <family val="2"/>
    </font>
    <font>
      <sz val="9"/>
      <color rgb="FFFF0000"/>
      <name val="Arial"/>
      <family val="2"/>
    </font>
    <font>
      <b/>
      <u/>
      <sz val="9"/>
      <name val="Arial"/>
      <family val="2"/>
    </font>
    <font>
      <b/>
      <sz val="9"/>
      <name val="Arial"/>
      <family val="2"/>
    </font>
    <font>
      <b/>
      <sz val="15"/>
      <color theme="3"/>
      <name val="Calibri"/>
      <family val="2"/>
      <scheme val="minor"/>
    </font>
    <font>
      <b/>
      <sz val="13"/>
      <color theme="3"/>
      <name val="Calibri"/>
      <family val="2"/>
      <scheme val="minor"/>
    </font>
    <font>
      <b/>
      <sz val="11"/>
      <color theme="3"/>
      <name val="Calibri"/>
      <family val="2"/>
      <scheme val="minor"/>
    </font>
    <font>
      <sz val="11"/>
      <color rgb="FF006100"/>
      <name val="Calibri"/>
      <family val="2"/>
      <scheme val="minor"/>
    </font>
    <font>
      <sz val="11"/>
      <color rgb="FF9C0006"/>
      <name val="Calibri"/>
      <family val="2"/>
      <scheme val="minor"/>
    </font>
    <font>
      <sz val="11"/>
      <color rgb="FF9C6500"/>
      <name val="Calibri"/>
      <family val="2"/>
      <scheme val="minor"/>
    </font>
    <font>
      <sz val="11"/>
      <color rgb="FF3F3F76"/>
      <name val="Calibri"/>
      <family val="2"/>
      <scheme val="minor"/>
    </font>
    <font>
      <b/>
      <sz val="11"/>
      <color rgb="FF3F3F3F"/>
      <name val="Calibri"/>
      <family val="2"/>
      <scheme val="minor"/>
    </font>
    <font>
      <b/>
      <sz val="11"/>
      <color rgb="FFFA7D00"/>
      <name val="Calibri"/>
      <family val="2"/>
      <scheme val="minor"/>
    </font>
    <font>
      <sz val="11"/>
      <color rgb="FFFA7D00"/>
      <name val="Calibri"/>
      <family val="2"/>
      <scheme val="minor"/>
    </font>
    <font>
      <b/>
      <sz val="11"/>
      <color theme="0"/>
      <name val="Calibri"/>
      <family val="2"/>
      <scheme val="minor"/>
    </font>
    <font>
      <sz val="11"/>
      <color rgb="FFFF0000"/>
      <name val="Calibri"/>
      <family val="2"/>
      <scheme val="minor"/>
    </font>
    <font>
      <i/>
      <sz val="11"/>
      <color rgb="FF7F7F7F"/>
      <name val="Calibri"/>
      <family val="2"/>
      <scheme val="minor"/>
    </font>
    <font>
      <b/>
      <sz val="11"/>
      <color theme="1"/>
      <name val="Calibri"/>
      <family val="2"/>
      <scheme val="minor"/>
    </font>
    <font>
      <sz val="11"/>
      <color theme="0"/>
      <name val="Calibri"/>
      <family val="2"/>
      <scheme val="minor"/>
    </font>
    <font>
      <sz val="18"/>
      <color theme="3"/>
      <name val="Cambria"/>
      <family val="2"/>
      <scheme val="major"/>
    </font>
    <font>
      <sz val="14"/>
      <name val="Arial"/>
      <family val="2"/>
    </font>
    <font>
      <sz val="12"/>
      <name val="Arial"/>
      <family val="2"/>
    </font>
    <font>
      <sz val="12"/>
      <color rgb="FFFF0000"/>
      <name val="Arial"/>
      <family val="2"/>
    </font>
    <font>
      <b/>
      <sz val="12"/>
      <color rgb="FFFF0000"/>
      <name val="Arial"/>
      <family val="2"/>
    </font>
    <font>
      <sz val="8"/>
      <color rgb="FFFF0000"/>
      <name val="Arial Rounded MT Bold"/>
      <family val="2"/>
    </font>
    <font>
      <b/>
      <sz val="11"/>
      <color rgb="FFFF0000"/>
      <name val="Calibri"/>
      <family val="2"/>
      <scheme val="minor"/>
    </font>
    <font>
      <sz val="9"/>
      <color indexed="81"/>
      <name val="Tahoma"/>
      <family val="2"/>
    </font>
    <font>
      <b/>
      <sz val="9"/>
      <color indexed="81"/>
      <name val="Tahoma"/>
      <family val="2"/>
    </font>
    <font>
      <b/>
      <sz val="10"/>
      <color rgb="FFFF0000"/>
      <name val="Arial"/>
      <family val="2"/>
    </font>
    <font>
      <sz val="10"/>
      <color indexed="8"/>
      <name val="Tahoma"/>
      <family val="2"/>
    </font>
    <font>
      <b/>
      <sz val="11"/>
      <color rgb="FFFFFFFF"/>
      <name val="Tahoma"/>
      <family val="2"/>
    </font>
    <font>
      <sz val="10"/>
      <color rgb="FF000000"/>
      <name val="Tahoma"/>
      <family val="2"/>
    </font>
    <font>
      <b/>
      <sz val="14"/>
      <color rgb="FFFF0000"/>
      <name val="Calibri"/>
      <family val="2"/>
      <scheme val="minor"/>
    </font>
    <font>
      <sz val="9"/>
      <color indexed="81"/>
      <name val="Tahoma"/>
      <charset val="1"/>
    </font>
    <font>
      <b/>
      <sz val="9"/>
      <color indexed="81"/>
      <name val="Tahoma"/>
      <charset val="1"/>
    </font>
  </fonts>
  <fills count="48">
    <fill>
      <patternFill patternType="none"/>
    </fill>
    <fill>
      <patternFill patternType="gray125"/>
    </fill>
    <fill>
      <patternFill patternType="solid">
        <fgColor indexed="22"/>
        <bgColor indexed="64"/>
      </patternFill>
    </fill>
    <fill>
      <patternFill patternType="solid">
        <fgColor indexed="55"/>
        <bgColor indexed="64"/>
      </patternFill>
    </fill>
    <fill>
      <patternFill patternType="solid">
        <fgColor indexed="9"/>
        <bgColor indexed="64"/>
      </patternFill>
    </fill>
    <fill>
      <patternFill patternType="solid">
        <fgColor indexed="15"/>
        <bgColor indexed="64"/>
      </patternFill>
    </fill>
    <fill>
      <patternFill patternType="solid">
        <fgColor theme="6" tint="0.59999389629810485"/>
        <bgColor indexed="64"/>
      </patternFill>
    </fill>
    <fill>
      <patternFill patternType="solid">
        <fgColor theme="0"/>
        <bgColor indexed="64"/>
      </patternFill>
    </fill>
    <fill>
      <patternFill patternType="solid">
        <fgColor theme="0" tint="-0.14999847407452621"/>
        <bgColor indexed="64"/>
      </patternFill>
    </fill>
    <fill>
      <patternFill patternType="solid">
        <fgColor rgb="FFC6EFCE"/>
      </patternFill>
    </fill>
    <fill>
      <patternFill patternType="solid">
        <fgColor rgb="FFFFC7CE"/>
      </patternFill>
    </fill>
    <fill>
      <patternFill patternType="solid">
        <fgColor rgb="FFFFEB9C"/>
      </patternFill>
    </fill>
    <fill>
      <patternFill patternType="solid">
        <fgColor rgb="FFFFCC99"/>
      </patternFill>
    </fill>
    <fill>
      <patternFill patternType="solid">
        <fgColor rgb="FFF2F2F2"/>
      </patternFill>
    </fill>
    <fill>
      <patternFill patternType="solid">
        <fgColor rgb="FFA5A5A5"/>
      </patternFill>
    </fill>
    <fill>
      <patternFill patternType="solid">
        <fgColor rgb="FFFFFFCC"/>
      </patternFill>
    </fill>
    <fill>
      <patternFill patternType="solid">
        <fgColor theme="4"/>
      </patternFill>
    </fill>
    <fill>
      <patternFill patternType="solid">
        <fgColor theme="4" tint="0.79998168889431442"/>
        <bgColor indexed="65"/>
      </patternFill>
    </fill>
    <fill>
      <patternFill patternType="solid">
        <fgColor theme="4" tint="0.59999389629810485"/>
        <bgColor indexed="65"/>
      </patternFill>
    </fill>
    <fill>
      <patternFill patternType="solid">
        <fgColor theme="4" tint="0.39997558519241921"/>
        <bgColor indexed="65"/>
      </patternFill>
    </fill>
    <fill>
      <patternFill patternType="solid">
        <fgColor theme="5"/>
      </patternFill>
    </fill>
    <fill>
      <patternFill patternType="solid">
        <fgColor theme="5" tint="0.79998168889431442"/>
        <bgColor indexed="65"/>
      </patternFill>
    </fill>
    <fill>
      <patternFill patternType="solid">
        <fgColor theme="5" tint="0.59999389629810485"/>
        <bgColor indexed="65"/>
      </patternFill>
    </fill>
    <fill>
      <patternFill patternType="solid">
        <fgColor theme="5" tint="0.39997558519241921"/>
        <bgColor indexed="65"/>
      </patternFill>
    </fill>
    <fill>
      <patternFill patternType="solid">
        <fgColor theme="6"/>
      </patternFill>
    </fill>
    <fill>
      <patternFill patternType="solid">
        <fgColor theme="6" tint="0.79998168889431442"/>
        <bgColor indexed="65"/>
      </patternFill>
    </fill>
    <fill>
      <patternFill patternType="solid">
        <fgColor theme="6" tint="0.59999389629810485"/>
        <bgColor indexed="65"/>
      </patternFill>
    </fill>
    <fill>
      <patternFill patternType="solid">
        <fgColor theme="6" tint="0.39997558519241921"/>
        <bgColor indexed="65"/>
      </patternFill>
    </fill>
    <fill>
      <patternFill patternType="solid">
        <fgColor theme="7"/>
      </patternFill>
    </fill>
    <fill>
      <patternFill patternType="solid">
        <fgColor theme="7" tint="0.79998168889431442"/>
        <bgColor indexed="65"/>
      </patternFill>
    </fill>
    <fill>
      <patternFill patternType="solid">
        <fgColor theme="7" tint="0.59999389629810485"/>
        <bgColor indexed="65"/>
      </patternFill>
    </fill>
    <fill>
      <patternFill patternType="solid">
        <fgColor theme="7" tint="0.39997558519241921"/>
        <bgColor indexed="65"/>
      </patternFill>
    </fill>
    <fill>
      <patternFill patternType="solid">
        <fgColor theme="8"/>
      </patternFill>
    </fill>
    <fill>
      <patternFill patternType="solid">
        <fgColor theme="8" tint="0.79998168889431442"/>
        <bgColor indexed="65"/>
      </patternFill>
    </fill>
    <fill>
      <patternFill patternType="solid">
        <fgColor theme="8" tint="0.59999389629810485"/>
        <bgColor indexed="65"/>
      </patternFill>
    </fill>
    <fill>
      <patternFill patternType="solid">
        <fgColor theme="8" tint="0.39997558519241921"/>
        <bgColor indexed="65"/>
      </patternFill>
    </fill>
    <fill>
      <patternFill patternType="solid">
        <fgColor theme="9"/>
      </patternFill>
    </fill>
    <fill>
      <patternFill patternType="solid">
        <fgColor theme="9" tint="0.79998168889431442"/>
        <bgColor indexed="65"/>
      </patternFill>
    </fill>
    <fill>
      <patternFill patternType="solid">
        <fgColor theme="9" tint="0.59999389629810485"/>
        <bgColor indexed="65"/>
      </patternFill>
    </fill>
    <fill>
      <patternFill patternType="solid">
        <fgColor theme="9" tint="0.39997558519241921"/>
        <bgColor indexed="65"/>
      </patternFill>
    </fill>
    <fill>
      <patternFill patternType="solid">
        <fgColor rgb="FFFFFF00"/>
        <bgColor indexed="64"/>
      </patternFill>
    </fill>
    <fill>
      <patternFill patternType="solid">
        <fgColor rgb="FF92D050"/>
        <bgColor indexed="64"/>
      </patternFill>
    </fill>
    <fill>
      <patternFill patternType="solid">
        <fgColor theme="0" tint="-0.14996795556505021"/>
        <bgColor indexed="64"/>
      </patternFill>
    </fill>
    <fill>
      <patternFill patternType="solid">
        <fgColor rgb="FF35CB72"/>
        <bgColor indexed="64"/>
      </patternFill>
    </fill>
    <fill>
      <patternFill patternType="solid">
        <fgColor theme="4" tint="0.59999389629810485"/>
        <bgColor indexed="64"/>
      </patternFill>
    </fill>
    <fill>
      <patternFill patternType="solid">
        <fgColor rgb="FF4682B4"/>
        <bgColor rgb="FF000000"/>
      </patternFill>
    </fill>
    <fill>
      <patternFill patternType="solid">
        <fgColor rgb="FFFFC000"/>
        <bgColor indexed="64"/>
      </patternFill>
    </fill>
    <fill>
      <patternFill patternType="solid">
        <fgColor rgb="FFFFCCCC"/>
        <bgColor indexed="64"/>
      </patternFill>
    </fill>
  </fills>
  <borders count="42">
    <border>
      <left/>
      <right/>
      <top/>
      <bottom/>
      <diagonal/>
    </border>
    <border>
      <left/>
      <right/>
      <top/>
      <bottom style="thin">
        <color indexed="64"/>
      </bottom>
      <diagonal/>
    </border>
    <border>
      <left/>
      <right/>
      <top/>
      <bottom style="medium">
        <color indexed="64"/>
      </bottom>
      <diagonal/>
    </border>
    <border>
      <left/>
      <right/>
      <top style="double">
        <color indexed="64"/>
      </top>
      <bottom/>
      <diagonal/>
    </border>
    <border>
      <left/>
      <right/>
      <top style="double">
        <color indexed="64"/>
      </top>
      <bottom style="double">
        <color indexed="64"/>
      </bottom>
      <diagonal/>
    </border>
    <border>
      <left/>
      <right/>
      <top style="thin">
        <color indexed="64"/>
      </top>
      <bottom/>
      <diagonal/>
    </border>
    <border>
      <left/>
      <right/>
      <top/>
      <bottom style="double">
        <color indexed="64"/>
      </bottom>
      <diagonal/>
    </border>
    <border>
      <left/>
      <right/>
      <top style="medium">
        <color indexed="64"/>
      </top>
      <bottom/>
      <diagonal/>
    </border>
    <border>
      <left/>
      <right/>
      <top style="thick">
        <color indexed="64"/>
      </top>
      <bottom/>
      <diagonal/>
    </border>
    <border>
      <left/>
      <right style="thick">
        <color indexed="64"/>
      </right>
      <top style="thick">
        <color indexed="64"/>
      </top>
      <bottom/>
      <diagonal/>
    </border>
    <border>
      <left/>
      <right style="thick">
        <color indexed="64"/>
      </right>
      <top/>
      <bottom/>
      <diagonal/>
    </border>
    <border>
      <left style="thick">
        <color indexed="64"/>
      </left>
      <right/>
      <top/>
      <bottom/>
      <diagonal/>
    </border>
    <border>
      <left style="thick">
        <color indexed="64"/>
      </left>
      <right/>
      <top/>
      <bottom style="thick">
        <color indexed="64"/>
      </bottom>
      <diagonal/>
    </border>
    <border>
      <left/>
      <right/>
      <top/>
      <bottom style="thick">
        <color indexed="64"/>
      </bottom>
      <diagonal/>
    </border>
    <border>
      <left/>
      <right/>
      <top style="thin">
        <color indexed="64"/>
      </top>
      <bottom style="thin">
        <color indexed="64"/>
      </bottom>
      <diagonal/>
    </border>
    <border>
      <left style="thin">
        <color indexed="64"/>
      </left>
      <right/>
      <top/>
      <bottom/>
      <diagonal/>
    </border>
    <border>
      <left/>
      <right style="thin">
        <color indexed="64"/>
      </right>
      <top/>
      <bottom/>
      <diagonal/>
    </border>
    <border>
      <left/>
      <right style="thin">
        <color indexed="64"/>
      </right>
      <top style="thin">
        <color indexed="64"/>
      </top>
      <bottom/>
      <diagonal/>
    </border>
    <border>
      <left/>
      <right style="thin">
        <color indexed="64"/>
      </right>
      <top/>
      <bottom style="thick">
        <color indexed="64"/>
      </bottom>
      <diagonal/>
    </border>
    <border>
      <left/>
      <right style="thick">
        <color indexed="64"/>
      </right>
      <top/>
      <bottom style="thick">
        <color indexed="64"/>
      </bottom>
      <diagonal/>
    </border>
    <border>
      <left style="thick">
        <color indexed="64"/>
      </left>
      <right/>
      <top style="thick">
        <color indexed="64"/>
      </top>
      <bottom/>
      <diagonal/>
    </border>
    <border>
      <left style="thin">
        <color indexed="64"/>
      </left>
      <right/>
      <top/>
      <bottom style="thin">
        <color indexed="64"/>
      </bottom>
      <diagonal/>
    </border>
    <border>
      <left style="thin">
        <color indexed="64"/>
      </left>
      <right/>
      <top style="thin">
        <color indexed="64"/>
      </top>
      <bottom style="thin">
        <color indexed="64"/>
      </bottom>
      <diagonal/>
    </border>
    <border>
      <left/>
      <right style="thin">
        <color indexed="64"/>
      </right>
      <top style="thin">
        <color indexed="64"/>
      </top>
      <bottom style="thin">
        <color indexed="64"/>
      </bottom>
      <diagonal/>
    </border>
    <border>
      <left style="medium">
        <color rgb="FFFFFFFF"/>
      </left>
      <right style="medium">
        <color rgb="FFFFFFFF"/>
      </right>
      <top style="medium">
        <color rgb="FFFFFFFF"/>
      </top>
      <bottom style="medium">
        <color rgb="FFFFFFFF"/>
      </bottom>
      <diagonal/>
    </border>
    <border>
      <left style="medium">
        <color rgb="FFFFFFFF"/>
      </left>
      <right style="medium">
        <color rgb="FFFFFFFF"/>
      </right>
      <top/>
      <bottom/>
      <diagonal/>
    </border>
    <border>
      <left style="medium">
        <color indexed="64"/>
      </left>
      <right style="medium">
        <color indexed="64"/>
      </right>
      <top style="medium">
        <color indexed="64"/>
      </top>
      <bottom/>
      <diagonal/>
    </border>
    <border>
      <left style="medium">
        <color indexed="64"/>
      </left>
      <right style="medium">
        <color indexed="64"/>
      </right>
      <top/>
      <bottom style="medium">
        <color indexed="64"/>
      </bottom>
      <diagonal/>
    </border>
    <border>
      <left/>
      <right/>
      <top/>
      <bottom style="thick">
        <color theme="4"/>
      </bottom>
      <diagonal/>
    </border>
    <border>
      <left/>
      <right/>
      <top/>
      <bottom style="thick">
        <color theme="4" tint="0.499984740745262"/>
      </bottom>
      <diagonal/>
    </border>
    <border>
      <left/>
      <right/>
      <top/>
      <bottom style="medium">
        <color theme="4" tint="0.39997558519241921"/>
      </bottom>
      <diagonal/>
    </border>
    <border>
      <left style="thin">
        <color rgb="FF7F7F7F"/>
      </left>
      <right style="thin">
        <color rgb="FF7F7F7F"/>
      </right>
      <top style="thin">
        <color rgb="FF7F7F7F"/>
      </top>
      <bottom style="thin">
        <color rgb="FF7F7F7F"/>
      </bottom>
      <diagonal/>
    </border>
    <border>
      <left style="thin">
        <color rgb="FF3F3F3F"/>
      </left>
      <right style="thin">
        <color rgb="FF3F3F3F"/>
      </right>
      <top style="thin">
        <color rgb="FF3F3F3F"/>
      </top>
      <bottom style="thin">
        <color rgb="FF3F3F3F"/>
      </bottom>
      <diagonal/>
    </border>
    <border>
      <left/>
      <right/>
      <top/>
      <bottom style="double">
        <color rgb="FFFF8001"/>
      </bottom>
      <diagonal/>
    </border>
    <border>
      <left style="double">
        <color rgb="FF3F3F3F"/>
      </left>
      <right style="double">
        <color rgb="FF3F3F3F"/>
      </right>
      <top style="double">
        <color rgb="FF3F3F3F"/>
      </top>
      <bottom style="double">
        <color rgb="FF3F3F3F"/>
      </bottom>
      <diagonal/>
    </border>
    <border>
      <left style="thin">
        <color rgb="FFB2B2B2"/>
      </left>
      <right style="thin">
        <color rgb="FFB2B2B2"/>
      </right>
      <top style="thin">
        <color rgb="FFB2B2B2"/>
      </top>
      <bottom style="thin">
        <color rgb="FFB2B2B2"/>
      </bottom>
      <diagonal/>
    </border>
    <border>
      <left/>
      <right/>
      <top style="thin">
        <color theme="4"/>
      </top>
      <bottom style="double">
        <color theme="4"/>
      </bottom>
      <diagonal/>
    </border>
    <border>
      <left style="thin">
        <color indexed="64"/>
      </left>
      <right style="thin">
        <color indexed="64"/>
      </right>
      <top style="thin">
        <color indexed="64"/>
      </top>
      <bottom style="thin">
        <color indexed="64"/>
      </bottom>
      <diagonal/>
    </border>
    <border>
      <left/>
      <right/>
      <top style="thin">
        <color indexed="64"/>
      </top>
      <bottom style="double">
        <color indexed="64"/>
      </bottom>
      <diagonal/>
    </border>
    <border>
      <left style="medium">
        <color indexed="64"/>
      </left>
      <right/>
      <top/>
      <bottom style="medium">
        <color indexed="64"/>
      </bottom>
      <diagonal/>
    </border>
    <border>
      <left style="thin">
        <color indexed="10"/>
      </left>
      <right style="thin">
        <color indexed="10"/>
      </right>
      <top style="thin">
        <color indexed="10"/>
      </top>
      <bottom style="thin">
        <color indexed="10"/>
      </bottom>
      <diagonal/>
    </border>
    <border>
      <left style="thin">
        <color rgb="FFD3D3D3"/>
      </left>
      <right style="thin">
        <color rgb="FFD3D3D3"/>
      </right>
      <top style="thin">
        <color rgb="FFD3D3D3"/>
      </top>
      <bottom style="thin">
        <color rgb="FFD3D3D3"/>
      </bottom>
      <diagonal/>
    </border>
  </borders>
  <cellStyleXfs count="44">
    <xf numFmtId="0" fontId="0" fillId="0" borderId="0"/>
    <xf numFmtId="0" fontId="51" fillId="0" borderId="28" applyNumberFormat="0" applyFill="0" applyAlignment="0" applyProtection="0"/>
    <xf numFmtId="0" fontId="52" fillId="0" borderId="29" applyNumberFormat="0" applyFill="0" applyAlignment="0" applyProtection="0"/>
    <xf numFmtId="0" fontId="53" fillId="0" borderId="30" applyNumberFormat="0" applyFill="0" applyAlignment="0" applyProtection="0"/>
    <xf numFmtId="0" fontId="53" fillId="0" borderId="0" applyNumberFormat="0" applyFill="0" applyBorder="0" applyAlignment="0" applyProtection="0"/>
    <xf numFmtId="0" fontId="54" fillId="9" borderId="0" applyNumberFormat="0" applyBorder="0" applyAlignment="0" applyProtection="0"/>
    <xf numFmtId="0" fontId="55" fillId="10" borderId="0" applyNumberFormat="0" applyBorder="0" applyAlignment="0" applyProtection="0"/>
    <xf numFmtId="0" fontId="56" fillId="11" borderId="0" applyNumberFormat="0" applyBorder="0" applyAlignment="0" applyProtection="0"/>
    <xf numFmtId="0" fontId="57" fillId="12" borderId="31" applyNumberFormat="0" applyAlignment="0" applyProtection="0"/>
    <xf numFmtId="0" fontId="58" fillId="13" borderId="32" applyNumberFormat="0" applyAlignment="0" applyProtection="0"/>
    <xf numFmtId="0" fontId="59" fillId="13" borderId="31" applyNumberFormat="0" applyAlignment="0" applyProtection="0"/>
    <xf numFmtId="0" fontId="60" fillId="0" borderId="33" applyNumberFormat="0" applyFill="0" applyAlignment="0" applyProtection="0"/>
    <xf numFmtId="0" fontId="61" fillId="14" borderId="34" applyNumberFormat="0" applyAlignment="0" applyProtection="0"/>
    <xf numFmtId="0" fontId="62" fillId="0" borderId="0" applyNumberFormat="0" applyFill="0" applyBorder="0" applyAlignment="0" applyProtection="0"/>
    <xf numFmtId="0" fontId="63" fillId="0" borderId="0" applyNumberFormat="0" applyFill="0" applyBorder="0" applyAlignment="0" applyProtection="0"/>
    <xf numFmtId="0" fontId="64" fillId="0" borderId="36" applyNumberFormat="0" applyFill="0" applyAlignment="0" applyProtection="0"/>
    <xf numFmtId="0" fontId="65" fillId="16" borderId="0" applyNumberFormat="0" applyBorder="0" applyAlignment="0" applyProtection="0"/>
    <xf numFmtId="0" fontId="5" fillId="17" borderId="0" applyNumberFormat="0" applyBorder="0" applyAlignment="0" applyProtection="0"/>
    <xf numFmtId="0" fontId="5" fillId="18" borderId="0" applyNumberFormat="0" applyBorder="0" applyAlignment="0" applyProtection="0"/>
    <xf numFmtId="0" fontId="65" fillId="19" borderId="0" applyNumberFormat="0" applyBorder="0" applyAlignment="0" applyProtection="0"/>
    <xf numFmtId="0" fontId="65" fillId="20" borderId="0" applyNumberFormat="0" applyBorder="0" applyAlignment="0" applyProtection="0"/>
    <xf numFmtId="0" fontId="5" fillId="21" borderId="0" applyNumberFormat="0" applyBorder="0" applyAlignment="0" applyProtection="0"/>
    <xf numFmtId="0" fontId="5" fillId="22" borderId="0" applyNumberFormat="0" applyBorder="0" applyAlignment="0" applyProtection="0"/>
    <xf numFmtId="0" fontId="65" fillId="23" borderId="0" applyNumberFormat="0" applyBorder="0" applyAlignment="0" applyProtection="0"/>
    <xf numFmtId="0" fontId="65" fillId="24" borderId="0" applyNumberFormat="0" applyBorder="0" applyAlignment="0" applyProtection="0"/>
    <xf numFmtId="0" fontId="5" fillId="25" borderId="0" applyNumberFormat="0" applyBorder="0" applyAlignment="0" applyProtection="0"/>
    <xf numFmtId="0" fontId="5" fillId="26" borderId="0" applyNumberFormat="0" applyBorder="0" applyAlignment="0" applyProtection="0"/>
    <xf numFmtId="0" fontId="65" fillId="27" borderId="0" applyNumberFormat="0" applyBorder="0" applyAlignment="0" applyProtection="0"/>
    <xf numFmtId="0" fontId="65" fillId="28" borderId="0" applyNumberFormat="0" applyBorder="0" applyAlignment="0" applyProtection="0"/>
    <xf numFmtId="0" fontId="5" fillId="29" borderId="0" applyNumberFormat="0" applyBorder="0" applyAlignment="0" applyProtection="0"/>
    <xf numFmtId="0" fontId="5" fillId="30" borderId="0" applyNumberFormat="0" applyBorder="0" applyAlignment="0" applyProtection="0"/>
    <xf numFmtId="0" fontId="65" fillId="31" borderId="0" applyNumberFormat="0" applyBorder="0" applyAlignment="0" applyProtection="0"/>
    <xf numFmtId="0" fontId="65" fillId="32" borderId="0" applyNumberFormat="0" applyBorder="0" applyAlignment="0" applyProtection="0"/>
    <xf numFmtId="0" fontId="5" fillId="33" borderId="0" applyNumberFormat="0" applyBorder="0" applyAlignment="0" applyProtection="0"/>
    <xf numFmtId="0" fontId="5" fillId="34" borderId="0" applyNumberFormat="0" applyBorder="0" applyAlignment="0" applyProtection="0"/>
    <xf numFmtId="0" fontId="65" fillId="35" borderId="0" applyNumberFormat="0" applyBorder="0" applyAlignment="0" applyProtection="0"/>
    <xf numFmtId="0" fontId="65" fillId="36" borderId="0" applyNumberFormat="0" applyBorder="0" applyAlignment="0" applyProtection="0"/>
    <xf numFmtId="0" fontId="5" fillId="37" borderId="0" applyNumberFormat="0" applyBorder="0" applyAlignment="0" applyProtection="0"/>
    <xf numFmtId="0" fontId="5" fillId="38" borderId="0" applyNumberFormat="0" applyBorder="0" applyAlignment="0" applyProtection="0"/>
    <xf numFmtId="0" fontId="65" fillId="39" borderId="0" applyNumberFormat="0" applyBorder="0" applyAlignment="0" applyProtection="0"/>
    <xf numFmtId="0" fontId="5" fillId="0" borderId="0"/>
    <xf numFmtId="0" fontId="66" fillId="0" borderId="0" applyNumberFormat="0" applyFill="0" applyBorder="0" applyAlignment="0" applyProtection="0"/>
    <xf numFmtId="0" fontId="5" fillId="15" borderId="35" applyNumberFormat="0" applyFont="0" applyAlignment="0" applyProtection="0"/>
    <xf numFmtId="0" fontId="4" fillId="0" borderId="0"/>
  </cellStyleXfs>
  <cellXfs count="404">
    <xf numFmtId="0" fontId="0" fillId="0" borderId="0" xfId="0"/>
    <xf numFmtId="164" fontId="6" fillId="0" borderId="0" xfId="0" applyNumberFormat="1" applyFont="1" applyAlignment="1" applyProtection="1">
      <alignment horizontal="left"/>
    </xf>
    <xf numFmtId="165" fontId="6" fillId="0" borderId="0" xfId="0" applyNumberFormat="1" applyFont="1" applyAlignment="1" applyProtection="1">
      <alignment horizontal="left"/>
    </xf>
    <xf numFmtId="0" fontId="6" fillId="0" borderId="0" xfId="0" applyFont="1"/>
    <xf numFmtId="0" fontId="6" fillId="0" borderId="0" xfId="0" applyFont="1" applyProtection="1">
      <protection locked="0"/>
    </xf>
    <xf numFmtId="164" fontId="6" fillId="0" borderId="0" xfId="0" applyNumberFormat="1" applyFont="1" applyAlignment="1" applyProtection="1">
      <alignment horizontal="center"/>
    </xf>
    <xf numFmtId="165" fontId="6" fillId="0" borderId="0" xfId="0" applyNumberFormat="1" applyFont="1" applyAlignment="1" applyProtection="1">
      <alignment horizontal="center"/>
    </xf>
    <xf numFmtId="165" fontId="6" fillId="0" borderId="0" xfId="0" applyNumberFormat="1" applyFont="1" applyProtection="1"/>
    <xf numFmtId="165" fontId="7" fillId="0" borderId="0" xfId="0" applyNumberFormat="1" applyFont="1" applyProtection="1">
      <protection locked="0"/>
    </xf>
    <xf numFmtId="164" fontId="7" fillId="0" borderId="0" xfId="0" applyNumberFormat="1" applyFont="1" applyProtection="1">
      <protection locked="0"/>
    </xf>
    <xf numFmtId="4" fontId="7" fillId="0" borderId="0" xfId="0" applyNumberFormat="1" applyFont="1" applyProtection="1">
      <protection locked="0"/>
    </xf>
    <xf numFmtId="0" fontId="6" fillId="0" borderId="1" xfId="0" applyFont="1" applyBorder="1"/>
    <xf numFmtId="0" fontId="0" fillId="0" borderId="2" xfId="0" applyBorder="1"/>
    <xf numFmtId="40" fontId="6" fillId="0" borderId="0" xfId="0" applyNumberFormat="1" applyFont="1"/>
    <xf numFmtId="40" fontId="6" fillId="0" borderId="0" xfId="0" applyNumberFormat="1" applyFont="1" applyAlignment="1" applyProtection="1">
      <alignment horizontal="left"/>
    </xf>
    <xf numFmtId="40" fontId="6" fillId="0" borderId="0" xfId="0" quotePrefix="1" applyNumberFormat="1" applyFont="1" applyAlignment="1" applyProtection="1">
      <alignment horizontal="center"/>
    </xf>
    <xf numFmtId="40" fontId="6" fillId="0" borderId="0" xfId="0" applyNumberFormat="1" applyFont="1" applyAlignment="1" applyProtection="1">
      <alignment horizontal="center"/>
    </xf>
    <xf numFmtId="40" fontId="7" fillId="0" borderId="0" xfId="0" applyNumberFormat="1" applyFont="1" applyAlignment="1" applyProtection="1">
      <alignment horizontal="left"/>
      <protection locked="0"/>
    </xf>
    <xf numFmtId="40" fontId="7" fillId="0" borderId="0" xfId="0" applyNumberFormat="1" applyFont="1" applyProtection="1">
      <protection locked="0"/>
    </xf>
    <xf numFmtId="40" fontId="6" fillId="0" borderId="0" xfId="0" applyNumberFormat="1" applyFont="1" applyProtection="1"/>
    <xf numFmtId="40" fontId="0" fillId="0" borderId="0" xfId="0" applyNumberFormat="1"/>
    <xf numFmtId="0" fontId="0" fillId="0" borderId="0" xfId="0" applyProtection="1">
      <protection locked="0"/>
    </xf>
    <xf numFmtId="40" fontId="8" fillId="0" borderId="0" xfId="0" applyNumberFormat="1" applyFont="1" applyProtection="1"/>
    <xf numFmtId="0" fontId="6" fillId="0" borderId="0" xfId="0" applyFont="1" applyAlignment="1">
      <alignment horizontal="center"/>
    </xf>
    <xf numFmtId="40" fontId="6" fillId="2" borderId="0" xfId="0" applyNumberFormat="1" applyFont="1" applyFill="1" applyAlignment="1" applyProtection="1">
      <alignment horizontal="left"/>
    </xf>
    <xf numFmtId="40" fontId="10" fillId="0" borderId="0" xfId="0" applyNumberFormat="1" applyFont="1" applyAlignment="1" applyProtection="1">
      <alignment horizontal="center"/>
    </xf>
    <xf numFmtId="40" fontId="10" fillId="0" borderId="0" xfId="0" applyNumberFormat="1" applyFont="1" applyAlignment="1" applyProtection="1">
      <alignment horizontal="left"/>
    </xf>
    <xf numFmtId="0" fontId="11" fillId="0" borderId="0" xfId="0" applyFont="1"/>
    <xf numFmtId="0" fontId="12" fillId="0" borderId="0" xfId="0" applyFont="1"/>
    <xf numFmtId="164" fontId="10" fillId="0" borderId="0" xfId="0" applyNumberFormat="1" applyFont="1" applyAlignment="1" applyProtection="1">
      <alignment horizontal="left"/>
    </xf>
    <xf numFmtId="164" fontId="11" fillId="0" borderId="0" xfId="0" applyNumberFormat="1" applyFont="1" applyAlignment="1" applyProtection="1">
      <alignment horizontal="left"/>
    </xf>
    <xf numFmtId="165" fontId="13" fillId="0" borderId="0" xfId="0" applyNumberFormat="1" applyFont="1" applyProtection="1">
      <protection locked="0"/>
    </xf>
    <xf numFmtId="0" fontId="0" fillId="0" borderId="0" xfId="0" applyAlignment="1">
      <alignment horizontal="center"/>
    </xf>
    <xf numFmtId="0" fontId="14" fillId="0" borderId="0" xfId="0" applyFont="1"/>
    <xf numFmtId="0" fontId="10" fillId="0" borderId="0" xfId="0" applyFont="1"/>
    <xf numFmtId="165" fontId="16" fillId="0" borderId="0" xfId="0" applyNumberFormat="1" applyFont="1" applyProtection="1">
      <protection locked="0"/>
    </xf>
    <xf numFmtId="165" fontId="6" fillId="0" borderId="0" xfId="0" applyNumberFormat="1" applyFont="1" applyBorder="1" applyAlignment="1" applyProtection="1">
      <alignment horizontal="left"/>
    </xf>
    <xf numFmtId="165" fontId="6" fillId="0" borderId="0" xfId="0" applyNumberFormat="1" applyFont="1" applyBorder="1" applyAlignment="1" applyProtection="1">
      <alignment horizontal="center"/>
    </xf>
    <xf numFmtId="164" fontId="10" fillId="0" borderId="3" xfId="0" applyNumberFormat="1" applyFont="1" applyBorder="1" applyAlignment="1" applyProtection="1">
      <alignment horizontal="left"/>
    </xf>
    <xf numFmtId="165" fontId="6" fillId="0" borderId="3" xfId="0" applyNumberFormat="1" applyFont="1" applyBorder="1" applyAlignment="1" applyProtection="1">
      <alignment horizontal="left"/>
    </xf>
    <xf numFmtId="165" fontId="6" fillId="0" borderId="3" xfId="0" applyNumberFormat="1" applyFont="1" applyBorder="1" applyAlignment="1" applyProtection="1">
      <alignment horizontal="center"/>
    </xf>
    <xf numFmtId="40" fontId="6" fillId="0" borderId="3" xfId="0" applyNumberFormat="1" applyFont="1" applyBorder="1" applyProtection="1"/>
    <xf numFmtId="40" fontId="0" fillId="0" borderId="3" xfId="0" applyNumberFormat="1" applyBorder="1"/>
    <xf numFmtId="0" fontId="14" fillId="0" borderId="3" xfId="0" applyFont="1" applyBorder="1"/>
    <xf numFmtId="0" fontId="6" fillId="0" borderId="3" xfId="0" applyFont="1" applyBorder="1" applyAlignment="1">
      <alignment horizontal="center"/>
    </xf>
    <xf numFmtId="40" fontId="6" fillId="2" borderId="3" xfId="0" applyNumberFormat="1" applyFont="1" applyFill="1" applyBorder="1" applyAlignment="1" applyProtection="1">
      <alignment horizontal="left"/>
    </xf>
    <xf numFmtId="0" fontId="10" fillId="0" borderId="3" xfId="0" applyFont="1" applyBorder="1"/>
    <xf numFmtId="40" fontId="6" fillId="0" borderId="3" xfId="0" applyNumberFormat="1" applyFont="1" applyBorder="1"/>
    <xf numFmtId="165" fontId="6" fillId="0" borderId="4" xfId="0" applyNumberFormat="1" applyFont="1" applyBorder="1" applyAlignment="1" applyProtection="1">
      <alignment horizontal="left"/>
    </xf>
    <xf numFmtId="40" fontId="6" fillId="2" borderId="4" xfId="0" applyNumberFormat="1" applyFont="1" applyFill="1" applyBorder="1" applyAlignment="1" applyProtection="1">
      <alignment horizontal="left"/>
    </xf>
    <xf numFmtId="164" fontId="10" fillId="0" borderId="4" xfId="0" applyNumberFormat="1" applyFont="1" applyBorder="1" applyAlignment="1" applyProtection="1">
      <alignment horizontal="left"/>
    </xf>
    <xf numFmtId="165" fontId="6" fillId="0" borderId="4" xfId="0" applyNumberFormat="1" applyFont="1" applyBorder="1" applyAlignment="1" applyProtection="1">
      <alignment horizontal="center"/>
    </xf>
    <xf numFmtId="0" fontId="0" fillId="0" borderId="0" xfId="0" applyBorder="1"/>
    <xf numFmtId="40" fontId="0" fillId="0" borderId="0" xfId="0" applyNumberFormat="1" applyBorder="1"/>
    <xf numFmtId="0" fontId="14" fillId="0" borderId="0" xfId="0" applyFont="1" applyBorder="1"/>
    <xf numFmtId="0" fontId="10" fillId="0" borderId="0" xfId="0" applyFont="1" applyBorder="1"/>
    <xf numFmtId="40" fontId="6" fillId="0" borderId="0" xfId="0" applyNumberFormat="1" applyFont="1" applyBorder="1"/>
    <xf numFmtId="49" fontId="6" fillId="0" borderId="0" xfId="0" applyNumberFormat="1" applyFont="1" applyBorder="1" applyAlignment="1">
      <alignment horizontal="center"/>
    </xf>
    <xf numFmtId="0" fontId="6" fillId="0" borderId="0" xfId="0" applyFont="1" applyBorder="1"/>
    <xf numFmtId="0" fontId="6" fillId="0" borderId="5" xfId="0" applyFont="1" applyBorder="1"/>
    <xf numFmtId="49" fontId="6" fillId="0" borderId="5" xfId="0" applyNumberFormat="1" applyFont="1" applyBorder="1" applyAlignment="1">
      <alignment horizontal="center"/>
    </xf>
    <xf numFmtId="0" fontId="6" fillId="0" borderId="6" xfId="0" applyFont="1" applyBorder="1"/>
    <xf numFmtId="165" fontId="6" fillId="0" borderId="6" xfId="0" applyNumberFormat="1" applyFont="1" applyBorder="1" applyAlignment="1" applyProtection="1">
      <alignment horizontal="left"/>
    </xf>
    <xf numFmtId="40" fontId="7" fillId="0" borderId="6" xfId="0" applyNumberFormat="1" applyFont="1" applyBorder="1" applyProtection="1">
      <protection locked="0"/>
    </xf>
    <xf numFmtId="40" fontId="7" fillId="0" borderId="0" xfId="0" applyNumberFormat="1" applyFont="1" applyBorder="1" applyProtection="1">
      <protection locked="0"/>
    </xf>
    <xf numFmtId="40" fontId="8" fillId="0" borderId="3" xfId="0" applyNumberFormat="1" applyFont="1" applyBorder="1" applyProtection="1">
      <protection locked="0"/>
    </xf>
    <xf numFmtId="40" fontId="8" fillId="0" borderId="0" xfId="0" applyNumberFormat="1" applyFont="1" applyBorder="1" applyProtection="1">
      <protection locked="0"/>
    </xf>
    <xf numFmtId="40" fontId="6" fillId="0" borderId="0" xfId="0" applyNumberFormat="1" applyFont="1" applyBorder="1" applyProtection="1"/>
    <xf numFmtId="165" fontId="7" fillId="0" borderId="0" xfId="0" applyNumberFormat="1" applyFont="1" applyBorder="1" applyProtection="1">
      <protection locked="0"/>
    </xf>
    <xf numFmtId="164" fontId="6" fillId="0" borderId="0" xfId="0" applyNumberFormat="1" applyFont="1" applyBorder="1" applyAlignment="1" applyProtection="1">
      <alignment horizontal="left"/>
    </xf>
    <xf numFmtId="164" fontId="10" fillId="0" borderId="0" xfId="0" applyNumberFormat="1" applyFont="1" applyBorder="1" applyAlignment="1" applyProtection="1">
      <alignment horizontal="left"/>
    </xf>
    <xf numFmtId="165" fontId="6" fillId="0" borderId="6" xfId="0" applyNumberFormat="1" applyFont="1" applyBorder="1" applyAlignment="1" applyProtection="1">
      <alignment horizontal="center"/>
    </xf>
    <xf numFmtId="40" fontId="6" fillId="0" borderId="6" xfId="0" applyNumberFormat="1" applyFont="1" applyBorder="1"/>
    <xf numFmtId="0" fontId="6" fillId="0" borderId="6" xfId="0" applyFont="1" applyBorder="1" applyAlignment="1">
      <alignment horizontal="center"/>
    </xf>
    <xf numFmtId="164" fontId="10" fillId="0" borderId="6" xfId="0" applyNumberFormat="1" applyFont="1" applyBorder="1" applyAlignment="1" applyProtection="1">
      <alignment horizontal="left"/>
    </xf>
    <xf numFmtId="0" fontId="6" fillId="0" borderId="0" xfId="0" applyFont="1" applyBorder="1" applyAlignment="1">
      <alignment horizontal="center"/>
    </xf>
    <xf numFmtId="165" fontId="10" fillId="0" borderId="0" xfId="0" applyNumberFormat="1" applyFont="1" applyAlignment="1" applyProtection="1">
      <alignment horizontal="left"/>
    </xf>
    <xf numFmtId="40" fontId="6" fillId="0" borderId="0" xfId="0" applyNumberFormat="1" applyFont="1" applyBorder="1" applyAlignment="1">
      <alignment horizontal="center"/>
    </xf>
    <xf numFmtId="49" fontId="10" fillId="0" borderId="0" xfId="0" applyNumberFormat="1" applyFont="1" applyAlignment="1" applyProtection="1">
      <alignment horizontal="left"/>
    </xf>
    <xf numFmtId="49" fontId="6" fillId="0" borderId="0" xfId="0" applyNumberFormat="1" applyFont="1" applyAlignment="1" applyProtection="1">
      <alignment horizontal="left"/>
    </xf>
    <xf numFmtId="0" fontId="0" fillId="0" borderId="0" xfId="0" applyBorder="1" applyAlignment="1">
      <alignment horizontal="center"/>
    </xf>
    <xf numFmtId="0" fontId="6" fillId="0" borderId="4" xfId="0" applyFont="1" applyBorder="1" applyAlignment="1">
      <alignment horizontal="center"/>
    </xf>
    <xf numFmtId="0" fontId="0" fillId="0" borderId="3" xfId="0" applyBorder="1" applyAlignment="1">
      <alignment horizontal="center"/>
    </xf>
    <xf numFmtId="40" fontId="6" fillId="0" borderId="4" xfId="0" applyNumberFormat="1" applyFont="1" applyBorder="1"/>
    <xf numFmtId="40" fontId="0" fillId="0" borderId="0" xfId="0" applyNumberFormat="1" applyBorder="1" applyAlignment="1">
      <alignment horizontal="center"/>
    </xf>
    <xf numFmtId="40" fontId="8" fillId="0" borderId="0" xfId="0" applyNumberFormat="1" applyFont="1" applyAlignment="1" applyProtection="1">
      <alignment horizontal="center" vertical="justify"/>
      <protection locked="0"/>
    </xf>
    <xf numFmtId="40" fontId="0" fillId="0" borderId="4" xfId="0" applyNumberFormat="1" applyBorder="1"/>
    <xf numFmtId="40" fontId="8" fillId="0" borderId="0" xfId="0" applyNumberFormat="1" applyFont="1" applyBorder="1" applyAlignment="1" applyProtection="1">
      <alignment horizontal="right"/>
    </xf>
    <xf numFmtId="40" fontId="8" fillId="0" borderId="0" xfId="0" applyNumberFormat="1" applyFont="1" applyAlignment="1" applyProtection="1">
      <alignment horizontal="right"/>
    </xf>
    <xf numFmtId="40" fontId="8" fillId="0" borderId="3" xfId="0" applyNumberFormat="1" applyFont="1" applyBorder="1" applyAlignment="1" applyProtection="1">
      <alignment horizontal="right"/>
    </xf>
    <xf numFmtId="0" fontId="10" fillId="0" borderId="0" xfId="0" applyFont="1" applyBorder="1" applyProtection="1"/>
    <xf numFmtId="0" fontId="14" fillId="0" borderId="3" xfId="0" applyFont="1" applyBorder="1" applyProtection="1"/>
    <xf numFmtId="0" fontId="14" fillId="0" borderId="0" xfId="0" applyFont="1" applyBorder="1" applyProtection="1"/>
    <xf numFmtId="0" fontId="15" fillId="0" borderId="0" xfId="0" applyFont="1" applyBorder="1" applyProtection="1"/>
    <xf numFmtId="0" fontId="17" fillId="0" borderId="0" xfId="0" applyFont="1" applyBorder="1" applyProtection="1"/>
    <xf numFmtId="40" fontId="7" fillId="0" borderId="0" xfId="0" applyNumberFormat="1" applyFont="1" applyProtection="1"/>
    <xf numFmtId="40" fontId="18" fillId="0" borderId="0" xfId="0" applyNumberFormat="1" applyFont="1" applyProtection="1"/>
    <xf numFmtId="40" fontId="18" fillId="0" borderId="0" xfId="0" applyNumberFormat="1" applyFont="1" applyBorder="1" applyProtection="1"/>
    <xf numFmtId="40" fontId="18" fillId="0" borderId="3" xfId="0" applyNumberFormat="1" applyFont="1" applyBorder="1" applyProtection="1"/>
    <xf numFmtId="40" fontId="8" fillId="0" borderId="0" xfId="0" applyNumberFormat="1" applyFont="1" applyBorder="1" applyProtection="1"/>
    <xf numFmtId="40" fontId="18" fillId="0" borderId="0" xfId="0" applyNumberFormat="1" applyFont="1" applyBorder="1" applyAlignment="1" applyProtection="1">
      <alignment horizontal="center"/>
    </xf>
    <xf numFmtId="40" fontId="8" fillId="0" borderId="0" xfId="0" applyNumberFormat="1" applyFont="1" applyBorder="1" applyAlignment="1" applyProtection="1">
      <alignment horizontal="center"/>
    </xf>
    <xf numFmtId="0" fontId="8" fillId="0" borderId="0" xfId="0" applyNumberFormat="1" applyFont="1" applyAlignment="1" applyProtection="1">
      <alignment horizontal="center" vertical="justify"/>
    </xf>
    <xf numFmtId="40" fontId="8" fillId="0" borderId="0" xfId="0" applyNumberFormat="1" applyFont="1" applyAlignment="1" applyProtection="1">
      <alignment horizontal="center" vertical="justify"/>
    </xf>
    <xf numFmtId="40" fontId="8" fillId="0" borderId="0" xfId="0" applyNumberFormat="1" applyFont="1" applyAlignment="1" applyProtection="1">
      <alignment horizontal="right" vertical="justify"/>
    </xf>
    <xf numFmtId="0" fontId="6" fillId="0" borderId="0" xfId="0" applyFont="1" applyBorder="1" applyAlignment="1" applyProtection="1">
      <alignment horizontal="center"/>
    </xf>
    <xf numFmtId="40" fontId="8" fillId="0" borderId="0" xfId="0" applyNumberFormat="1" applyFont="1" applyAlignment="1" applyProtection="1">
      <alignment horizontal="center"/>
    </xf>
    <xf numFmtId="0" fontId="6" fillId="0" borderId="3" xfId="0" applyFont="1" applyBorder="1" applyAlignment="1" applyProtection="1">
      <alignment horizontal="center"/>
    </xf>
    <xf numFmtId="40" fontId="8" fillId="0" borderId="3" xfId="0" applyNumberFormat="1" applyFont="1" applyBorder="1" applyAlignment="1" applyProtection="1">
      <alignment horizontal="right" vertical="justify"/>
    </xf>
    <xf numFmtId="40" fontId="8" fillId="0" borderId="0" xfId="0" applyNumberFormat="1" applyFont="1" applyBorder="1" applyAlignment="1" applyProtection="1">
      <alignment horizontal="right" vertical="justify"/>
    </xf>
    <xf numFmtId="49" fontId="6" fillId="0" borderId="0" xfId="0" applyNumberFormat="1" applyFont="1" applyAlignment="1" applyProtection="1">
      <alignment horizontal="left"/>
      <protection locked="0"/>
    </xf>
    <xf numFmtId="0" fontId="0" fillId="0" borderId="0" xfId="0" applyBorder="1" applyAlignment="1" applyProtection="1">
      <alignment horizontal="center"/>
    </xf>
    <xf numFmtId="40" fontId="7" fillId="0" borderId="0" xfId="0" applyNumberFormat="1" applyFont="1" applyAlignment="1" applyProtection="1"/>
    <xf numFmtId="40" fontId="18" fillId="0" borderId="0" xfId="0" applyNumberFormat="1" applyFont="1" applyAlignment="1" applyProtection="1">
      <alignment horizontal="center" vertical="justify"/>
    </xf>
    <xf numFmtId="40" fontId="18" fillId="0" borderId="0" xfId="0" applyNumberFormat="1" applyFont="1" applyAlignment="1" applyProtection="1">
      <alignment horizontal="center"/>
    </xf>
    <xf numFmtId="0" fontId="6" fillId="0" borderId="0" xfId="0" applyNumberFormat="1" applyFont="1" applyAlignment="1" applyProtection="1">
      <alignment horizontal="center"/>
    </xf>
    <xf numFmtId="40" fontId="0" fillId="0" borderId="0" xfId="0" applyNumberFormat="1" applyBorder="1" applyProtection="1"/>
    <xf numFmtId="40" fontId="14" fillId="0" borderId="0" xfId="0" applyNumberFormat="1" applyFont="1" applyBorder="1" applyAlignment="1" applyProtection="1">
      <alignment horizontal="center"/>
    </xf>
    <xf numFmtId="0" fontId="6" fillId="0" borderId="0" xfId="0" applyFont="1" applyAlignment="1" applyProtection="1">
      <alignment horizontal="center"/>
    </xf>
    <xf numFmtId="0" fontId="6" fillId="0" borderId="0" xfId="0" quotePrefix="1" applyNumberFormat="1" applyFont="1" applyAlignment="1" applyProtection="1">
      <alignment horizontal="left"/>
    </xf>
    <xf numFmtId="14" fontId="6" fillId="0" borderId="0" xfId="0" quotePrefix="1" applyNumberFormat="1" applyFont="1" applyAlignment="1" applyProtection="1">
      <alignment horizontal="left"/>
    </xf>
    <xf numFmtId="40" fontId="8" fillId="0" borderId="0" xfId="0" quotePrefix="1" applyNumberFormat="1" applyFont="1" applyBorder="1" applyAlignment="1" applyProtection="1">
      <alignment horizontal="left" vertical="justify"/>
    </xf>
    <xf numFmtId="40" fontId="18" fillId="0" borderId="0" xfId="0" applyNumberFormat="1" applyFont="1" applyAlignment="1" applyProtection="1">
      <alignment horizontal="centerContinuous" vertical="justify"/>
    </xf>
    <xf numFmtId="40" fontId="18" fillId="0" borderId="0" xfId="0" applyNumberFormat="1" applyFont="1" applyAlignment="1" applyProtection="1">
      <alignment horizontal="centerContinuous"/>
    </xf>
    <xf numFmtId="40" fontId="6" fillId="0" borderId="0" xfId="0" applyNumberFormat="1" applyFont="1" applyProtection="1">
      <protection locked="0"/>
    </xf>
    <xf numFmtId="40" fontId="6" fillId="0" borderId="0" xfId="0" quotePrefix="1" applyNumberFormat="1" applyFont="1" applyAlignment="1" applyProtection="1">
      <alignment horizontal="center"/>
      <protection locked="0"/>
    </xf>
    <xf numFmtId="0" fontId="0" fillId="0" borderId="0" xfId="0" applyProtection="1"/>
    <xf numFmtId="0" fontId="6" fillId="0" borderId="0" xfId="0" applyFont="1" applyProtection="1"/>
    <xf numFmtId="0" fontId="10" fillId="0" borderId="0" xfId="0" applyFont="1" applyProtection="1"/>
    <xf numFmtId="40" fontId="19" fillId="0" borderId="0" xfId="0" applyNumberFormat="1" applyFont="1"/>
    <xf numFmtId="40" fontId="8" fillId="0" borderId="4" xfId="0" applyNumberFormat="1" applyFont="1" applyBorder="1" applyProtection="1"/>
    <xf numFmtId="40" fontId="20" fillId="0" borderId="4" xfId="0" applyNumberFormat="1" applyFont="1" applyBorder="1"/>
    <xf numFmtId="0" fontId="0" fillId="0" borderId="0" xfId="0" applyAlignment="1"/>
    <xf numFmtId="0" fontId="6" fillId="0" borderId="0" xfId="0" applyNumberFormat="1" applyFont="1" applyAlignment="1" applyProtection="1">
      <alignment horizontal="left"/>
    </xf>
    <xf numFmtId="0" fontId="6" fillId="0" borderId="0" xfId="0" applyNumberFormat="1" applyFont="1" applyProtection="1">
      <protection locked="0"/>
    </xf>
    <xf numFmtId="40" fontId="18" fillId="0" borderId="0" xfId="0" applyNumberFormat="1" applyFont="1" applyAlignment="1" applyProtection="1"/>
    <xf numFmtId="40" fontId="8" fillId="0" borderId="0" xfId="0" applyNumberFormat="1" applyFont="1" applyAlignment="1" applyProtection="1"/>
    <xf numFmtId="40" fontId="0" fillId="0" borderId="0" xfId="0" applyNumberFormat="1" applyAlignment="1"/>
    <xf numFmtId="2" fontId="0" fillId="0" borderId="0" xfId="0" applyNumberFormat="1" applyAlignment="1"/>
    <xf numFmtId="40" fontId="8" fillId="0" borderId="3" xfId="0" applyNumberFormat="1" applyFont="1" applyBorder="1" applyProtection="1"/>
    <xf numFmtId="40" fontId="8" fillId="0" borderId="0" xfId="0" quotePrefix="1" applyNumberFormat="1" applyFont="1" applyAlignment="1" applyProtection="1">
      <alignment horizontal="left" vertical="justify"/>
    </xf>
    <xf numFmtId="40" fontId="0" fillId="0" borderId="7" xfId="0" applyNumberFormat="1" applyBorder="1"/>
    <xf numFmtId="14" fontId="6" fillId="0" borderId="0" xfId="0" applyNumberFormat="1" applyFont="1" applyAlignment="1" applyProtection="1">
      <alignment horizontal="left"/>
    </xf>
    <xf numFmtId="40" fontId="8" fillId="0" borderId="0" xfId="0" applyNumberFormat="1" applyFont="1" applyAlignment="1" applyProtection="1">
      <alignment horizontal="left" vertical="justify"/>
    </xf>
    <xf numFmtId="40" fontId="0" fillId="0" borderId="0" xfId="0" applyNumberFormat="1" applyBorder="1" applyProtection="1">
      <protection locked="0"/>
    </xf>
    <xf numFmtId="0" fontId="7" fillId="0" borderId="0" xfId="0" applyNumberFormat="1" applyFont="1" applyProtection="1">
      <protection locked="0"/>
    </xf>
    <xf numFmtId="40" fontId="8" fillId="0" borderId="0" xfId="0" applyNumberFormat="1" applyFont="1" applyBorder="1" applyAlignment="1" applyProtection="1">
      <alignment horizontal="left"/>
    </xf>
    <xf numFmtId="40" fontId="18" fillId="0" borderId="0" xfId="0" quotePrefix="1" applyNumberFormat="1" applyFont="1" applyAlignment="1" applyProtection="1">
      <alignment horizontal="left"/>
    </xf>
    <xf numFmtId="0" fontId="8" fillId="0" borderId="3" xfId="0" applyNumberFormat="1" applyFont="1" applyBorder="1" applyAlignment="1" applyProtection="1">
      <alignment horizontal="center" vertical="justify"/>
    </xf>
    <xf numFmtId="40" fontId="8" fillId="0" borderId="3" xfId="0" applyNumberFormat="1" applyFont="1" applyBorder="1" applyAlignment="1" applyProtection="1">
      <alignment horizontal="center" vertical="justify"/>
    </xf>
    <xf numFmtId="40" fontId="21" fillId="0" borderId="0" xfId="0" quotePrefix="1" applyNumberFormat="1" applyFont="1" applyBorder="1" applyAlignment="1" applyProtection="1">
      <alignment horizontal="center" vertical="justify"/>
    </xf>
    <xf numFmtId="40" fontId="21" fillId="0" borderId="0" xfId="0" applyNumberFormat="1" applyFont="1" applyBorder="1" applyAlignment="1" applyProtection="1">
      <alignment horizontal="right" vertical="justify"/>
    </xf>
    <xf numFmtId="49" fontId="0" fillId="0" borderId="0" xfId="0" applyNumberFormat="1" applyAlignment="1">
      <alignment horizontal="center"/>
    </xf>
    <xf numFmtId="38" fontId="0" fillId="0" borderId="0" xfId="0" applyNumberFormat="1" applyAlignment="1">
      <alignment horizontal="center"/>
    </xf>
    <xf numFmtId="38" fontId="7" fillId="0" borderId="0" xfId="0" applyNumberFormat="1" applyFont="1" applyAlignment="1" applyProtection="1">
      <alignment horizontal="center"/>
      <protection locked="0"/>
    </xf>
    <xf numFmtId="49" fontId="7" fillId="0" borderId="0" xfId="0" applyNumberFormat="1" applyFont="1" applyAlignment="1" applyProtection="1">
      <alignment horizontal="center"/>
      <protection locked="0"/>
    </xf>
    <xf numFmtId="0" fontId="0" fillId="0" borderId="4" xfId="0" applyBorder="1" applyAlignment="1">
      <alignment horizontal="left"/>
    </xf>
    <xf numFmtId="0" fontId="0" fillId="0" borderId="3" xfId="0" applyBorder="1" applyAlignment="1">
      <alignment horizontal="left"/>
    </xf>
    <xf numFmtId="0" fontId="6" fillId="0" borderId="3" xfId="0" applyFont="1" applyBorder="1" applyAlignment="1" applyProtection="1">
      <alignment horizontal="left"/>
    </xf>
    <xf numFmtId="0" fontId="6" fillId="0" borderId="0" xfId="0" applyFont="1" applyAlignment="1">
      <alignment horizontal="left"/>
    </xf>
    <xf numFmtId="49" fontId="24" fillId="0" borderId="0" xfId="0" applyNumberFormat="1" applyFont="1" applyAlignment="1" applyProtection="1">
      <alignment horizontal="left"/>
    </xf>
    <xf numFmtId="40" fontId="21" fillId="0" borderId="0" xfId="0" applyNumberFormat="1" applyFont="1" applyProtection="1"/>
    <xf numFmtId="0" fontId="25" fillId="0" borderId="0" xfId="0" applyFont="1" applyBorder="1" applyAlignment="1" applyProtection="1">
      <alignment horizontal="center"/>
    </xf>
    <xf numFmtId="14" fontId="25" fillId="0" borderId="0" xfId="0" quotePrefix="1" applyNumberFormat="1" applyFont="1" applyAlignment="1" applyProtection="1">
      <alignment horizontal="left"/>
    </xf>
    <xf numFmtId="40" fontId="21" fillId="0" borderId="0" xfId="0" applyNumberFormat="1" applyFont="1" applyAlignment="1" applyProtection="1">
      <alignment horizontal="right" vertical="justify"/>
    </xf>
    <xf numFmtId="40" fontId="21" fillId="0" borderId="0" xfId="0" quotePrefix="1" applyNumberFormat="1" applyFont="1" applyAlignment="1" applyProtection="1">
      <alignment horizontal="left" vertical="justify"/>
    </xf>
    <xf numFmtId="40" fontId="21" fillId="0" borderId="0" xfId="0" applyNumberFormat="1" applyFont="1" applyAlignment="1" applyProtection="1">
      <alignment horizontal="center" vertical="justify"/>
      <protection locked="0"/>
    </xf>
    <xf numFmtId="40" fontId="21" fillId="0" borderId="0" xfId="0" applyNumberFormat="1" applyFont="1" applyAlignment="1" applyProtection="1">
      <alignment horizontal="right"/>
    </xf>
    <xf numFmtId="165" fontId="26" fillId="0" borderId="0" xfId="0" applyNumberFormat="1" applyFont="1" applyProtection="1">
      <protection locked="0"/>
    </xf>
    <xf numFmtId="0" fontId="25" fillId="0" borderId="0" xfId="0" applyFont="1"/>
    <xf numFmtId="164" fontId="27" fillId="0" borderId="0" xfId="0" applyNumberFormat="1" applyFont="1" applyAlignment="1" applyProtection="1">
      <alignment horizontal="left"/>
    </xf>
    <xf numFmtId="40" fontId="8" fillId="0" borderId="0" xfId="0" applyNumberFormat="1" applyFont="1" applyAlignment="1" applyProtection="1">
      <alignment horizontal="left"/>
    </xf>
    <xf numFmtId="40" fontId="23" fillId="0" borderId="3" xfId="0" applyNumberFormat="1" applyFont="1" applyBorder="1" applyProtection="1"/>
    <xf numFmtId="40" fontId="23" fillId="0" borderId="0" xfId="0" applyNumberFormat="1" applyFont="1" applyProtection="1"/>
    <xf numFmtId="40" fontId="8" fillId="0" borderId="0" xfId="0" applyNumberFormat="1" applyFont="1" applyProtection="1">
      <protection locked="0"/>
    </xf>
    <xf numFmtId="0" fontId="0" fillId="0" borderId="0" xfId="0" applyBorder="1" applyProtection="1">
      <protection locked="0"/>
    </xf>
    <xf numFmtId="40" fontId="6" fillId="0" borderId="0" xfId="0" quotePrefix="1" applyNumberFormat="1" applyFont="1" applyBorder="1" applyAlignment="1">
      <alignment horizontal="center"/>
    </xf>
    <xf numFmtId="40" fontId="18" fillId="0" borderId="0" xfId="0" quotePrefix="1" applyNumberFormat="1" applyFont="1" applyProtection="1"/>
    <xf numFmtId="38" fontId="0" fillId="0" borderId="0" xfId="0" applyNumberFormat="1"/>
    <xf numFmtId="38" fontId="14" fillId="0" borderId="0" xfId="0" applyNumberFormat="1" applyFont="1"/>
    <xf numFmtId="0" fontId="14" fillId="0" borderId="0" xfId="0" applyFont="1" applyAlignment="1">
      <alignment horizontal="center"/>
    </xf>
    <xf numFmtId="167" fontId="0" fillId="0" borderId="0" xfId="0" applyNumberFormat="1"/>
    <xf numFmtId="0" fontId="0" fillId="0" borderId="0" xfId="0" applyAlignment="1">
      <alignment horizontal="right"/>
    </xf>
    <xf numFmtId="167" fontId="14" fillId="0" borderId="0" xfId="0" applyNumberFormat="1" applyFont="1"/>
    <xf numFmtId="0" fontId="15" fillId="0" borderId="0" xfId="0" applyFont="1"/>
    <xf numFmtId="49" fontId="30" fillId="0" borderId="0" xfId="0" applyNumberFormat="1" applyFont="1"/>
    <xf numFmtId="0" fontId="31" fillId="0" borderId="0" xfId="0" applyFont="1"/>
    <xf numFmtId="0" fontId="31" fillId="0" borderId="0" xfId="0" quotePrefix="1" applyFont="1" applyAlignment="1">
      <alignment horizontal="left"/>
    </xf>
    <xf numFmtId="0" fontId="15" fillId="0" borderId="0" xfId="0" quotePrefix="1" applyFont="1" applyBorder="1" applyAlignment="1" applyProtection="1">
      <alignment horizontal="left"/>
    </xf>
    <xf numFmtId="40" fontId="8" fillId="0" borderId="0" xfId="0" quotePrefix="1" applyNumberFormat="1" applyFont="1" applyAlignment="1" applyProtection="1">
      <alignment horizontal="left"/>
    </xf>
    <xf numFmtId="0" fontId="6" fillId="0" borderId="4" xfId="0" applyFont="1" applyBorder="1" applyAlignment="1" applyProtection="1">
      <alignment horizontal="center"/>
    </xf>
    <xf numFmtId="0" fontId="6" fillId="0" borderId="4" xfId="0" applyFont="1" applyBorder="1" applyAlignment="1" applyProtection="1">
      <alignment horizontal="left"/>
    </xf>
    <xf numFmtId="40" fontId="8" fillId="0" borderId="4" xfId="0" applyNumberFormat="1" applyFont="1" applyBorder="1" applyAlignment="1" applyProtection="1">
      <alignment horizontal="right"/>
    </xf>
    <xf numFmtId="40" fontId="6" fillId="2" borderId="0" xfId="0" applyNumberFormat="1" applyFont="1" applyFill="1" applyBorder="1" applyAlignment="1" applyProtection="1">
      <alignment horizontal="left"/>
    </xf>
    <xf numFmtId="0" fontId="6" fillId="0" borderId="3" xfId="0" applyNumberFormat="1" applyFont="1" applyBorder="1" applyAlignment="1" applyProtection="1">
      <alignment horizontal="center"/>
    </xf>
    <xf numFmtId="0" fontId="6" fillId="0" borderId="3" xfId="0" applyNumberFormat="1" applyFont="1" applyBorder="1" applyAlignment="1" applyProtection="1">
      <alignment horizontal="left"/>
    </xf>
    <xf numFmtId="0" fontId="6" fillId="0" borderId="4" xfId="0" applyNumberFormat="1" applyFont="1" applyBorder="1" applyAlignment="1" applyProtection="1">
      <alignment horizontal="left"/>
    </xf>
    <xf numFmtId="164" fontId="25" fillId="0" borderId="0" xfId="0" applyNumberFormat="1" applyFont="1" applyAlignment="1" applyProtection="1">
      <alignment horizontal="left"/>
    </xf>
    <xf numFmtId="40" fontId="25" fillId="0" borderId="0" xfId="0" applyNumberFormat="1" applyFont="1" applyProtection="1"/>
    <xf numFmtId="40" fontId="8" fillId="0" borderId="5" xfId="0" applyNumberFormat="1" applyFont="1" applyBorder="1" applyProtection="1"/>
    <xf numFmtId="0" fontId="6" fillId="0" borderId="5" xfId="0" applyFont="1" applyBorder="1" applyAlignment="1">
      <alignment horizontal="center"/>
    </xf>
    <xf numFmtId="0" fontId="6" fillId="0" borderId="5" xfId="0" applyNumberFormat="1" applyFont="1" applyBorder="1" applyAlignment="1" applyProtection="1">
      <alignment horizontal="center"/>
    </xf>
    <xf numFmtId="165" fontId="6" fillId="0" borderId="5" xfId="0" applyNumberFormat="1" applyFont="1" applyBorder="1" applyAlignment="1" applyProtection="1">
      <alignment horizontal="left"/>
    </xf>
    <xf numFmtId="40" fontId="7" fillId="0" borderId="5" xfId="0" applyNumberFormat="1" applyFont="1" applyBorder="1" applyProtection="1">
      <protection locked="0"/>
    </xf>
    <xf numFmtId="40" fontId="0" fillId="0" borderId="5" xfId="0" applyNumberFormat="1" applyBorder="1"/>
    <xf numFmtId="40" fontId="6" fillId="2" borderId="5" xfId="0" applyNumberFormat="1" applyFont="1" applyFill="1" applyBorder="1" applyAlignment="1" applyProtection="1">
      <alignment horizontal="left"/>
    </xf>
    <xf numFmtId="1" fontId="0" fillId="0" borderId="0" xfId="0" applyNumberFormat="1" applyAlignment="1" applyProtection="1">
      <alignment horizontal="right"/>
      <protection locked="0"/>
    </xf>
    <xf numFmtId="1" fontId="0" fillId="3" borderId="0" xfId="0" applyNumberFormat="1" applyFill="1" applyAlignment="1" applyProtection="1">
      <alignment horizontal="right"/>
      <protection locked="0"/>
    </xf>
    <xf numFmtId="49" fontId="14" fillId="3" borderId="0" xfId="0" applyNumberFormat="1" applyFont="1" applyFill="1" applyAlignment="1" applyProtection="1">
      <alignment horizontal="center"/>
      <protection locked="0"/>
    </xf>
    <xf numFmtId="0" fontId="14" fillId="0" borderId="0" xfId="0" applyFont="1" applyAlignment="1" applyProtection="1">
      <alignment horizontal="center"/>
    </xf>
    <xf numFmtId="1" fontId="0" fillId="0" borderId="0" xfId="0" applyNumberFormat="1" applyAlignment="1" applyProtection="1">
      <alignment horizontal="right"/>
    </xf>
    <xf numFmtId="49" fontId="15" fillId="0" borderId="0" xfId="0" applyNumberFormat="1" applyFont="1" applyAlignment="1" applyProtection="1">
      <alignment horizontal="left"/>
      <protection locked="0"/>
    </xf>
    <xf numFmtId="0" fontId="0" fillId="0" borderId="8" xfId="0" applyBorder="1"/>
    <xf numFmtId="0" fontId="0" fillId="0" borderId="9" xfId="0" applyBorder="1"/>
    <xf numFmtId="0" fontId="0" fillId="0" borderId="10" xfId="0" applyBorder="1"/>
    <xf numFmtId="0" fontId="14" fillId="0" borderId="11" xfId="0" applyFont="1" applyBorder="1" applyAlignment="1">
      <alignment horizontal="center"/>
    </xf>
    <xf numFmtId="0" fontId="14" fillId="0" borderId="0" xfId="0" applyFont="1" applyBorder="1" applyAlignment="1">
      <alignment horizontal="center"/>
    </xf>
    <xf numFmtId="1" fontId="0" fillId="0" borderId="11" xfId="0" applyNumberFormat="1" applyBorder="1" applyAlignment="1" applyProtection="1">
      <alignment horizontal="right"/>
      <protection locked="0"/>
    </xf>
    <xf numFmtId="1" fontId="0" fillId="0" borderId="0" xfId="0" applyNumberFormat="1" applyBorder="1" applyAlignment="1" applyProtection="1">
      <alignment horizontal="right"/>
      <protection locked="0"/>
    </xf>
    <xf numFmtId="1" fontId="0" fillId="0" borderId="12" xfId="0" applyNumberFormat="1" applyBorder="1" applyAlignment="1" applyProtection="1">
      <alignment horizontal="right"/>
      <protection locked="0"/>
    </xf>
    <xf numFmtId="1" fontId="0" fillId="0" borderId="13" xfId="0" applyNumberFormat="1" applyBorder="1" applyAlignment="1" applyProtection="1">
      <alignment horizontal="right"/>
      <protection locked="0"/>
    </xf>
    <xf numFmtId="49" fontId="15" fillId="0" borderId="0" xfId="0" applyNumberFormat="1" applyFont="1" applyAlignment="1" applyProtection="1">
      <alignment horizontal="left"/>
    </xf>
    <xf numFmtId="1" fontId="0" fillId="0" borderId="0" xfId="0" applyNumberFormat="1" applyBorder="1" applyAlignment="1" applyProtection="1">
      <alignment horizontal="right"/>
    </xf>
    <xf numFmtId="40" fontId="6" fillId="4" borderId="0" xfId="0" applyNumberFormat="1" applyFont="1" applyFill="1" applyAlignment="1" applyProtection="1">
      <alignment horizontal="center"/>
    </xf>
    <xf numFmtId="40" fontId="25" fillId="0" borderId="0" xfId="0" applyNumberFormat="1" applyFont="1" applyAlignment="1" applyProtection="1">
      <alignment horizontal="center"/>
    </xf>
    <xf numFmtId="40" fontId="25" fillId="0" borderId="0" xfId="0" applyNumberFormat="1" applyFont="1"/>
    <xf numFmtId="0" fontId="10" fillId="0" borderId="0" xfId="0" applyFont="1" applyBorder="1" applyAlignment="1">
      <alignment horizontal="center"/>
    </xf>
    <xf numFmtId="0" fontId="14" fillId="0" borderId="1" xfId="0" applyFont="1" applyBorder="1" applyAlignment="1">
      <alignment horizontal="center"/>
    </xf>
    <xf numFmtId="40" fontId="14" fillId="0" borderId="14" xfId="0" applyNumberFormat="1" applyFont="1" applyBorder="1"/>
    <xf numFmtId="4" fontId="14" fillId="0" borderId="0" xfId="0" applyNumberFormat="1" applyFont="1" applyBorder="1"/>
    <xf numFmtId="4" fontId="14" fillId="0" borderId="5" xfId="0" applyNumberFormat="1" applyFont="1" applyBorder="1"/>
    <xf numFmtId="49" fontId="9" fillId="0" borderId="0" xfId="0" applyNumberFormat="1" applyFont="1"/>
    <xf numFmtId="0" fontId="14" fillId="0" borderId="0" xfId="0" applyFont="1" applyAlignment="1">
      <alignment horizontal="right"/>
    </xf>
    <xf numFmtId="4" fontId="14" fillId="0" borderId="14" xfId="0" applyNumberFormat="1" applyFont="1" applyBorder="1"/>
    <xf numFmtId="40" fontId="14" fillId="0" borderId="14" xfId="0" applyNumberFormat="1" applyFont="1" applyBorder="1" applyAlignment="1">
      <alignment horizontal="right"/>
    </xf>
    <xf numFmtId="49" fontId="14" fillId="0" borderId="0" xfId="0" applyNumberFormat="1" applyFont="1" applyAlignment="1">
      <alignment horizontal="center"/>
    </xf>
    <xf numFmtId="40" fontId="10" fillId="0" borderId="0" xfId="0" applyNumberFormat="1" applyFont="1" applyBorder="1" applyAlignment="1">
      <alignment horizontal="center"/>
    </xf>
    <xf numFmtId="0" fontId="36" fillId="0" borderId="0" xfId="0" applyFont="1" applyAlignment="1">
      <alignment horizontal="center"/>
    </xf>
    <xf numFmtId="164" fontId="28" fillId="0" borderId="0" xfId="0" applyNumberFormat="1" applyFont="1" applyAlignment="1" applyProtection="1">
      <alignment horizontal="left"/>
    </xf>
    <xf numFmtId="4" fontId="9" fillId="0" borderId="0" xfId="0" applyNumberFormat="1" applyFont="1" applyProtection="1">
      <protection locked="0"/>
    </xf>
    <xf numFmtId="0" fontId="14" fillId="0" borderId="15" xfId="0" applyFont="1" applyBorder="1" applyAlignment="1">
      <alignment horizontal="center"/>
    </xf>
    <xf numFmtId="0" fontId="14" fillId="0" borderId="16" xfId="0" applyFont="1" applyBorder="1" applyAlignment="1">
      <alignment horizontal="center"/>
    </xf>
    <xf numFmtId="0" fontId="0" fillId="3" borderId="0" xfId="0" applyFill="1"/>
    <xf numFmtId="40" fontId="0" fillId="5" borderId="0" xfId="0" applyNumberFormat="1" applyFill="1" applyProtection="1">
      <protection locked="0"/>
    </xf>
    <xf numFmtId="40" fontId="14" fillId="0" borderId="8" xfId="0" applyNumberFormat="1" applyFont="1" applyBorder="1"/>
    <xf numFmtId="2" fontId="9" fillId="0" borderId="0" xfId="0" applyNumberFormat="1" applyFont="1" applyProtection="1">
      <protection locked="0"/>
    </xf>
    <xf numFmtId="2" fontId="7" fillId="0" borderId="0" xfId="0" applyNumberFormat="1" applyFont="1" applyProtection="1">
      <protection locked="0"/>
    </xf>
    <xf numFmtId="166" fontId="14" fillId="0" borderId="0" xfId="0" applyNumberFormat="1" applyFont="1"/>
    <xf numFmtId="0" fontId="14" fillId="0" borderId="5" xfId="0" applyFont="1" applyBorder="1" applyAlignment="1">
      <alignment horizontal="center"/>
    </xf>
    <xf numFmtId="0" fontId="14" fillId="0" borderId="17" xfId="0" applyFont="1" applyBorder="1" applyAlignment="1">
      <alignment horizontal="center"/>
    </xf>
    <xf numFmtId="0" fontId="0" fillId="0" borderId="13" xfId="0" applyBorder="1"/>
    <xf numFmtId="40" fontId="0" fillId="0" borderId="13" xfId="0" applyNumberFormat="1" applyBorder="1"/>
    <xf numFmtId="0" fontId="0" fillId="3" borderId="0" xfId="0" applyFill="1" applyBorder="1"/>
    <xf numFmtId="40" fontId="0" fillId="0" borderId="16" xfId="0" applyNumberFormat="1" applyBorder="1"/>
    <xf numFmtId="0" fontId="0" fillId="3" borderId="15" xfId="0" applyFill="1" applyBorder="1"/>
    <xf numFmtId="0" fontId="0" fillId="3" borderId="16" xfId="0" applyFill="1" applyBorder="1"/>
    <xf numFmtId="0" fontId="0" fillId="0" borderId="16" xfId="0" applyBorder="1"/>
    <xf numFmtId="0" fontId="0" fillId="0" borderId="18" xfId="0" applyBorder="1"/>
    <xf numFmtId="0" fontId="36" fillId="0" borderId="0" xfId="0" applyFont="1"/>
    <xf numFmtId="49" fontId="31" fillId="0" borderId="0" xfId="0" applyNumberFormat="1" applyFont="1" applyAlignment="1">
      <alignment horizontal="left"/>
    </xf>
    <xf numFmtId="0" fontId="9" fillId="0" borderId="0" xfId="0" applyFont="1"/>
    <xf numFmtId="0" fontId="39" fillId="0" borderId="0" xfId="0" applyFont="1"/>
    <xf numFmtId="0" fontId="30" fillId="0" borderId="0" xfId="0" applyFont="1"/>
    <xf numFmtId="0" fontId="14" fillId="0" borderId="0" xfId="0" applyFont="1" applyAlignment="1">
      <alignment horizontal="center"/>
    </xf>
    <xf numFmtId="0" fontId="14" fillId="0" borderId="0" xfId="0" applyFont="1" applyBorder="1" applyAlignment="1">
      <alignment horizontal="center"/>
    </xf>
    <xf numFmtId="0" fontId="10" fillId="0" borderId="0" xfId="0" applyFont="1" applyAlignment="1">
      <alignment horizontal="center"/>
    </xf>
    <xf numFmtId="0" fontId="12" fillId="0" borderId="0" xfId="0" applyFont="1" applyAlignment="1">
      <alignment horizontal="center"/>
    </xf>
    <xf numFmtId="0" fontId="14" fillId="0" borderId="5" xfId="0" applyFont="1" applyBorder="1" applyAlignment="1">
      <alignment horizontal="center"/>
    </xf>
    <xf numFmtId="0" fontId="14" fillId="0" borderId="0" xfId="0" applyFont="1" applyBorder="1" applyAlignment="1">
      <alignment horizontal="center"/>
    </xf>
    <xf numFmtId="0" fontId="0" fillId="0" borderId="15" xfId="0" applyFill="1" applyBorder="1"/>
    <xf numFmtId="0" fontId="14" fillId="0" borderId="21" xfId="0" applyFont="1" applyBorder="1" applyAlignment="1">
      <alignment horizontal="center"/>
    </xf>
    <xf numFmtId="0" fontId="14" fillId="0" borderId="23" xfId="0" applyFont="1" applyBorder="1" applyAlignment="1">
      <alignment horizontal="center"/>
    </xf>
    <xf numFmtId="0" fontId="14" fillId="6" borderId="0" xfId="0" applyFont="1" applyFill="1" applyAlignment="1">
      <alignment horizontal="center"/>
    </xf>
    <xf numFmtId="0" fontId="14" fillId="6" borderId="5" xfId="0" applyFont="1" applyFill="1" applyBorder="1" applyAlignment="1">
      <alignment horizontal="center"/>
    </xf>
    <xf numFmtId="40" fontId="14" fillId="6" borderId="0" xfId="0" applyNumberFormat="1" applyFont="1" applyFill="1"/>
    <xf numFmtId="0" fontId="0" fillId="6" borderId="0" xfId="0" applyFill="1"/>
    <xf numFmtId="0" fontId="41" fillId="0" borderId="0" xfId="0" applyFont="1" applyAlignment="1">
      <alignment horizontal="center"/>
    </xf>
    <xf numFmtId="0" fontId="14" fillId="0" borderId="0" xfId="0" applyFont="1" applyAlignment="1">
      <alignment horizontal="center"/>
    </xf>
    <xf numFmtId="40" fontId="41" fillId="6" borderId="0" xfId="0" applyNumberFormat="1" applyFont="1" applyFill="1"/>
    <xf numFmtId="0" fontId="0" fillId="0" borderId="0" xfId="0" applyFill="1"/>
    <xf numFmtId="0" fontId="45" fillId="0" borderId="0" xfId="0" applyFont="1"/>
    <xf numFmtId="0" fontId="46" fillId="0" borderId="0" xfId="0" applyFont="1"/>
    <xf numFmtId="40" fontId="15" fillId="0" borderId="0" xfId="0" applyNumberFormat="1" applyFont="1"/>
    <xf numFmtId="10" fontId="0" fillId="7" borderId="0" xfId="0" applyNumberFormat="1" applyFill="1"/>
    <xf numFmtId="0" fontId="14" fillId="7" borderId="0" xfId="0" applyFont="1" applyFill="1" applyAlignment="1">
      <alignment horizontal="center"/>
    </xf>
    <xf numFmtId="0" fontId="14" fillId="7" borderId="24" xfId="0" applyFont="1" applyFill="1" applyBorder="1" applyAlignment="1">
      <alignment horizontal="center" vertical="center" wrapText="1"/>
    </xf>
    <xf numFmtId="0" fontId="14" fillId="7" borderId="25" xfId="0" applyFont="1" applyFill="1" applyBorder="1" applyAlignment="1">
      <alignment horizontal="center" vertical="center" wrapText="1"/>
    </xf>
    <xf numFmtId="0" fontId="0" fillId="7" borderId="0" xfId="0" applyFill="1"/>
    <xf numFmtId="0" fontId="32" fillId="8" borderId="0" xfId="0" applyFont="1" applyFill="1" applyProtection="1">
      <protection locked="0"/>
    </xf>
    <xf numFmtId="0" fontId="14" fillId="8" borderId="0" xfId="0" applyFont="1" applyFill="1" applyProtection="1">
      <protection locked="0"/>
    </xf>
    <xf numFmtId="4" fontId="0" fillId="0" borderId="0" xfId="0" applyNumberFormat="1" applyProtection="1">
      <protection locked="0"/>
    </xf>
    <xf numFmtId="49" fontId="0" fillId="0" borderId="0" xfId="0" applyNumberFormat="1" applyProtection="1"/>
    <xf numFmtId="0" fontId="32" fillId="8" borderId="0" xfId="0" applyFont="1" applyFill="1" applyProtection="1"/>
    <xf numFmtId="0" fontId="0" fillId="8" borderId="0" xfId="0" applyFill="1" applyProtection="1"/>
    <xf numFmtId="0" fontId="14" fillId="8" borderId="0" xfId="0" applyFont="1" applyFill="1" applyProtection="1"/>
    <xf numFmtId="0" fontId="14" fillId="8" borderId="26" xfId="0" applyFont="1" applyFill="1" applyBorder="1" applyAlignment="1" applyProtection="1">
      <alignment horizontal="center"/>
    </xf>
    <xf numFmtId="0" fontId="14" fillId="8" borderId="26" xfId="0" applyFont="1" applyFill="1" applyBorder="1" applyAlignment="1" applyProtection="1">
      <alignment horizontal="center" wrapText="1"/>
    </xf>
    <xf numFmtId="0" fontId="14" fillId="8" borderId="26" xfId="0" applyFont="1" applyFill="1" applyBorder="1" applyProtection="1"/>
    <xf numFmtId="2" fontId="14" fillId="8" borderId="27" xfId="0" applyNumberFormat="1" applyFont="1" applyFill="1" applyBorder="1" applyProtection="1"/>
    <xf numFmtId="40" fontId="0" fillId="8" borderId="27" xfId="0" applyNumberFormat="1" applyFill="1" applyBorder="1" applyAlignment="1" applyProtection="1">
      <alignment horizontal="center"/>
    </xf>
    <xf numFmtId="0" fontId="0" fillId="8" borderId="0" xfId="0" applyFill="1" applyAlignment="1" applyProtection="1">
      <alignment horizontal="center"/>
    </xf>
    <xf numFmtId="0" fontId="0" fillId="7" borderId="0" xfId="0" applyFill="1" applyAlignment="1" applyProtection="1">
      <alignment horizontal="center"/>
    </xf>
    <xf numFmtId="0" fontId="0" fillId="7" borderId="0" xfId="0" applyFill="1" applyProtection="1"/>
    <xf numFmtId="43" fontId="0" fillId="8" borderId="0" xfId="0" applyNumberFormat="1" applyFill="1" applyProtection="1"/>
    <xf numFmtId="2" fontId="0" fillId="8" borderId="27" xfId="0" applyNumberFormat="1" applyFill="1" applyBorder="1" applyProtection="1"/>
    <xf numFmtId="43" fontId="0" fillId="8" borderId="0" xfId="0" applyNumberFormat="1" applyFill="1" applyProtection="1">
      <protection locked="0"/>
    </xf>
    <xf numFmtId="0" fontId="0" fillId="8" borderId="0" xfId="0" applyFill="1" applyProtection="1">
      <protection locked="0"/>
    </xf>
    <xf numFmtId="0" fontId="5" fillId="0" borderId="23" xfId="40" applyBorder="1" applyAlignment="1">
      <alignment horizontal="left"/>
    </xf>
    <xf numFmtId="0" fontId="5" fillId="0" borderId="37" xfId="40" applyBorder="1" applyAlignment="1">
      <alignment horizontal="left"/>
    </xf>
    <xf numFmtId="0" fontId="14" fillId="0" borderId="0" xfId="0" applyFont="1" applyProtection="1"/>
    <xf numFmtId="0" fontId="68" fillId="0" borderId="0" xfId="0" applyFont="1"/>
    <xf numFmtId="0" fontId="32" fillId="0" borderId="0" xfId="0" applyFont="1"/>
    <xf numFmtId="0" fontId="67" fillId="0" borderId="0" xfId="0" applyFont="1"/>
    <xf numFmtId="4" fontId="68" fillId="0" borderId="0" xfId="0" applyNumberFormat="1" applyFont="1" applyAlignment="1"/>
    <xf numFmtId="4" fontId="68" fillId="0" borderId="5" xfId="0" applyNumberFormat="1" applyFont="1" applyBorder="1" applyAlignment="1"/>
    <xf numFmtId="0" fontId="68" fillId="0" borderId="0" xfId="0" applyFont="1" applyAlignment="1">
      <alignment horizontal="center"/>
    </xf>
    <xf numFmtId="0" fontId="70" fillId="0" borderId="0" xfId="0" applyFont="1" applyAlignment="1">
      <alignment horizontal="right"/>
    </xf>
    <xf numFmtId="0" fontId="68" fillId="40" borderId="0" xfId="0" applyFont="1" applyFill="1" applyAlignment="1" applyProtection="1">
      <alignment horizontal="center"/>
      <protection locked="0"/>
    </xf>
    <xf numFmtId="40" fontId="68" fillId="0" borderId="3" xfId="0" applyNumberFormat="1" applyFont="1" applyBorder="1"/>
    <xf numFmtId="0" fontId="69" fillId="0" borderId="0" xfId="0" applyFont="1"/>
    <xf numFmtId="165" fontId="71" fillId="0" borderId="0" xfId="0" applyNumberFormat="1" applyFont="1" applyAlignment="1" applyProtection="1">
      <alignment horizontal="center"/>
    </xf>
    <xf numFmtId="165" fontId="71" fillId="0" borderId="0" xfId="0" applyNumberFormat="1" applyFont="1" applyAlignment="1" applyProtection="1">
      <alignment horizontal="left"/>
    </xf>
    <xf numFmtId="164" fontId="40" fillId="0" borderId="0" xfId="0" applyNumberFormat="1" applyFont="1" applyAlignment="1" applyProtection="1">
      <alignment horizontal="left"/>
    </xf>
    <xf numFmtId="4" fontId="0" fillId="40" borderId="0" xfId="0" applyNumberFormat="1" applyFill="1" applyAlignment="1" applyProtection="1">
      <protection locked="0"/>
    </xf>
    <xf numFmtId="0" fontId="0" fillId="40" borderId="0" xfId="0" applyFill="1" applyProtection="1">
      <protection locked="0"/>
    </xf>
    <xf numFmtId="0" fontId="0" fillId="7" borderId="0" xfId="0" applyFill="1" applyAlignment="1">
      <alignment horizontal="center"/>
    </xf>
    <xf numFmtId="40" fontId="7" fillId="7" borderId="0" xfId="0" applyNumberFormat="1" applyFont="1" applyFill="1" applyProtection="1"/>
    <xf numFmtId="49" fontId="40" fillId="0" borderId="0" xfId="0" applyNumberFormat="1" applyFont="1"/>
    <xf numFmtId="0" fontId="14" fillId="40" borderId="0" xfId="0" applyFont="1" applyFill="1"/>
    <xf numFmtId="0" fontId="0" fillId="40" borderId="0" xfId="0" applyFill="1"/>
    <xf numFmtId="0" fontId="41" fillId="0" borderId="0" xfId="0" applyFont="1"/>
    <xf numFmtId="0" fontId="0" fillId="41" borderId="0" xfId="0" applyFill="1" applyProtection="1">
      <protection locked="0"/>
    </xf>
    <xf numFmtId="0" fontId="0" fillId="0" borderId="0" xfId="0" applyAlignment="1">
      <alignment horizontal="left"/>
    </xf>
    <xf numFmtId="0" fontId="0" fillId="0" borderId="37" xfId="0" applyBorder="1" applyAlignment="1">
      <alignment horizontal="left"/>
    </xf>
    <xf numFmtId="0" fontId="0" fillId="42" borderId="37" xfId="0" applyFill="1" applyBorder="1" applyAlignment="1">
      <alignment horizontal="left"/>
    </xf>
    <xf numFmtId="0" fontId="4" fillId="0" borderId="0" xfId="43"/>
    <xf numFmtId="0" fontId="4" fillId="40" borderId="0" xfId="43" applyFill="1" applyProtection="1">
      <protection locked="0"/>
    </xf>
    <xf numFmtId="40" fontId="40" fillId="0" borderId="0" xfId="0" quotePrefix="1" applyNumberFormat="1" applyFont="1" applyAlignment="1" applyProtection="1">
      <alignment horizontal="left"/>
    </xf>
    <xf numFmtId="4" fontId="0" fillId="0" borderId="38" xfId="0" applyNumberFormat="1" applyBorder="1" applyProtection="1">
      <protection locked="0"/>
    </xf>
    <xf numFmtId="4" fontId="0" fillId="0" borderId="38" xfId="0" applyNumberFormat="1" applyBorder="1"/>
    <xf numFmtId="4" fontId="14" fillId="0" borderId="39" xfId="0" applyNumberFormat="1" applyFont="1" applyBorder="1" applyProtection="1"/>
    <xf numFmtId="0" fontId="0" fillId="0" borderId="0" xfId="0" applyAlignment="1">
      <alignment wrapText="1"/>
    </xf>
    <xf numFmtId="0" fontId="3" fillId="0" borderId="0" xfId="43" applyFont="1"/>
    <xf numFmtId="0" fontId="62" fillId="0" borderId="0" xfId="43" applyFont="1" applyAlignment="1">
      <alignment horizontal="center" vertical="center"/>
    </xf>
    <xf numFmtId="0" fontId="62" fillId="0" borderId="0" xfId="43" applyFont="1" applyAlignment="1">
      <alignment horizontal="left" vertical="center"/>
    </xf>
    <xf numFmtId="0" fontId="72" fillId="0" borderId="0" xfId="43" applyFont="1"/>
    <xf numFmtId="0" fontId="64" fillId="43" borderId="0" xfId="43" applyFont="1" applyFill="1"/>
    <xf numFmtId="0" fontId="64" fillId="43" borderId="0" xfId="43" applyFont="1" applyFill="1" applyAlignment="1">
      <alignment horizontal="center"/>
    </xf>
    <xf numFmtId="0" fontId="4" fillId="43" borderId="0" xfId="43" applyFill="1"/>
    <xf numFmtId="0" fontId="2" fillId="43" borderId="0" xfId="43" applyFont="1" applyFill="1"/>
    <xf numFmtId="0" fontId="2" fillId="43" borderId="0" xfId="43" applyFont="1" applyFill="1" applyAlignment="1">
      <alignment wrapText="1"/>
    </xf>
    <xf numFmtId="40" fontId="4" fillId="44" borderId="0" xfId="43" applyNumberFormat="1" applyFill="1" applyProtection="1"/>
    <xf numFmtId="0" fontId="1" fillId="43" borderId="0" xfId="43" applyFont="1" applyFill="1"/>
    <xf numFmtId="49" fontId="6" fillId="43" borderId="0" xfId="0" applyNumberFormat="1" applyFont="1" applyFill="1" applyBorder="1" applyProtection="1">
      <protection locked="0"/>
    </xf>
    <xf numFmtId="0" fontId="76" fillId="0" borderId="40" xfId="0" applyFont="1" applyBorder="1" applyAlignment="1" applyProtection="1">
      <alignment vertical="top" wrapText="1" readingOrder="1"/>
      <protection locked="0"/>
    </xf>
    <xf numFmtId="0" fontId="77" fillId="45" borderId="41" xfId="0" applyFont="1" applyFill="1" applyBorder="1" applyAlignment="1" applyProtection="1">
      <alignment horizontal="right" vertical="top" wrapText="1" readingOrder="1"/>
      <protection locked="0"/>
    </xf>
    <xf numFmtId="0" fontId="77" fillId="45" borderId="41" xfId="0" applyFont="1" applyFill="1" applyBorder="1" applyAlignment="1" applyProtection="1">
      <alignment vertical="top" wrapText="1" readingOrder="1"/>
      <protection locked="0"/>
    </xf>
    <xf numFmtId="0" fontId="78" fillId="0" borderId="41" xfId="0" applyFont="1" applyBorder="1" applyAlignment="1" applyProtection="1">
      <alignment vertical="top" wrapText="1" readingOrder="1"/>
      <protection locked="0"/>
    </xf>
    <xf numFmtId="0" fontId="77" fillId="45" borderId="0" xfId="0" applyFont="1" applyFill="1" applyBorder="1" applyAlignment="1" applyProtection="1">
      <alignment vertical="top" wrapText="1" readingOrder="1"/>
      <protection locked="0"/>
    </xf>
    <xf numFmtId="0" fontId="78" fillId="0" borderId="0" xfId="0" applyFont="1" applyBorder="1" applyAlignment="1" applyProtection="1">
      <alignment vertical="top" wrapText="1" readingOrder="1"/>
      <protection locked="0"/>
    </xf>
    <xf numFmtId="0" fontId="76" fillId="0" borderId="0" xfId="0" applyFont="1" applyBorder="1" applyAlignment="1" applyProtection="1">
      <alignment vertical="top" wrapText="1" readingOrder="1"/>
      <protection locked="0"/>
    </xf>
    <xf numFmtId="0" fontId="0" fillId="0" borderId="40" xfId="0" applyBorder="1"/>
    <xf numFmtId="0" fontId="75" fillId="43" borderId="0" xfId="0" applyFont="1" applyFill="1"/>
    <xf numFmtId="0" fontId="35" fillId="43" borderId="0" xfId="0" applyFont="1" applyFill="1"/>
    <xf numFmtId="0" fontId="0" fillId="43" borderId="0" xfId="0" applyFill="1"/>
    <xf numFmtId="0" fontId="75" fillId="46" borderId="0" xfId="0" applyFont="1" applyFill="1"/>
    <xf numFmtId="0" fontId="35" fillId="46" borderId="0" xfId="0" applyFont="1" applyFill="1"/>
    <xf numFmtId="0" fontId="0" fillId="46" borderId="0" xfId="0" applyFill="1"/>
    <xf numFmtId="0" fontId="75" fillId="47" borderId="0" xfId="0" applyFont="1" applyFill="1"/>
    <xf numFmtId="0" fontId="35" fillId="47" borderId="0" xfId="0" applyFont="1" applyFill="1"/>
    <xf numFmtId="0" fontId="0" fillId="47" borderId="0" xfId="0" applyFill="1"/>
    <xf numFmtId="0" fontId="79" fillId="0" borderId="0" xfId="43" applyFont="1" applyAlignment="1">
      <alignment horizontal="center" vertical="center"/>
    </xf>
    <xf numFmtId="49" fontId="14" fillId="0" borderId="0" xfId="0" applyNumberFormat="1" applyFont="1" applyAlignment="1">
      <alignment horizontal="center"/>
    </xf>
    <xf numFmtId="0" fontId="68" fillId="0" borderId="0" xfId="0" applyFont="1" applyAlignment="1">
      <alignment horizontal="center"/>
    </xf>
    <xf numFmtId="49" fontId="68" fillId="7" borderId="0" xfId="0" applyNumberFormat="1" applyFont="1" applyFill="1" applyAlignment="1"/>
    <xf numFmtId="0" fontId="68" fillId="7" borderId="0" xfId="0" applyFont="1" applyFill="1" applyAlignment="1"/>
    <xf numFmtId="0" fontId="31" fillId="0" borderId="0" xfId="0" applyFont="1" applyAlignment="1">
      <alignment horizontal="center"/>
    </xf>
    <xf numFmtId="0" fontId="31" fillId="0" borderId="0" xfId="0" applyFont="1" applyAlignment="1"/>
    <xf numFmtId="0" fontId="14" fillId="0" borderId="0" xfId="0" applyFont="1" applyAlignment="1">
      <alignment horizontal="center"/>
    </xf>
    <xf numFmtId="0" fontId="14" fillId="0" borderId="22" xfId="0" applyFont="1" applyBorder="1" applyAlignment="1">
      <alignment horizontal="center"/>
    </xf>
    <xf numFmtId="0" fontId="14" fillId="0" borderId="14" xfId="0" applyFont="1" applyBorder="1" applyAlignment="1">
      <alignment horizontal="center"/>
    </xf>
    <xf numFmtId="0" fontId="0" fillId="0" borderId="0" xfId="0" applyAlignment="1"/>
    <xf numFmtId="0" fontId="45" fillId="0" borderId="0" xfId="0" applyFont="1" applyAlignment="1">
      <alignment horizontal="left" vertical="top" wrapText="1"/>
    </xf>
    <xf numFmtId="4" fontId="41" fillId="0" borderId="0" xfId="0" applyNumberFormat="1" applyFont="1" applyBorder="1" applyAlignment="1" applyProtection="1">
      <alignment wrapText="1"/>
    </xf>
    <xf numFmtId="0" fontId="0" fillId="0" borderId="0" xfId="0" applyAlignment="1">
      <alignment wrapText="1"/>
    </xf>
    <xf numFmtId="0" fontId="29" fillId="0" borderId="0" xfId="0" applyFont="1" applyAlignment="1">
      <alignment horizontal="center"/>
    </xf>
    <xf numFmtId="49" fontId="15" fillId="0" borderId="0" xfId="0" applyNumberFormat="1" applyFont="1" applyAlignment="1" applyProtection="1">
      <alignment horizontal="left"/>
      <protection locked="0"/>
    </xf>
    <xf numFmtId="49" fontId="15" fillId="0" borderId="0" xfId="0" applyNumberFormat="1" applyFont="1" applyAlignment="1" applyProtection="1">
      <alignment horizontal="left"/>
    </xf>
    <xf numFmtId="49" fontId="15" fillId="0" borderId="0" xfId="0" applyNumberFormat="1" applyFont="1" applyBorder="1" applyAlignment="1" applyProtection="1">
      <alignment horizontal="left"/>
      <protection locked="0"/>
    </xf>
    <xf numFmtId="49" fontId="15" fillId="0" borderId="10" xfId="0" applyNumberFormat="1" applyFont="1" applyBorder="1" applyAlignment="1" applyProtection="1">
      <alignment horizontal="left"/>
      <protection locked="0"/>
    </xf>
    <xf numFmtId="0" fontId="32" fillId="0" borderId="20" xfId="0" applyFont="1" applyBorder="1" applyAlignment="1">
      <alignment horizontal="center"/>
    </xf>
    <xf numFmtId="0" fontId="32" fillId="0" borderId="8" xfId="0" applyFont="1" applyBorder="1" applyAlignment="1">
      <alignment horizontal="center"/>
    </xf>
    <xf numFmtId="0" fontId="14" fillId="0" borderId="0" xfId="0" applyFont="1" applyBorder="1" applyAlignment="1">
      <alignment horizontal="center"/>
    </xf>
    <xf numFmtId="0" fontId="14" fillId="0" borderId="10" xfId="0" applyFont="1" applyBorder="1" applyAlignment="1">
      <alignment horizontal="center"/>
    </xf>
    <xf numFmtId="49" fontId="35" fillId="0" borderId="0" xfId="0" applyNumberFormat="1" applyFont="1" applyBorder="1" applyAlignment="1"/>
    <xf numFmtId="0" fontId="35" fillId="0" borderId="0" xfId="0" applyFont="1" applyBorder="1" applyAlignment="1"/>
    <xf numFmtId="0" fontId="34" fillId="0" borderId="11" xfId="0" applyFont="1" applyBorder="1" applyAlignment="1">
      <alignment horizontal="center"/>
    </xf>
    <xf numFmtId="0" fontId="34" fillId="0" borderId="0" xfId="0" applyFont="1" applyBorder="1" applyAlignment="1">
      <alignment horizontal="center"/>
    </xf>
    <xf numFmtId="49" fontId="15" fillId="0" borderId="0" xfId="0" applyNumberFormat="1" applyFont="1" applyBorder="1" applyAlignment="1" applyProtection="1">
      <alignment horizontal="left"/>
    </xf>
    <xf numFmtId="49" fontId="15" fillId="0" borderId="10" xfId="0" applyNumberFormat="1" applyFont="1" applyBorder="1" applyAlignment="1" applyProtection="1">
      <alignment horizontal="left"/>
    </xf>
    <xf numFmtId="49" fontId="14" fillId="0" borderId="0" xfId="0" applyNumberFormat="1" applyFont="1" applyAlignment="1" applyProtection="1">
      <alignment horizontal="center"/>
    </xf>
    <xf numFmtId="49" fontId="15" fillId="0" borderId="13" xfId="0" applyNumberFormat="1" applyFont="1" applyBorder="1" applyAlignment="1" applyProtection="1">
      <alignment horizontal="left"/>
      <protection locked="0"/>
    </xf>
    <xf numFmtId="49" fontId="15" fillId="0" borderId="19" xfId="0" applyNumberFormat="1" applyFont="1" applyBorder="1" applyAlignment="1" applyProtection="1">
      <alignment horizontal="left"/>
      <protection locked="0"/>
    </xf>
    <xf numFmtId="0" fontId="33" fillId="0" borderId="0" xfId="0" applyFont="1" applyAlignment="1" applyProtection="1">
      <alignment horizontal="center"/>
    </xf>
  </cellXfs>
  <cellStyles count="44">
    <cellStyle name="20% - Accent1" xfId="17" builtinId="30" customBuiltin="1"/>
    <cellStyle name="20% - Accent2" xfId="21" builtinId="34" customBuiltin="1"/>
    <cellStyle name="20% - Accent3" xfId="25" builtinId="38" customBuiltin="1"/>
    <cellStyle name="20% - Accent4" xfId="29" builtinId="42" customBuiltin="1"/>
    <cellStyle name="20% - Accent5" xfId="33" builtinId="46" customBuiltin="1"/>
    <cellStyle name="20% - Accent6" xfId="37" builtinId="50" customBuiltin="1"/>
    <cellStyle name="40% - Accent1" xfId="18" builtinId="31" customBuiltin="1"/>
    <cellStyle name="40% - Accent2" xfId="22" builtinId="35" customBuiltin="1"/>
    <cellStyle name="40% - Accent3" xfId="26" builtinId="39" customBuiltin="1"/>
    <cellStyle name="40% - Accent4" xfId="30" builtinId="43" customBuiltin="1"/>
    <cellStyle name="40% - Accent5" xfId="34" builtinId="47" customBuiltin="1"/>
    <cellStyle name="40% - Accent6" xfId="38" builtinId="51" customBuiltin="1"/>
    <cellStyle name="60% - Accent1" xfId="19" builtinId="32" customBuiltin="1"/>
    <cellStyle name="60% - Accent2" xfId="23" builtinId="36" customBuiltin="1"/>
    <cellStyle name="60% - Accent3" xfId="27" builtinId="40" customBuiltin="1"/>
    <cellStyle name="60% - Accent4" xfId="31" builtinId="44" customBuiltin="1"/>
    <cellStyle name="60% - Accent5" xfId="35" builtinId="48" customBuiltin="1"/>
    <cellStyle name="60% - Accent6" xfId="39" builtinId="52" customBuiltin="1"/>
    <cellStyle name="Accent1" xfId="16" builtinId="29" customBuiltin="1"/>
    <cellStyle name="Accent2" xfId="20" builtinId="33" customBuiltin="1"/>
    <cellStyle name="Accent3" xfId="24" builtinId="37" customBuiltin="1"/>
    <cellStyle name="Accent4" xfId="28" builtinId="41" customBuiltin="1"/>
    <cellStyle name="Accent5" xfId="32" builtinId="45" customBuiltin="1"/>
    <cellStyle name="Accent6" xfId="36" builtinId="49" customBuiltin="1"/>
    <cellStyle name="Bad" xfId="6" builtinId="27" customBuiltin="1"/>
    <cellStyle name="Calculation" xfId="10" builtinId="22" customBuiltin="1"/>
    <cellStyle name="Check Cell" xfId="12" builtinId="23" customBuiltin="1"/>
    <cellStyle name="Explanatory Text" xfId="14" builtinId="53" customBuiltin="1"/>
    <cellStyle name="Good" xfId="5" builtinId="26" customBuiltin="1"/>
    <cellStyle name="Heading 1" xfId="1" builtinId="16" customBuiltin="1"/>
    <cellStyle name="Heading 2" xfId="2" builtinId="17" customBuiltin="1"/>
    <cellStyle name="Heading 3" xfId="3" builtinId="18" customBuiltin="1"/>
    <cellStyle name="Heading 4" xfId="4" builtinId="19" customBuiltin="1"/>
    <cellStyle name="Input" xfId="8" builtinId="20" customBuiltin="1"/>
    <cellStyle name="Linked Cell" xfId="11" builtinId="24" customBuiltin="1"/>
    <cellStyle name="Neutral" xfId="7" builtinId="28" customBuiltin="1"/>
    <cellStyle name="Normal" xfId="0" builtinId="0"/>
    <cellStyle name="Normal 2" xfId="40" xr:uid="{00000000-0005-0000-0000-000025000000}"/>
    <cellStyle name="Normal 3" xfId="43" xr:uid="{00000000-0005-0000-0000-000026000000}"/>
    <cellStyle name="Note 2" xfId="42" xr:uid="{00000000-0005-0000-0000-000027000000}"/>
    <cellStyle name="Output" xfId="9" builtinId="21" customBuiltin="1"/>
    <cellStyle name="Title 2" xfId="41" xr:uid="{00000000-0005-0000-0000-000029000000}"/>
    <cellStyle name="Total" xfId="15" builtinId="25" customBuiltin="1"/>
    <cellStyle name="Warning Text" xfId="13" builtinId="11" customBuiltin="1"/>
  </cellStyles>
  <dxfs count="18">
    <dxf>
      <font>
        <color rgb="FF9C0006"/>
      </font>
      <fill>
        <patternFill>
          <bgColor rgb="FFFFC7CE"/>
        </patternFill>
      </fill>
    </dxf>
    <dxf>
      <font>
        <color rgb="FF9C0006"/>
      </font>
      <fill>
        <patternFill>
          <bgColor rgb="FFFFC7CE"/>
        </patternFill>
      </fill>
    </dxf>
    <dxf>
      <fill>
        <patternFill>
          <bgColor rgb="FFFF0000"/>
        </patternFill>
      </fill>
    </dxf>
    <dxf>
      <font>
        <color rgb="FF9C0006"/>
      </font>
      <fill>
        <patternFill>
          <bgColor rgb="FFFFC7CE"/>
        </patternFill>
      </fill>
    </dxf>
    <dxf>
      <fill>
        <patternFill>
          <bgColor rgb="FFFF0000"/>
        </patternFill>
      </fill>
    </dxf>
    <dxf>
      <fill>
        <patternFill>
          <bgColor rgb="FFFF0000"/>
        </patternFill>
      </fill>
    </dxf>
    <dxf>
      <fill>
        <patternFill>
          <bgColor rgb="FFFF0000"/>
        </patternFill>
      </fill>
    </dxf>
    <dxf>
      <fill>
        <patternFill>
          <bgColor rgb="FFFF0000"/>
        </patternFill>
      </fill>
    </dxf>
    <dxf>
      <fill>
        <patternFill>
          <bgColor rgb="FFFF0000"/>
        </patternFill>
      </fill>
    </dxf>
    <dxf>
      <fill>
        <patternFill>
          <bgColor rgb="FF00B050"/>
        </patternFill>
      </fill>
    </dxf>
    <dxf>
      <fill>
        <patternFill>
          <bgColor rgb="FFFF0000"/>
        </patternFill>
      </fill>
    </dxf>
    <dxf>
      <fill>
        <patternFill>
          <bgColor rgb="FF00B050"/>
        </patternFill>
      </fill>
    </dxf>
    <dxf>
      <fill>
        <patternFill>
          <bgColor rgb="FFFF0000"/>
        </patternFill>
      </fill>
    </dxf>
    <dxf>
      <fill>
        <patternFill>
          <bgColor rgb="FF00B050"/>
        </patternFill>
      </fill>
    </dxf>
    <dxf>
      <font>
        <b/>
        <i val="0"/>
        <condense val="0"/>
        <extend val="0"/>
        <color indexed="10"/>
      </font>
    </dxf>
    <dxf>
      <font>
        <color rgb="FF9C0006"/>
      </font>
      <fill>
        <patternFill>
          <bgColor rgb="FFFFC7CE"/>
        </patternFill>
      </fill>
    </dxf>
    <dxf>
      <font>
        <color rgb="FF9C0006"/>
      </font>
      <fill>
        <patternFill>
          <bgColor rgb="FFFFC7CE"/>
        </patternFill>
      </fill>
    </dxf>
    <dxf>
      <font>
        <b/>
        <i val="0"/>
        <condense val="0"/>
        <extend val="0"/>
        <color indexed="16"/>
      </font>
    </dxf>
  </dxfs>
  <tableStyles count="0" defaultTableStyle="TableStyleMedium2"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8080FF"/>
      <rgbColor rgb="00802060"/>
      <rgbColor rgb="00FFFFC0"/>
      <rgbColor rgb="00A0E0E0"/>
      <rgbColor rgb="00600080"/>
      <rgbColor rgb="00FF8080"/>
      <rgbColor rgb="000080C0"/>
      <rgbColor rgb="00C0C0FF"/>
      <rgbColor rgb="00000080"/>
      <rgbColor rgb="00FF00FF"/>
      <rgbColor rgb="00FFFF00"/>
      <rgbColor rgb="0000FFFF"/>
      <rgbColor rgb="00800080"/>
      <rgbColor rgb="00800000"/>
      <rgbColor rgb="00008080"/>
      <rgbColor rgb="000000FF"/>
      <rgbColor rgb="0000CCFF"/>
      <rgbColor rgb="0069FFFF"/>
      <rgbColor rgb="00CCFFCC"/>
      <rgbColor rgb="00FFFF99"/>
      <rgbColor rgb="00A6CAF0"/>
      <rgbColor rgb="00CC9CCC"/>
      <rgbColor rgb="00CC99FF"/>
      <rgbColor rgb="00E3E3E3"/>
      <rgbColor rgb="003366FF"/>
      <rgbColor rgb="0033CCCC"/>
      <rgbColor rgb="00339933"/>
      <rgbColor rgb="00999933"/>
      <rgbColor rgb="00996633"/>
      <rgbColor rgb="00996666"/>
      <rgbColor rgb="00666699"/>
      <rgbColor rgb="00969696"/>
      <rgbColor rgb="003333CC"/>
      <rgbColor rgb="00336666"/>
      <rgbColor rgb="00003300"/>
      <rgbColor rgb="00333300"/>
      <rgbColor rgb="00663300"/>
      <rgbColor rgb="00993366"/>
      <rgbColor rgb="00333399"/>
      <rgbColor rgb="00424242"/>
    </indexedColors>
    <mruColors>
      <color rgb="FFFFCCCC"/>
      <color rgb="FFFF66CC"/>
      <color rgb="FF35CB72"/>
      <color rgb="FF33CC33"/>
    </mruColors>
  </colors>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8" Type="http://schemas.openxmlformats.org/officeDocument/2006/relationships/worksheet" Target="worksheets/sheet8.xml"/><Relationship Id="rId13" Type="http://schemas.openxmlformats.org/officeDocument/2006/relationships/sharedStrings" Target="sharedStrings.xml"/><Relationship Id="rId3" Type="http://schemas.openxmlformats.org/officeDocument/2006/relationships/worksheet" Target="worksheets/sheet3.xml"/><Relationship Id="rId7" Type="http://schemas.openxmlformats.org/officeDocument/2006/relationships/worksheet" Target="worksheets/sheet7.xml"/><Relationship Id="rId12" Type="http://schemas.openxmlformats.org/officeDocument/2006/relationships/styles" Target="styles.xml"/><Relationship Id="rId2" Type="http://schemas.openxmlformats.org/officeDocument/2006/relationships/worksheet" Target="worksheets/sheet2.xml"/><Relationship Id="rId1" Type="http://schemas.openxmlformats.org/officeDocument/2006/relationships/worksheet" Target="worksheets/sheet1.xml"/><Relationship Id="rId6" Type="http://schemas.openxmlformats.org/officeDocument/2006/relationships/worksheet" Target="worksheets/sheet6.xml"/><Relationship Id="rId11" Type="http://schemas.openxmlformats.org/officeDocument/2006/relationships/theme" Target="theme/theme1.xml"/><Relationship Id="rId5" Type="http://schemas.openxmlformats.org/officeDocument/2006/relationships/worksheet" Target="worksheets/sheet5.xml"/><Relationship Id="rId15" Type="http://schemas.openxmlformats.org/officeDocument/2006/relationships/calcChain" Target="calcChain.xml"/><Relationship Id="rId10" Type="http://schemas.openxmlformats.org/officeDocument/2006/relationships/worksheet" Target="worksheets/sheet10.xml"/><Relationship Id="rId4" Type="http://schemas.openxmlformats.org/officeDocument/2006/relationships/worksheet" Target="worksheets/sheet4.xml"/><Relationship Id="rId9" Type="http://schemas.openxmlformats.org/officeDocument/2006/relationships/worksheet" Target="worksheets/sheet9.xml"/><Relationship Id="rId14" Type="http://schemas.openxmlformats.org/officeDocument/2006/relationships/sheetMetadata" Target="metadata.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spDef>
      <a:spPr bwMode="auto">
        <a:xfrm>
          <a:off x="0" y="0"/>
          <a:ext cx="1" cy="1"/>
        </a:xfrm>
        <a:custGeom>
          <a:avLst/>
          <a:gdLst/>
          <a:ahLst/>
          <a:cxnLst/>
          <a:rect l="0" t="0" r="0" b="0"/>
          <a:pathLst/>
        </a:custGeom>
        <a:solidFill>
          <a:srgbClr xmlns:mc="http://schemas.openxmlformats.org/markup-compatibility/2006" xmlns:a14="http://schemas.microsoft.com/office/drawing/2010/main" val="090000" mc:Ignorable="a14" a14:legacySpreadsheetColorIndex="9"/>
        </a:solidFill>
        <a:ln w="9525" cap="flat" cmpd="sng" algn="ctr">
          <a:solidFill>
            <a:srgbClr xmlns:mc="http://schemas.openxmlformats.org/markup-compatibility/2006" xmlns:a14="http://schemas.microsoft.com/office/drawing/2010/main" val="400000" mc:Ignorable="a14" a14:legacySpreadsheetColorIndex="64"/>
          </a:solidFill>
          <a:prstDash val="solid"/>
          <a:round/>
          <a:headEnd type="none" w="med" len="med"/>
          <a:tailEnd type="none" w="med" len="med"/>
        </a:ln>
        <a:effectLst/>
        <a:extLst>
          <a:ext uri="{AF507438-7753-43E0-B8FC-AC1667EBCBE1}">
            <a14:hiddenEffects xmlns:a14="http://schemas.microsoft.com/office/drawing/2010/main">
              <a:effectLst>
                <a:outerShdw dist="35921" dir="2700000" algn="ctr" rotWithShape="0">
                  <a:srgbClr val="808080"/>
                </a:outerShdw>
              </a:effectLst>
            </a14:hiddenEffects>
          </a:ext>
        </a:extLst>
      </a:spPr>
      <a:bodyPr vertOverflow="clip" wrap="square" lIns="18288" tIns="0" rIns="0" bIns="0" upright="1"/>
      <a:lstStyle/>
    </a:spDef>
    <a:lnDef>
      <a:spPr bwMode="auto">
        <a:xfrm>
          <a:off x="0" y="0"/>
          <a:ext cx="1" cy="1"/>
        </a:xfrm>
        <a:custGeom>
          <a:avLst/>
          <a:gdLst/>
          <a:ahLst/>
          <a:cxnLst/>
          <a:rect l="0" t="0" r="0" b="0"/>
          <a:pathLst/>
        </a:custGeom>
        <a:solidFill>
          <a:srgbClr xmlns:mc="http://schemas.openxmlformats.org/markup-compatibility/2006" xmlns:a14="http://schemas.microsoft.com/office/drawing/2010/main" val="090000" mc:Ignorable="a14" a14:legacySpreadsheetColorIndex="9"/>
        </a:solidFill>
        <a:ln w="9525" cap="flat" cmpd="sng" algn="ctr">
          <a:solidFill>
            <a:srgbClr xmlns:mc="http://schemas.openxmlformats.org/markup-compatibility/2006" xmlns:a14="http://schemas.microsoft.com/office/drawing/2010/main" val="400000" mc:Ignorable="a14" a14:legacySpreadsheetColorIndex="64"/>
          </a:solidFill>
          <a:prstDash val="solid"/>
          <a:round/>
          <a:headEnd type="none" w="med" len="med"/>
          <a:tailEnd type="none" w="med" len="med"/>
        </a:ln>
        <a:effectLst/>
        <a:extLst>
          <a:ext uri="{AF507438-7753-43E0-B8FC-AC1667EBCBE1}">
            <a14:hiddenEffects xmlns:a14="http://schemas.microsoft.com/office/drawing/2010/main">
              <a:effectLst>
                <a:outerShdw dist="35921" dir="2700000" algn="ctr" rotWithShape="0">
                  <a:srgbClr val="808080"/>
                </a:outerShdw>
              </a:effectLst>
            </a14:hiddenEffects>
          </a:ext>
        </a:extLst>
      </a:spPr>
      <a:bodyPr vertOverflow="clip" wrap="square" lIns="18288" tIns="0" rIns="0" bIns="0" upright="1"/>
      <a:lstStyle/>
    </a:lnDef>
  </a:objectDefaults>
  <a:extraClrSchemeLst/>
</a:theme>
</file>

<file path=xl/worksheets/_rels/sheet1.xml.rels><?xml version="1.0" encoding="UTF-8" standalone="yes"?>
<Relationships xmlns="http://schemas.openxmlformats.org/package/2006/relationships"><Relationship Id="rId3" Type="http://schemas.openxmlformats.org/officeDocument/2006/relationships/comments" Target="../comments1.xml"/><Relationship Id="rId2" Type="http://schemas.openxmlformats.org/officeDocument/2006/relationships/vmlDrawing" Target="../drawings/vmlDrawing1.vml"/><Relationship Id="rId1" Type="http://schemas.openxmlformats.org/officeDocument/2006/relationships/printerSettings" Target="../printerSettings/printerSettings1.bin"/></Relationships>
</file>

<file path=xl/worksheets/_rels/sheet2.xml.rels><?xml version="1.0" encoding="UTF-8" standalone="yes"?>
<Relationships xmlns="http://schemas.openxmlformats.org/package/2006/relationships"><Relationship Id="rId1" Type="http://schemas.openxmlformats.org/officeDocument/2006/relationships/printerSettings" Target="../printerSettings/printerSettings2.bin"/></Relationships>
</file>

<file path=xl/worksheets/_rels/sheet3.xml.rels><?xml version="1.0" encoding="UTF-8" standalone="yes"?>
<Relationships xmlns="http://schemas.openxmlformats.org/package/2006/relationships"><Relationship Id="rId1" Type="http://schemas.openxmlformats.org/officeDocument/2006/relationships/printerSettings" Target="../printerSettings/printerSettings3.bin"/></Relationships>
</file>

<file path=xl/worksheets/_rels/sheet4.xml.rels><?xml version="1.0" encoding="UTF-8" standalone="yes"?>
<Relationships xmlns="http://schemas.openxmlformats.org/package/2006/relationships"><Relationship Id="rId1" Type="http://schemas.openxmlformats.org/officeDocument/2006/relationships/printerSettings" Target="../printerSettings/printerSettings4.bin"/></Relationships>
</file>

<file path=xl/worksheets/_rels/sheet5.xml.rels><?xml version="1.0" encoding="UTF-8" standalone="yes"?>
<Relationships xmlns="http://schemas.openxmlformats.org/package/2006/relationships"><Relationship Id="rId1" Type="http://schemas.openxmlformats.org/officeDocument/2006/relationships/printerSettings" Target="../printerSettings/printerSettings5.bin"/></Relationships>
</file>

<file path=xl/worksheets/_rels/sheet6.xml.rels><?xml version="1.0" encoding="UTF-8" standalone="yes"?>
<Relationships xmlns="http://schemas.openxmlformats.org/package/2006/relationships"><Relationship Id="rId1" Type="http://schemas.openxmlformats.org/officeDocument/2006/relationships/printerSettings" Target="../printerSettings/printerSettings6.bin"/></Relationships>
</file>

<file path=xl/worksheets/_rels/sheet7.xml.rels><?xml version="1.0" encoding="UTF-8" standalone="yes"?>
<Relationships xmlns="http://schemas.openxmlformats.org/package/2006/relationships"><Relationship Id="rId1" Type="http://schemas.openxmlformats.org/officeDocument/2006/relationships/printerSettings" Target="../printerSettings/printerSettings7.bin"/></Relationships>
</file>

<file path=xl/worksheets/_rels/sheet8.xml.rels><?xml version="1.0" encoding="UTF-8" standalone="yes"?>
<Relationships xmlns="http://schemas.openxmlformats.org/package/2006/relationships"><Relationship Id="rId1" Type="http://schemas.openxmlformats.org/officeDocument/2006/relationships/printerSettings" Target="../printerSettings/printerSettings8.bin"/></Relationships>
</file>

<file path=xl/worksheets/_rels/sheet9.xml.rels><?xml version="1.0" encoding="UTF-8" standalone="yes"?>
<Relationships xmlns="http://schemas.openxmlformats.org/package/2006/relationships"><Relationship Id="rId1" Type="http://schemas.openxmlformats.org/officeDocument/2006/relationships/printerSettings" Target="../printerSettings/printerSettings9.bin"/></Relationships>
</file>

<file path=xl/worksheets/_rels/sheet10.xml.rels><?xml version="1.0" encoding="UTF-8" standalone="yes"?>
<Relationships xmlns="http://schemas.openxmlformats.org/package/2006/relationships"><Relationship Id="rId1" Type="http://schemas.openxmlformats.org/officeDocument/2006/relationships/printerSettings" Target="../printerSettings/printerSettings10.bin"/></Relationships>
</file>

<file path=xl/worksheets/sheet1.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sheetPr transitionEvaluation="1" transitionEntry="1" codeName="Sheet1">
    <tabColor indexed="56"/>
  </sheetPr>
  <dimension ref="A1:CH677"/>
  <sheetViews>
    <sheetView tabSelected="1" topLeftCell="A631" zoomScaleNormal="100" workbookViewId="0">
      <selection activeCell="F667" sqref="F667"/>
    </sheetView>
  </sheetViews>
  <sheetFormatPr defaultRowHeight="12.2" customHeight="1" x14ac:dyDescent="0.2"/>
  <cols>
    <col min="1" max="1" width="45.1640625" customWidth="1"/>
    <col min="2" max="2" width="5.33203125" customWidth="1"/>
    <col min="3" max="3" width="5" customWidth="1"/>
    <col min="4" max="4" width="3.83203125" hidden="1" customWidth="1"/>
    <col min="5" max="5" width="6.83203125" bestFit="1" customWidth="1"/>
    <col min="6" max="6" width="17" style="20" customWidth="1"/>
    <col min="7" max="8" width="17.1640625" style="20" customWidth="1"/>
    <col min="9" max="9" width="18.83203125" style="20" customWidth="1"/>
    <col min="10" max="12" width="17.1640625" style="20" customWidth="1"/>
    <col min="13" max="13" width="8" customWidth="1"/>
  </cols>
  <sheetData>
    <row r="1" spans="1:14" s="3" customFormat="1" ht="12.2" customHeight="1" x14ac:dyDescent="0.15">
      <c r="A1" s="1" t="s">
        <v>261</v>
      </c>
      <c r="B1" s="2" t="s">
        <v>262</v>
      </c>
      <c r="C1" s="2" t="s">
        <v>263</v>
      </c>
      <c r="D1" s="2"/>
      <c r="E1" s="2"/>
      <c r="F1" s="13"/>
      <c r="G1" s="13"/>
      <c r="H1" s="15" t="s">
        <v>1628</v>
      </c>
      <c r="I1" s="13"/>
      <c r="J1" s="13"/>
      <c r="K1" s="13"/>
      <c r="L1" s="13"/>
    </row>
    <row r="2" spans="1:14" s="3" customFormat="1" ht="12.2" customHeight="1" x14ac:dyDescent="0.2">
      <c r="A2" s="353" t="s">
        <v>1055</v>
      </c>
      <c r="B2" s="126">
        <f>INDEX('School Tables'!$AH$3:$AH$208,MATCH('DOE25'!A2,'School Tables'!$AJ$3:$AJ$208,0))</f>
        <v>189</v>
      </c>
      <c r="C2" s="126">
        <f>INDEX('School Tables'!$AI$3:$AI$208,MATCH('DOE25'!A2,'School Tables'!$AJ$3:$AJ$208,0))</f>
        <v>189</v>
      </c>
      <c r="D2" s="21"/>
      <c r="E2" s="6" t="s">
        <v>678</v>
      </c>
      <c r="F2" s="15" t="s">
        <v>264</v>
      </c>
      <c r="G2" s="15" t="s">
        <v>265</v>
      </c>
      <c r="H2" s="15" t="s">
        <v>266</v>
      </c>
      <c r="I2" s="15" t="s">
        <v>267</v>
      </c>
      <c r="J2" s="15" t="s">
        <v>268</v>
      </c>
      <c r="K2" s="15" t="s">
        <v>269</v>
      </c>
      <c r="L2" s="15" t="s">
        <v>688</v>
      </c>
    </row>
    <row r="3" spans="1:14" s="3" customFormat="1" ht="12.2" customHeight="1" x14ac:dyDescent="0.15">
      <c r="A3" s="5" t="s">
        <v>270</v>
      </c>
      <c r="B3" s="6" t="s">
        <v>271</v>
      </c>
      <c r="C3" s="6" t="s">
        <v>272</v>
      </c>
      <c r="D3" s="6"/>
      <c r="E3" s="23" t="s">
        <v>402</v>
      </c>
    </row>
    <row r="4" spans="1:14" s="3" customFormat="1" ht="12.2" customHeight="1" x14ac:dyDescent="0.15">
      <c r="A4" s="1" t="s">
        <v>278</v>
      </c>
      <c r="K4" s="13"/>
      <c r="L4" s="13"/>
    </row>
    <row r="5" spans="1:14" s="3" customFormat="1" ht="12.2" customHeight="1" x14ac:dyDescent="0.15">
      <c r="A5" s="1" t="s">
        <v>279</v>
      </c>
      <c r="F5" s="23" t="s">
        <v>273</v>
      </c>
      <c r="G5" s="23" t="s">
        <v>274</v>
      </c>
      <c r="H5" s="23" t="s">
        <v>275</v>
      </c>
      <c r="I5" s="23" t="s">
        <v>276</v>
      </c>
      <c r="J5" s="23" t="s">
        <v>277</v>
      </c>
      <c r="K5" s="13"/>
      <c r="L5" s="13"/>
    </row>
    <row r="6" spans="1:14" s="3" customFormat="1" ht="12.2" customHeight="1" x14ac:dyDescent="0.15">
      <c r="B6" s="7"/>
      <c r="C6" s="7"/>
      <c r="D6" s="7"/>
      <c r="F6" s="224" t="s">
        <v>280</v>
      </c>
      <c r="G6" s="224" t="s">
        <v>281</v>
      </c>
      <c r="H6" s="224" t="s">
        <v>282</v>
      </c>
      <c r="I6" s="224" t="s">
        <v>283</v>
      </c>
      <c r="J6" s="224" t="s">
        <v>284</v>
      </c>
      <c r="K6" s="13"/>
      <c r="L6" s="13"/>
      <c r="M6" s="8"/>
    </row>
    <row r="7" spans="1:14" s="3" customFormat="1" ht="12.2" customHeight="1" x14ac:dyDescent="0.15">
      <c r="A7" s="1" t="s">
        <v>285</v>
      </c>
      <c r="B7" s="7"/>
      <c r="C7" s="7"/>
      <c r="D7" s="7"/>
      <c r="E7" s="7"/>
      <c r="F7" s="224"/>
      <c r="G7" s="225"/>
      <c r="H7" s="224" t="s">
        <v>768</v>
      </c>
      <c r="I7" s="225"/>
      <c r="J7" s="225"/>
      <c r="K7" s="13"/>
      <c r="L7" s="13"/>
      <c r="M7" s="8"/>
    </row>
    <row r="8" spans="1:14" s="3" customFormat="1" ht="12.2" customHeight="1" x14ac:dyDescent="0.15">
      <c r="A8" s="29" t="s">
        <v>403</v>
      </c>
      <c r="B8" s="7"/>
      <c r="C8" s="7"/>
      <c r="D8" s="7"/>
      <c r="E8" s="7"/>
      <c r="F8" s="24" t="s">
        <v>288</v>
      </c>
      <c r="G8" s="24" t="s">
        <v>288</v>
      </c>
      <c r="H8" s="24" t="s">
        <v>288</v>
      </c>
      <c r="I8" s="24" t="s">
        <v>288</v>
      </c>
      <c r="J8" s="24" t="s">
        <v>288</v>
      </c>
      <c r="K8" s="24" t="s">
        <v>288</v>
      </c>
      <c r="L8" s="24" t="s">
        <v>288</v>
      </c>
      <c r="M8" s="8"/>
    </row>
    <row r="9" spans="1:14" s="3" customFormat="1" ht="12.2" customHeight="1" x14ac:dyDescent="0.15">
      <c r="A9" s="1" t="s">
        <v>561</v>
      </c>
      <c r="B9" s="2" t="s">
        <v>289</v>
      </c>
      <c r="C9" s="6">
        <v>1</v>
      </c>
      <c r="D9" s="2" t="s">
        <v>428</v>
      </c>
      <c r="E9" s="6">
        <v>100</v>
      </c>
      <c r="F9" s="18">
        <f>93957.68+469336.68+3714.36</f>
        <v>567008.72</v>
      </c>
      <c r="G9" s="18">
        <v>4.1900000000000004</v>
      </c>
      <c r="H9" s="18"/>
      <c r="I9" s="18"/>
      <c r="J9" s="67">
        <f>SUM(I440)</f>
        <v>655538.05000000005</v>
      </c>
      <c r="K9" s="24" t="s">
        <v>288</v>
      </c>
      <c r="L9" s="24" t="s">
        <v>288</v>
      </c>
      <c r="M9" s="8"/>
      <c r="N9" s="265"/>
    </row>
    <row r="10" spans="1:14" s="3" customFormat="1" ht="12.2" customHeight="1" x14ac:dyDescent="0.15">
      <c r="A10" s="1" t="s">
        <v>562</v>
      </c>
      <c r="B10" s="2" t="s">
        <v>289</v>
      </c>
      <c r="C10" s="6">
        <v>2</v>
      </c>
      <c r="D10" s="2" t="s">
        <v>428</v>
      </c>
      <c r="E10" s="6">
        <v>110</v>
      </c>
      <c r="F10" s="18"/>
      <c r="G10" s="18"/>
      <c r="H10" s="18"/>
      <c r="I10" s="18"/>
      <c r="J10" s="67">
        <f>SUM(I441)</f>
        <v>0</v>
      </c>
      <c r="K10" s="24" t="s">
        <v>288</v>
      </c>
      <c r="L10" s="24" t="s">
        <v>288</v>
      </c>
      <c r="M10" s="8"/>
      <c r="N10" s="265"/>
    </row>
    <row r="11" spans="1:14" s="3" customFormat="1" ht="12.2" customHeight="1" x14ac:dyDescent="0.15">
      <c r="A11" s="1" t="s">
        <v>563</v>
      </c>
      <c r="B11" s="2" t="s">
        <v>289</v>
      </c>
      <c r="C11" s="6">
        <v>3</v>
      </c>
      <c r="D11" s="2" t="s">
        <v>428</v>
      </c>
      <c r="E11" s="6">
        <v>120</v>
      </c>
      <c r="F11" s="18"/>
      <c r="G11" s="24" t="s">
        <v>288</v>
      </c>
      <c r="H11" s="24" t="s">
        <v>288</v>
      </c>
      <c r="I11" s="24" t="s">
        <v>288</v>
      </c>
      <c r="J11" s="24" t="s">
        <v>288</v>
      </c>
      <c r="K11" s="24" t="s">
        <v>288</v>
      </c>
      <c r="L11" s="24" t="s">
        <v>288</v>
      </c>
      <c r="M11" s="8"/>
      <c r="N11" s="265"/>
    </row>
    <row r="12" spans="1:14" s="3" customFormat="1" ht="12.2" customHeight="1" x14ac:dyDescent="0.15">
      <c r="A12" s="1" t="s">
        <v>564</v>
      </c>
      <c r="B12" s="2" t="s">
        <v>289</v>
      </c>
      <c r="C12" s="6">
        <v>4</v>
      </c>
      <c r="D12" s="2" t="s">
        <v>428</v>
      </c>
      <c r="E12" s="6">
        <v>130</v>
      </c>
      <c r="F12" s="18"/>
      <c r="G12" s="18"/>
      <c r="H12" s="18"/>
      <c r="I12" s="18"/>
      <c r="J12" s="67">
        <f>SUM(I442)</f>
        <v>0</v>
      </c>
      <c r="K12" s="24" t="s">
        <v>288</v>
      </c>
      <c r="L12" s="24" t="s">
        <v>288</v>
      </c>
      <c r="M12" s="8"/>
      <c r="N12" s="265"/>
    </row>
    <row r="13" spans="1:14" s="3" customFormat="1" ht="12.2" customHeight="1" x14ac:dyDescent="0.15">
      <c r="A13" s="1" t="s">
        <v>604</v>
      </c>
      <c r="B13" s="2" t="s">
        <v>289</v>
      </c>
      <c r="C13" s="6">
        <v>5</v>
      </c>
      <c r="D13" s="2" t="s">
        <v>428</v>
      </c>
      <c r="E13" s="6">
        <v>140</v>
      </c>
      <c r="F13" s="18"/>
      <c r="G13" s="18">
        <f>55291.88+2377.87</f>
        <v>57669.75</v>
      </c>
      <c r="H13" s="18">
        <v>66701.19</v>
      </c>
      <c r="I13" s="18"/>
      <c r="J13" s="67">
        <f>SUM(I443)</f>
        <v>0</v>
      </c>
      <c r="K13" s="24" t="s">
        <v>288</v>
      </c>
      <c r="L13" s="24" t="s">
        <v>288</v>
      </c>
      <c r="M13" s="8"/>
      <c r="N13" s="265"/>
    </row>
    <row r="14" spans="1:14" s="3" customFormat="1" ht="12.2" customHeight="1" x14ac:dyDescent="0.15">
      <c r="A14" s="1" t="s">
        <v>565</v>
      </c>
      <c r="B14" s="2" t="s">
        <v>289</v>
      </c>
      <c r="C14" s="6">
        <v>6</v>
      </c>
      <c r="D14" s="2" t="s">
        <v>428</v>
      </c>
      <c r="E14" s="6">
        <v>150</v>
      </c>
      <c r="F14" s="18"/>
      <c r="G14" s="18"/>
      <c r="H14" s="18"/>
      <c r="I14" s="18"/>
      <c r="J14" s="67">
        <f>SUM(I444)</f>
        <v>0</v>
      </c>
      <c r="K14" s="24" t="s">
        <v>288</v>
      </c>
      <c r="L14" s="24" t="s">
        <v>288</v>
      </c>
      <c r="M14" s="8"/>
      <c r="N14" s="265"/>
    </row>
    <row r="15" spans="1:14" s="3" customFormat="1" ht="12.2" customHeight="1" x14ac:dyDescent="0.15">
      <c r="A15" s="1" t="s">
        <v>586</v>
      </c>
      <c r="B15" s="2" t="s">
        <v>289</v>
      </c>
      <c r="C15" s="6">
        <v>7</v>
      </c>
      <c r="D15" s="2" t="s">
        <v>428</v>
      </c>
      <c r="E15" s="6">
        <v>160</v>
      </c>
      <c r="F15" s="24" t="s">
        <v>288</v>
      </c>
      <c r="G15" s="24" t="s">
        <v>288</v>
      </c>
      <c r="H15" s="24" t="s">
        <v>288</v>
      </c>
      <c r="I15" s="18"/>
      <c r="J15" s="24" t="s">
        <v>288</v>
      </c>
      <c r="K15" s="24" t="s">
        <v>288</v>
      </c>
      <c r="L15" s="24" t="s">
        <v>288</v>
      </c>
      <c r="M15" s="8"/>
      <c r="N15" s="265"/>
    </row>
    <row r="16" spans="1:14" s="3" customFormat="1" ht="12.2" customHeight="1" x14ac:dyDescent="0.15">
      <c r="A16" s="1" t="s">
        <v>566</v>
      </c>
      <c r="B16" s="2" t="s">
        <v>289</v>
      </c>
      <c r="C16" s="6">
        <v>8</v>
      </c>
      <c r="D16" s="2" t="s">
        <v>428</v>
      </c>
      <c r="E16" s="6">
        <v>170</v>
      </c>
      <c r="F16" s="18"/>
      <c r="G16" s="18">
        <v>11349.2</v>
      </c>
      <c r="H16" s="18"/>
      <c r="I16" s="18"/>
      <c r="J16" s="24" t="s">
        <v>288</v>
      </c>
      <c r="K16" s="24" t="s">
        <v>288</v>
      </c>
      <c r="L16" s="24" t="s">
        <v>288</v>
      </c>
      <c r="M16" s="8"/>
      <c r="N16" s="265"/>
    </row>
    <row r="17" spans="1:14" s="3" customFormat="1" ht="12.2" customHeight="1" x14ac:dyDescent="0.15">
      <c r="A17" s="1" t="s">
        <v>567</v>
      </c>
      <c r="B17" s="2" t="s">
        <v>289</v>
      </c>
      <c r="C17" s="6">
        <v>9</v>
      </c>
      <c r="D17" s="2" t="s">
        <v>428</v>
      </c>
      <c r="E17" s="6">
        <v>180</v>
      </c>
      <c r="F17" s="18">
        <v>30485.91</v>
      </c>
      <c r="G17" s="18"/>
      <c r="H17" s="18"/>
      <c r="I17" s="18"/>
      <c r="J17" s="67">
        <f>SUM(I445)</f>
        <v>0</v>
      </c>
      <c r="K17" s="24" t="s">
        <v>288</v>
      </c>
      <c r="L17" s="24" t="s">
        <v>288</v>
      </c>
      <c r="M17" s="8"/>
      <c r="N17" s="265"/>
    </row>
    <row r="18" spans="1:14" s="3" customFormat="1" ht="12.2" customHeight="1" thickBot="1" x14ac:dyDescent="0.2">
      <c r="A18" s="1" t="s">
        <v>568</v>
      </c>
      <c r="B18" s="2" t="s">
        <v>289</v>
      </c>
      <c r="C18" s="6">
        <v>10</v>
      </c>
      <c r="D18" s="2" t="s">
        <v>428</v>
      </c>
      <c r="E18" s="6">
        <v>190</v>
      </c>
      <c r="F18" s="18"/>
      <c r="G18" s="18"/>
      <c r="H18" s="145"/>
      <c r="I18" s="18"/>
      <c r="J18" s="67">
        <f>SUM(I446)</f>
        <v>0</v>
      </c>
      <c r="K18" s="24" t="s">
        <v>288</v>
      </c>
      <c r="L18" s="24" t="s">
        <v>288</v>
      </c>
      <c r="M18" s="8"/>
      <c r="N18" s="265"/>
    </row>
    <row r="19" spans="1:14" s="3" customFormat="1" ht="12.2" customHeight="1" thickTop="1" x14ac:dyDescent="0.15">
      <c r="A19" s="38" t="s">
        <v>404</v>
      </c>
      <c r="B19" s="39" t="s">
        <v>289</v>
      </c>
      <c r="C19" s="40">
        <v>11</v>
      </c>
      <c r="D19" s="39" t="s">
        <v>428</v>
      </c>
      <c r="E19" s="39"/>
      <c r="F19" s="41">
        <f>SUM(F9:F18)</f>
        <v>597494.63</v>
      </c>
      <c r="G19" s="41">
        <f>SUM(G9:G18)</f>
        <v>69023.14</v>
      </c>
      <c r="H19" s="41">
        <f>SUM(H9:H18)</f>
        <v>66701.19</v>
      </c>
      <c r="I19" s="41">
        <f>SUM(I9:I18)</f>
        <v>0</v>
      </c>
      <c r="J19" s="41">
        <f>SUM(J9:J18)</f>
        <v>655538.05000000005</v>
      </c>
      <c r="K19" s="45" t="s">
        <v>288</v>
      </c>
      <c r="L19" s="45" t="s">
        <v>288</v>
      </c>
      <c r="M19" s="8"/>
      <c r="N19" s="265"/>
    </row>
    <row r="20" spans="1:14" s="3" customFormat="1" ht="12.2" customHeight="1" x14ac:dyDescent="0.15">
      <c r="A20" s="1" t="s">
        <v>454</v>
      </c>
      <c r="C20" s="159"/>
      <c r="F20" s="13"/>
      <c r="G20" s="13"/>
      <c r="H20" s="13"/>
      <c r="I20" s="13"/>
      <c r="J20" s="13"/>
      <c r="K20" s="13"/>
      <c r="L20" s="13"/>
      <c r="M20" s="8"/>
      <c r="N20" s="265"/>
    </row>
    <row r="21" spans="1:14" s="3" customFormat="1" ht="12.2" customHeight="1" x14ac:dyDescent="0.15">
      <c r="A21" s="29" t="s">
        <v>405</v>
      </c>
      <c r="B21" s="7"/>
      <c r="C21" s="2"/>
      <c r="D21" s="7"/>
      <c r="E21" s="7"/>
      <c r="F21" s="24" t="s">
        <v>288</v>
      </c>
      <c r="G21" s="24" t="s">
        <v>288</v>
      </c>
      <c r="H21" s="24" t="s">
        <v>288</v>
      </c>
      <c r="I21" s="24" t="s">
        <v>288</v>
      </c>
      <c r="J21" s="24" t="s">
        <v>288</v>
      </c>
      <c r="K21" s="24" t="s">
        <v>288</v>
      </c>
      <c r="L21" s="24" t="s">
        <v>288</v>
      </c>
      <c r="M21" s="8"/>
      <c r="N21" s="265"/>
    </row>
    <row r="22" spans="1:14" s="3" customFormat="1" ht="12.2" customHeight="1" x14ac:dyDescent="0.15">
      <c r="A22" s="1" t="s">
        <v>569</v>
      </c>
      <c r="B22" s="2" t="s">
        <v>289</v>
      </c>
      <c r="C22" s="6">
        <v>12</v>
      </c>
      <c r="D22" s="2" t="s">
        <v>429</v>
      </c>
      <c r="E22" s="6">
        <v>400</v>
      </c>
      <c r="F22" s="18">
        <f>247721-93621.85-137048.79</f>
        <v>17050.359999999986</v>
      </c>
      <c r="G22" s="18">
        <f>94259.35-172957.08</f>
        <v>-78697.729999999981</v>
      </c>
      <c r="H22" s="18">
        <f>133392.29-71744.92</f>
        <v>61647.37000000001</v>
      </c>
      <c r="I22" s="18"/>
      <c r="J22" s="67">
        <f>SUM(I449)</f>
        <v>0</v>
      </c>
      <c r="K22" s="24" t="s">
        <v>288</v>
      </c>
      <c r="L22" s="24" t="s">
        <v>288</v>
      </c>
      <c r="M22" s="8"/>
      <c r="N22" s="265"/>
    </row>
    <row r="23" spans="1:14" s="3" customFormat="1" ht="12.2" customHeight="1" x14ac:dyDescent="0.15">
      <c r="A23" s="1" t="s">
        <v>607</v>
      </c>
      <c r="B23" s="2" t="s">
        <v>289</v>
      </c>
      <c r="C23" s="6">
        <v>13</v>
      </c>
      <c r="D23" s="2" t="s">
        <v>429</v>
      </c>
      <c r="E23" s="6">
        <v>410</v>
      </c>
      <c r="F23" s="18"/>
      <c r="G23" s="18"/>
      <c r="H23" s="18"/>
      <c r="I23" s="18"/>
      <c r="J23" s="67">
        <f>SUM(I450)</f>
        <v>0</v>
      </c>
      <c r="K23" s="24" t="s">
        <v>288</v>
      </c>
      <c r="L23" s="24" t="s">
        <v>288</v>
      </c>
      <c r="M23" s="8"/>
      <c r="N23" s="265"/>
    </row>
    <row r="24" spans="1:14" s="3" customFormat="1" ht="12.2" customHeight="1" x14ac:dyDescent="0.15">
      <c r="A24" s="1" t="s">
        <v>570</v>
      </c>
      <c r="B24" s="2" t="s">
        <v>289</v>
      </c>
      <c r="C24" s="6">
        <v>14</v>
      </c>
      <c r="D24" s="2" t="s">
        <v>429</v>
      </c>
      <c r="E24" s="6">
        <v>420</v>
      </c>
      <c r="F24" s="18">
        <f>20559.58+4808.26</f>
        <v>25367.840000000004</v>
      </c>
      <c r="G24" s="18"/>
      <c r="H24" s="18"/>
      <c r="I24" s="18"/>
      <c r="J24" s="67">
        <f>SUM(I451)</f>
        <v>0</v>
      </c>
      <c r="K24" s="24" t="s">
        <v>288</v>
      </c>
      <c r="L24" s="24" t="s">
        <v>288</v>
      </c>
      <c r="M24" s="8"/>
      <c r="N24" s="265"/>
    </row>
    <row r="25" spans="1:14" s="3" customFormat="1" ht="12.2" customHeight="1" x14ac:dyDescent="0.15">
      <c r="A25" s="1" t="s">
        <v>574</v>
      </c>
      <c r="B25" s="2" t="s">
        <v>289</v>
      </c>
      <c r="C25" s="6">
        <v>15</v>
      </c>
      <c r="D25" s="2" t="s">
        <v>429</v>
      </c>
      <c r="E25" s="6">
        <v>430</v>
      </c>
      <c r="F25" s="18"/>
      <c r="G25" s="145"/>
      <c r="H25" s="18"/>
      <c r="I25" s="18"/>
      <c r="J25" s="24" t="s">
        <v>288</v>
      </c>
      <c r="K25" s="24" t="s">
        <v>288</v>
      </c>
      <c r="L25" s="24" t="s">
        <v>288</v>
      </c>
      <c r="M25" s="8"/>
      <c r="N25" s="265"/>
    </row>
    <row r="26" spans="1:14" s="3" customFormat="1" ht="12.2" customHeight="1" x14ac:dyDescent="0.15">
      <c r="A26" s="1" t="s">
        <v>571</v>
      </c>
      <c r="B26" s="2" t="s">
        <v>289</v>
      </c>
      <c r="C26" s="6">
        <v>16</v>
      </c>
      <c r="D26" s="2" t="s">
        <v>429</v>
      </c>
      <c r="E26" s="6">
        <v>440</v>
      </c>
      <c r="F26" s="18"/>
      <c r="G26" s="24" t="s">
        <v>288</v>
      </c>
      <c r="H26" s="24" t="s">
        <v>288</v>
      </c>
      <c r="I26" s="18"/>
      <c r="J26" s="24" t="s">
        <v>288</v>
      </c>
      <c r="K26" s="24" t="s">
        <v>288</v>
      </c>
      <c r="L26" s="24" t="s">
        <v>288</v>
      </c>
      <c r="M26" s="8"/>
      <c r="N26" s="265"/>
    </row>
    <row r="27" spans="1:14" s="3" customFormat="1" ht="12.2" customHeight="1" x14ac:dyDescent="0.15">
      <c r="A27" s="1" t="s">
        <v>572</v>
      </c>
      <c r="B27" s="2" t="s">
        <v>289</v>
      </c>
      <c r="C27" s="6">
        <v>17</v>
      </c>
      <c r="D27" s="2" t="s">
        <v>429</v>
      </c>
      <c r="E27" s="6">
        <v>450</v>
      </c>
      <c r="F27" s="18"/>
      <c r="G27" s="24" t="s">
        <v>288</v>
      </c>
      <c r="H27" s="24" t="s">
        <v>288</v>
      </c>
      <c r="I27" s="18"/>
      <c r="J27" s="24" t="s">
        <v>288</v>
      </c>
      <c r="K27" s="24" t="s">
        <v>288</v>
      </c>
      <c r="L27" s="24" t="s">
        <v>288</v>
      </c>
      <c r="M27" s="8"/>
      <c r="N27" s="265"/>
    </row>
    <row r="28" spans="1:14" s="3" customFormat="1" ht="12.2" customHeight="1" x14ac:dyDescent="0.15">
      <c r="A28" s="1" t="s">
        <v>573</v>
      </c>
      <c r="B28" s="2" t="s">
        <v>289</v>
      </c>
      <c r="C28" s="6">
        <v>18</v>
      </c>
      <c r="D28" s="2" t="s">
        <v>429</v>
      </c>
      <c r="E28" s="6">
        <v>460</v>
      </c>
      <c r="F28" s="18">
        <f>1869.8+31285.79+24039.22+2882.1+657.39+975+12650.77+21.57+76+80.02+4551.22+34646.53+11548.85+2925</f>
        <v>128209.26000000002</v>
      </c>
      <c r="G28" s="18">
        <v>75975</v>
      </c>
      <c r="H28" s="18"/>
      <c r="I28" s="18"/>
      <c r="J28" s="24" t="s">
        <v>288</v>
      </c>
      <c r="K28" s="24" t="s">
        <v>288</v>
      </c>
      <c r="L28" s="24" t="s">
        <v>288</v>
      </c>
      <c r="M28" s="8"/>
      <c r="N28" s="265"/>
    </row>
    <row r="29" spans="1:14" s="3" customFormat="1" ht="12.2" customHeight="1" x14ac:dyDescent="0.15">
      <c r="A29" s="1" t="s">
        <v>575</v>
      </c>
      <c r="B29" s="2" t="s">
        <v>289</v>
      </c>
      <c r="C29" s="6">
        <v>19</v>
      </c>
      <c r="D29" s="2" t="s">
        <v>429</v>
      </c>
      <c r="E29" s="6">
        <v>470</v>
      </c>
      <c r="F29" s="18"/>
      <c r="G29" s="18"/>
      <c r="H29" s="18"/>
      <c r="I29" s="18"/>
      <c r="J29" s="24" t="s">
        <v>288</v>
      </c>
      <c r="K29" s="24" t="s">
        <v>288</v>
      </c>
      <c r="L29" s="24" t="s">
        <v>288</v>
      </c>
      <c r="M29" s="8"/>
      <c r="N29" s="265"/>
    </row>
    <row r="30" spans="1:14" s="3" customFormat="1" ht="12.2" customHeight="1" x14ac:dyDescent="0.15">
      <c r="A30" s="1" t="s">
        <v>576</v>
      </c>
      <c r="B30" s="2" t="s">
        <v>289</v>
      </c>
      <c r="C30" s="6">
        <v>20</v>
      </c>
      <c r="D30" s="2" t="s">
        <v>429</v>
      </c>
      <c r="E30" s="6">
        <v>480</v>
      </c>
      <c r="F30" s="18"/>
      <c r="G30" s="18">
        <v>4911.42</v>
      </c>
      <c r="H30" s="18">
        <v>5053.82</v>
      </c>
      <c r="I30" s="18"/>
      <c r="J30" s="24" t="s">
        <v>288</v>
      </c>
      <c r="K30" s="24" t="s">
        <v>288</v>
      </c>
      <c r="L30" s="24" t="s">
        <v>288</v>
      </c>
      <c r="M30" s="8"/>
      <c r="N30" s="265"/>
    </row>
    <row r="31" spans="1:14" s="3" customFormat="1" ht="12.2" customHeight="1" thickBot="1" x14ac:dyDescent="0.2">
      <c r="A31" s="1" t="s">
        <v>585</v>
      </c>
      <c r="B31" s="2" t="s">
        <v>289</v>
      </c>
      <c r="C31" s="6">
        <v>21</v>
      </c>
      <c r="D31" s="2" t="s">
        <v>429</v>
      </c>
      <c r="E31" s="6">
        <v>490</v>
      </c>
      <c r="F31" s="18"/>
      <c r="G31" s="18"/>
      <c r="H31" s="18"/>
      <c r="I31" s="18"/>
      <c r="J31" s="67">
        <f>SUM(I452)</f>
        <v>0</v>
      </c>
      <c r="K31" s="24" t="s">
        <v>288</v>
      </c>
      <c r="L31" s="24" t="s">
        <v>288</v>
      </c>
      <c r="M31" s="8"/>
      <c r="N31" s="265"/>
    </row>
    <row r="32" spans="1:14" s="3" customFormat="1" ht="12.2" customHeight="1" thickTop="1" x14ac:dyDescent="0.15">
      <c r="A32" s="38" t="s">
        <v>406</v>
      </c>
      <c r="B32" s="39" t="s">
        <v>289</v>
      </c>
      <c r="C32" s="40">
        <v>22</v>
      </c>
      <c r="D32" s="39" t="s">
        <v>429</v>
      </c>
      <c r="E32" s="39"/>
      <c r="F32" s="41">
        <f>SUM(F22:F31)</f>
        <v>170627.46000000002</v>
      </c>
      <c r="G32" s="41">
        <f>SUM(G22:G31)</f>
        <v>2188.6900000000187</v>
      </c>
      <c r="H32" s="41">
        <f>SUM(H22:H31)</f>
        <v>66701.19</v>
      </c>
      <c r="I32" s="41">
        <f>SUM(I22:I31)</f>
        <v>0</v>
      </c>
      <c r="J32" s="41">
        <f>SUM(J22:J31)</f>
        <v>0</v>
      </c>
      <c r="K32" s="45" t="s">
        <v>288</v>
      </c>
      <c r="L32" s="45" t="s">
        <v>288</v>
      </c>
      <c r="M32" s="8"/>
      <c r="N32" s="265"/>
    </row>
    <row r="33" spans="1:14" s="3" customFormat="1" ht="12.2" customHeight="1" x14ac:dyDescent="0.15">
      <c r="A33" s="29" t="s">
        <v>304</v>
      </c>
      <c r="B33" s="1" t="s">
        <v>301</v>
      </c>
      <c r="C33" s="2" t="s">
        <v>286</v>
      </c>
      <c r="D33" s="2"/>
      <c r="E33" s="2"/>
      <c r="F33" s="24" t="s">
        <v>288</v>
      </c>
      <c r="G33" s="24" t="s">
        <v>288</v>
      </c>
      <c r="H33" s="24" t="s">
        <v>288</v>
      </c>
      <c r="I33" s="24" t="s">
        <v>288</v>
      </c>
      <c r="J33" s="24" t="s">
        <v>288</v>
      </c>
      <c r="K33" s="24" t="s">
        <v>288</v>
      </c>
      <c r="L33" s="24" t="s">
        <v>288</v>
      </c>
      <c r="M33" s="8"/>
      <c r="N33" s="265"/>
    </row>
    <row r="34" spans="1:14" s="3" customFormat="1" ht="12.2" customHeight="1" x14ac:dyDescent="0.15">
      <c r="A34" s="29" t="s">
        <v>846</v>
      </c>
      <c r="B34" s="1"/>
      <c r="C34" s="2"/>
      <c r="D34" s="2"/>
      <c r="E34" s="2"/>
      <c r="F34" s="24" t="s">
        <v>288</v>
      </c>
      <c r="G34" s="24" t="s">
        <v>288</v>
      </c>
      <c r="H34" s="24" t="s">
        <v>288</v>
      </c>
      <c r="I34" s="24" t="s">
        <v>288</v>
      </c>
      <c r="J34" s="24" t="s">
        <v>288</v>
      </c>
      <c r="K34" s="24" t="s">
        <v>288</v>
      </c>
      <c r="L34" s="24" t="s">
        <v>288</v>
      </c>
      <c r="M34" s="8"/>
      <c r="N34" s="265"/>
    </row>
    <row r="35" spans="1:14" s="3" customFormat="1" ht="12.2" customHeight="1" x14ac:dyDescent="0.15">
      <c r="A35" s="1" t="s">
        <v>577</v>
      </c>
      <c r="B35" s="6">
        <v>1</v>
      </c>
      <c r="C35" s="6">
        <v>23</v>
      </c>
      <c r="D35" s="2" t="s">
        <v>653</v>
      </c>
      <c r="E35" s="6">
        <v>751</v>
      </c>
      <c r="F35" s="18"/>
      <c r="G35" s="18">
        <v>11349.2</v>
      </c>
      <c r="H35" s="18"/>
      <c r="I35" s="18"/>
      <c r="J35" s="24" t="s">
        <v>288</v>
      </c>
      <c r="K35" s="24" t="s">
        <v>288</v>
      </c>
      <c r="L35" s="24" t="s">
        <v>288</v>
      </c>
      <c r="M35" s="8"/>
      <c r="N35" s="265"/>
    </row>
    <row r="36" spans="1:14" s="3" customFormat="1" ht="12.2" customHeight="1" x14ac:dyDescent="0.15">
      <c r="A36" s="1" t="s">
        <v>578</v>
      </c>
      <c r="B36" s="6">
        <v>1</v>
      </c>
      <c r="C36" s="6">
        <v>24</v>
      </c>
      <c r="D36" s="2" t="s">
        <v>653</v>
      </c>
      <c r="E36" s="6">
        <v>752</v>
      </c>
      <c r="F36" s="18"/>
      <c r="G36" s="18"/>
      <c r="H36" s="18"/>
      <c r="I36" s="18"/>
      <c r="J36" s="24" t="s">
        <v>288</v>
      </c>
      <c r="K36" s="24" t="s">
        <v>288</v>
      </c>
      <c r="L36" s="24" t="s">
        <v>288</v>
      </c>
      <c r="M36" s="8"/>
      <c r="N36" s="265"/>
    </row>
    <row r="37" spans="1:14" s="3" customFormat="1" ht="12.2" customHeight="1" x14ac:dyDescent="0.15">
      <c r="A37" s="1" t="s">
        <v>852</v>
      </c>
      <c r="B37" s="6">
        <v>1</v>
      </c>
      <c r="C37" s="6">
        <v>25</v>
      </c>
      <c r="D37" s="2" t="s">
        <v>653</v>
      </c>
      <c r="E37" s="6">
        <v>756</v>
      </c>
      <c r="F37" s="18"/>
      <c r="G37" s="18"/>
      <c r="H37" s="18"/>
      <c r="I37" s="18"/>
      <c r="J37" s="13">
        <f>I458</f>
        <v>0</v>
      </c>
      <c r="K37" s="24" t="s">
        <v>288</v>
      </c>
      <c r="L37" s="24" t="s">
        <v>288</v>
      </c>
      <c r="M37" s="8"/>
      <c r="N37" s="265"/>
    </row>
    <row r="38" spans="1:14" s="3" customFormat="1" ht="12.2" customHeight="1" x14ac:dyDescent="0.15">
      <c r="A38" s="29" t="s">
        <v>845</v>
      </c>
      <c r="B38" s="6"/>
      <c r="C38" s="6"/>
      <c r="D38" s="2"/>
      <c r="E38" s="6"/>
      <c r="F38" s="24" t="s">
        <v>288</v>
      </c>
      <c r="G38" s="24" t="s">
        <v>288</v>
      </c>
      <c r="H38" s="24" t="s">
        <v>288</v>
      </c>
      <c r="I38" s="24" t="s">
        <v>288</v>
      </c>
      <c r="J38" s="24" t="s">
        <v>288</v>
      </c>
      <c r="K38" s="24" t="s">
        <v>288</v>
      </c>
      <c r="L38" s="24" t="s">
        <v>288</v>
      </c>
      <c r="M38" s="8"/>
      <c r="N38" s="265"/>
    </row>
    <row r="39" spans="1:14" s="3" customFormat="1" ht="12.2" customHeight="1" x14ac:dyDescent="0.15">
      <c r="A39" s="1" t="s">
        <v>853</v>
      </c>
      <c r="B39" s="6">
        <v>1</v>
      </c>
      <c r="C39" s="6">
        <v>26</v>
      </c>
      <c r="D39" s="2"/>
      <c r="E39" s="6">
        <v>756</v>
      </c>
      <c r="F39" s="18"/>
      <c r="G39" s="18"/>
      <c r="H39" s="18"/>
      <c r="I39" s="18"/>
      <c r="J39" s="13">
        <f>I459</f>
        <v>0</v>
      </c>
      <c r="K39" s="24" t="s">
        <v>288</v>
      </c>
      <c r="L39" s="24" t="s">
        <v>288</v>
      </c>
      <c r="M39" s="8"/>
      <c r="N39" s="265"/>
    </row>
    <row r="40" spans="1:14" s="3" customFormat="1" ht="12.2" customHeight="1" x14ac:dyDescent="0.15">
      <c r="A40" s="1" t="s">
        <v>860</v>
      </c>
      <c r="B40" s="6">
        <v>1</v>
      </c>
      <c r="C40" s="6">
        <v>27</v>
      </c>
      <c r="D40" s="2"/>
      <c r="E40" s="6"/>
      <c r="F40" s="24" t="s">
        <v>288</v>
      </c>
      <c r="G40" s="18">
        <v>-6694.2</v>
      </c>
      <c r="H40" s="24" t="s">
        <v>288</v>
      </c>
      <c r="I40" s="24" t="s">
        <v>288</v>
      </c>
      <c r="J40" s="24" t="s">
        <v>288</v>
      </c>
      <c r="K40" s="24" t="s">
        <v>288</v>
      </c>
      <c r="L40" s="24" t="s">
        <v>288</v>
      </c>
      <c r="M40" s="8"/>
      <c r="N40" s="265"/>
    </row>
    <row r="41" spans="1:14" s="3" customFormat="1" ht="12.2" customHeight="1" x14ac:dyDescent="0.15">
      <c r="A41" s="1" t="s">
        <v>870</v>
      </c>
      <c r="B41" s="6">
        <v>1</v>
      </c>
      <c r="C41" s="6">
        <v>28</v>
      </c>
      <c r="D41" s="2"/>
      <c r="E41" s="6"/>
      <c r="F41" s="24" t="s">
        <v>288</v>
      </c>
      <c r="G41" s="24" t="s">
        <v>288</v>
      </c>
      <c r="H41" s="24" t="s">
        <v>288</v>
      </c>
      <c r="I41" s="18"/>
      <c r="J41" s="24" t="s">
        <v>288</v>
      </c>
      <c r="K41" s="24" t="s">
        <v>288</v>
      </c>
      <c r="L41" s="24" t="s">
        <v>288</v>
      </c>
      <c r="M41" s="8"/>
      <c r="N41" s="265"/>
    </row>
    <row r="42" spans="1:14" s="3" customFormat="1" ht="12.2" customHeight="1" x14ac:dyDescent="0.15">
      <c r="A42" s="29" t="s">
        <v>847</v>
      </c>
      <c r="B42" s="6"/>
      <c r="C42" s="6"/>
      <c r="D42" s="2"/>
      <c r="E42" s="6"/>
      <c r="F42" s="24" t="s">
        <v>288</v>
      </c>
      <c r="G42" s="24" t="s">
        <v>288</v>
      </c>
      <c r="H42" s="24" t="s">
        <v>288</v>
      </c>
      <c r="I42" s="24" t="s">
        <v>288</v>
      </c>
      <c r="J42" s="24" t="s">
        <v>288</v>
      </c>
      <c r="K42" s="24" t="s">
        <v>288</v>
      </c>
      <c r="L42" s="24" t="s">
        <v>288</v>
      </c>
      <c r="M42" s="8"/>
      <c r="N42" s="265"/>
    </row>
    <row r="43" spans="1:14" s="3" customFormat="1" ht="12.2" customHeight="1" x14ac:dyDescent="0.15">
      <c r="A43" s="1" t="s">
        <v>836</v>
      </c>
      <c r="B43" s="6">
        <v>1</v>
      </c>
      <c r="C43" s="6">
        <v>29</v>
      </c>
      <c r="D43" s="2" t="s">
        <v>653</v>
      </c>
      <c r="E43" s="6">
        <v>754</v>
      </c>
      <c r="F43" s="18"/>
      <c r="G43" s="18">
        <v>61779.45</v>
      </c>
      <c r="H43" s="18"/>
      <c r="I43" s="18"/>
      <c r="J43" s="13">
        <f>SUM(I457)</f>
        <v>0</v>
      </c>
      <c r="K43" s="24" t="s">
        <v>288</v>
      </c>
      <c r="L43" s="24" t="s">
        <v>288</v>
      </c>
      <c r="M43" s="8"/>
      <c r="N43" s="265"/>
    </row>
    <row r="44" spans="1:14" s="3" customFormat="1" ht="12.2" customHeight="1" x14ac:dyDescent="0.15">
      <c r="A44" s="1" t="s">
        <v>837</v>
      </c>
      <c r="B44" s="6">
        <v>1</v>
      </c>
      <c r="C44" s="6">
        <v>30</v>
      </c>
      <c r="D44" s="2" t="s">
        <v>653</v>
      </c>
      <c r="E44" s="6">
        <v>755</v>
      </c>
      <c r="F44" s="18">
        <v>250000</v>
      </c>
      <c r="G44" s="18"/>
      <c r="H44" s="18"/>
      <c r="I44" s="18"/>
      <c r="J44" s="24" t="s">
        <v>288</v>
      </c>
      <c r="K44" s="24" t="s">
        <v>288</v>
      </c>
      <c r="L44" s="24" t="s">
        <v>288</v>
      </c>
      <c r="M44" s="8"/>
      <c r="N44" s="265"/>
    </row>
    <row r="45" spans="1:14" s="3" customFormat="1" ht="12.2" customHeight="1" x14ac:dyDescent="0.15">
      <c r="A45" s="1" t="s">
        <v>838</v>
      </c>
      <c r="B45" s="6">
        <v>1</v>
      </c>
      <c r="C45" s="6">
        <v>31</v>
      </c>
      <c r="D45" s="2"/>
      <c r="E45" s="6">
        <v>753</v>
      </c>
      <c r="F45" s="18"/>
      <c r="G45" s="18"/>
      <c r="H45" s="18"/>
      <c r="I45" s="18"/>
      <c r="J45" s="13">
        <f>I456</f>
        <v>0</v>
      </c>
      <c r="K45" s="24" t="s">
        <v>288</v>
      </c>
      <c r="L45" s="24" t="s">
        <v>288</v>
      </c>
      <c r="M45" s="8"/>
      <c r="N45" s="265"/>
    </row>
    <row r="46" spans="1:14" s="3" customFormat="1" ht="12.2" customHeight="1" x14ac:dyDescent="0.15">
      <c r="A46" s="1" t="s">
        <v>874</v>
      </c>
      <c r="B46" s="6">
        <v>1</v>
      </c>
      <c r="C46" s="6">
        <v>32</v>
      </c>
      <c r="D46" s="2"/>
      <c r="E46" s="6"/>
      <c r="F46" s="18"/>
      <c r="G46" s="24" t="s">
        <v>288</v>
      </c>
      <c r="H46" s="24" t="s">
        <v>288</v>
      </c>
      <c r="I46" s="24" t="s">
        <v>288</v>
      </c>
      <c r="J46" s="24" t="s">
        <v>288</v>
      </c>
      <c r="K46" s="24"/>
      <c r="L46" s="24"/>
      <c r="M46" s="8"/>
      <c r="N46" s="265"/>
    </row>
    <row r="47" spans="1:14" s="3" customFormat="1" ht="12.2" customHeight="1" x14ac:dyDescent="0.15">
      <c r="A47" s="29" t="s">
        <v>848</v>
      </c>
      <c r="B47" s="6"/>
      <c r="C47" s="6"/>
      <c r="D47" s="2"/>
      <c r="E47" s="6"/>
      <c r="F47" s="24" t="s">
        <v>288</v>
      </c>
      <c r="G47" s="24" t="s">
        <v>288</v>
      </c>
      <c r="H47" s="24" t="s">
        <v>288</v>
      </c>
      <c r="I47" s="24" t="s">
        <v>288</v>
      </c>
      <c r="J47" s="24" t="s">
        <v>288</v>
      </c>
      <c r="K47" s="24" t="s">
        <v>288</v>
      </c>
      <c r="L47" s="24" t="s">
        <v>288</v>
      </c>
      <c r="M47" s="8"/>
      <c r="N47" s="265"/>
    </row>
    <row r="48" spans="1:14" s="3" customFormat="1" ht="12.2" customHeight="1" x14ac:dyDescent="0.15">
      <c r="A48" s="1" t="s">
        <v>839</v>
      </c>
      <c r="B48" s="2" t="s">
        <v>289</v>
      </c>
      <c r="C48" s="6">
        <v>33</v>
      </c>
      <c r="D48" s="2" t="s">
        <v>653</v>
      </c>
      <c r="E48" s="6">
        <v>760</v>
      </c>
      <c r="F48" s="18"/>
      <c r="G48" s="18"/>
      <c r="H48" s="18"/>
      <c r="I48" s="18"/>
      <c r="J48" s="13">
        <f>SUM(I460)</f>
        <v>655538.05000000005</v>
      </c>
      <c r="K48" s="24" t="s">
        <v>288</v>
      </c>
      <c r="L48" s="24" t="s">
        <v>288</v>
      </c>
      <c r="M48" s="8"/>
      <c r="N48" s="265"/>
    </row>
    <row r="49" spans="1:14" s="3" customFormat="1" ht="12.2" customHeight="1" x14ac:dyDescent="0.15">
      <c r="A49" s="1" t="s">
        <v>859</v>
      </c>
      <c r="B49" s="2" t="s">
        <v>289</v>
      </c>
      <c r="C49" s="6">
        <v>34</v>
      </c>
      <c r="D49" s="2"/>
      <c r="E49" s="6">
        <v>753</v>
      </c>
      <c r="F49" s="18">
        <v>74487.64</v>
      </c>
      <c r="G49" s="18">
        <v>400</v>
      </c>
      <c r="H49" s="18"/>
      <c r="I49" s="18"/>
      <c r="J49" s="13">
        <f>I455</f>
        <v>0</v>
      </c>
      <c r="K49" s="24"/>
      <c r="L49" s="24"/>
      <c r="M49" s="8"/>
      <c r="N49" s="265"/>
    </row>
    <row r="50" spans="1:14" s="3" customFormat="1" ht="12.2" customHeight="1" thickBot="1" x14ac:dyDescent="0.2">
      <c r="A50" s="29" t="s">
        <v>840</v>
      </c>
      <c r="B50" s="2" t="s">
        <v>289</v>
      </c>
      <c r="C50" s="71">
        <v>35</v>
      </c>
      <c r="D50" s="2" t="s">
        <v>653</v>
      </c>
      <c r="E50" s="6">
        <v>770</v>
      </c>
      <c r="F50" s="18">
        <v>102379.53</v>
      </c>
      <c r="G50" s="24" t="s">
        <v>288</v>
      </c>
      <c r="H50" s="24" t="s">
        <v>288</v>
      </c>
      <c r="I50" s="24" t="s">
        <v>288</v>
      </c>
      <c r="J50" s="24" t="s">
        <v>288</v>
      </c>
      <c r="K50" s="24" t="s">
        <v>288</v>
      </c>
      <c r="L50" s="24" t="s">
        <v>288</v>
      </c>
      <c r="M50" s="8"/>
      <c r="N50" s="265"/>
    </row>
    <row r="51" spans="1:14" ht="12.2" customHeight="1" thickTop="1" thickBot="1" x14ac:dyDescent="0.25">
      <c r="A51" s="38" t="s">
        <v>407</v>
      </c>
      <c r="B51" s="39" t="s">
        <v>289</v>
      </c>
      <c r="C51" s="51">
        <v>36</v>
      </c>
      <c r="D51" s="39" t="s">
        <v>653</v>
      </c>
      <c r="E51" s="39"/>
      <c r="F51" s="41">
        <f>SUM(F35:F50)</f>
        <v>426867.17000000004</v>
      </c>
      <c r="G51" s="41">
        <f>SUM(G35:G50)</f>
        <v>66834.45</v>
      </c>
      <c r="H51" s="41">
        <f>SUM(H35:H50)</f>
        <v>0</v>
      </c>
      <c r="I51" s="41">
        <f>SUM(I35:I50)</f>
        <v>0</v>
      </c>
      <c r="J51" s="41">
        <f>SUM(J35:J50)</f>
        <v>655538.05000000005</v>
      </c>
      <c r="K51" s="45" t="s">
        <v>288</v>
      </c>
      <c r="L51" s="45" t="s">
        <v>288</v>
      </c>
      <c r="N51" s="263"/>
    </row>
    <row r="52" spans="1:14" s="3" customFormat="1" ht="12.2" customHeight="1" thickTop="1" x14ac:dyDescent="0.15">
      <c r="A52" s="38" t="s">
        <v>455</v>
      </c>
      <c r="B52" s="39" t="s">
        <v>289</v>
      </c>
      <c r="C52" s="6">
        <v>37</v>
      </c>
      <c r="D52" s="39" t="s">
        <v>653</v>
      </c>
      <c r="E52" s="39"/>
      <c r="F52" s="41">
        <f>F51+F32</f>
        <v>597494.63000000012</v>
      </c>
      <c r="G52" s="41">
        <f>G51+G32</f>
        <v>69023.140000000014</v>
      </c>
      <c r="H52" s="41">
        <f>H51+H32</f>
        <v>66701.19</v>
      </c>
      <c r="I52" s="41">
        <f>I51+I32</f>
        <v>0</v>
      </c>
      <c r="J52" s="41">
        <f>J51+J32</f>
        <v>655538.05000000005</v>
      </c>
      <c r="K52" s="45" t="s">
        <v>288</v>
      </c>
      <c r="L52" s="45" t="s">
        <v>288</v>
      </c>
      <c r="M52" s="8"/>
      <c r="N52" s="265"/>
    </row>
    <row r="53" spans="1:14" s="3" customFormat="1" ht="12.2" customHeight="1" x14ac:dyDescent="0.2">
      <c r="A53"/>
      <c r="B53"/>
      <c r="C53"/>
      <c r="D53"/>
      <c r="E53"/>
      <c r="F53" s="23" t="s">
        <v>273</v>
      </c>
      <c r="G53" s="23" t="s">
        <v>274</v>
      </c>
      <c r="H53" s="23" t="s">
        <v>275</v>
      </c>
      <c r="I53" s="23" t="s">
        <v>276</v>
      </c>
      <c r="J53" s="23" t="s">
        <v>277</v>
      </c>
      <c r="K53" s="20"/>
      <c r="L53" s="20"/>
      <c r="M53" s="8"/>
      <c r="N53" s="265"/>
    </row>
    <row r="54" spans="1:14" s="3" customFormat="1" ht="12.2" customHeight="1" x14ac:dyDescent="0.2">
      <c r="A54" s="1" t="s">
        <v>305</v>
      </c>
      <c r="F54" s="23"/>
      <c r="G54" s="23"/>
      <c r="H54" s="23" t="s">
        <v>282</v>
      </c>
      <c r="I54" s="23"/>
      <c r="J54" s="23"/>
      <c r="K54" s="20"/>
      <c r="L54" s="20"/>
      <c r="M54" s="8"/>
      <c r="N54" s="265"/>
    </row>
    <row r="55" spans="1:14" s="3" customFormat="1" ht="12.2" customHeight="1" x14ac:dyDescent="0.2">
      <c r="A55" s="28" t="s">
        <v>307</v>
      </c>
      <c r="E55" s="6"/>
      <c r="F55" s="16" t="s">
        <v>280</v>
      </c>
      <c r="G55" s="16" t="s">
        <v>281</v>
      </c>
      <c r="H55" s="16" t="s">
        <v>768</v>
      </c>
      <c r="I55" s="16" t="s">
        <v>283</v>
      </c>
      <c r="J55" s="16" t="s">
        <v>284</v>
      </c>
      <c r="K55" s="20"/>
      <c r="L55" s="20"/>
      <c r="M55" s="8"/>
      <c r="N55" s="265"/>
    </row>
    <row r="56" spans="1:14" s="3" customFormat="1" ht="12.2" customHeight="1" x14ac:dyDescent="0.15">
      <c r="A56" s="27" t="s">
        <v>308</v>
      </c>
      <c r="E56" s="6"/>
      <c r="F56" s="24" t="s">
        <v>288</v>
      </c>
      <c r="G56" s="24" t="s">
        <v>288</v>
      </c>
      <c r="H56" s="24" t="s">
        <v>288</v>
      </c>
      <c r="I56" s="24" t="s">
        <v>288</v>
      </c>
      <c r="J56" s="24" t="s">
        <v>288</v>
      </c>
      <c r="K56" s="24" t="s">
        <v>288</v>
      </c>
      <c r="L56" s="24" t="s">
        <v>288</v>
      </c>
      <c r="M56" s="8"/>
      <c r="N56" s="265"/>
    </row>
    <row r="57" spans="1:14" s="3" customFormat="1" ht="12.2" customHeight="1" x14ac:dyDescent="0.15">
      <c r="A57" s="1" t="s">
        <v>511</v>
      </c>
      <c r="B57" s="2" t="s">
        <v>309</v>
      </c>
      <c r="C57" s="6">
        <v>1</v>
      </c>
      <c r="D57" s="2" t="s">
        <v>430</v>
      </c>
      <c r="E57" s="6">
        <v>1111</v>
      </c>
      <c r="F57" s="18">
        <v>8482346</v>
      </c>
      <c r="G57" s="18"/>
      <c r="H57" s="18"/>
      <c r="I57" s="18"/>
      <c r="J57" s="18"/>
      <c r="K57" s="24" t="s">
        <v>288</v>
      </c>
      <c r="L57" s="24" t="s">
        <v>288</v>
      </c>
      <c r="M57" s="8"/>
      <c r="N57" s="265"/>
    </row>
    <row r="58" spans="1:14" s="3" customFormat="1" ht="12.2" customHeight="1" x14ac:dyDescent="0.15">
      <c r="A58" s="1" t="s">
        <v>512</v>
      </c>
      <c r="B58" s="2" t="s">
        <v>309</v>
      </c>
      <c r="C58" s="6">
        <v>2</v>
      </c>
      <c r="D58" s="2" t="s">
        <v>430</v>
      </c>
      <c r="E58" s="6">
        <v>1112</v>
      </c>
      <c r="F58" s="18"/>
      <c r="G58" s="18"/>
      <c r="H58" s="24" t="s">
        <v>288</v>
      </c>
      <c r="I58" s="18"/>
      <c r="J58" s="24" t="s">
        <v>288</v>
      </c>
      <c r="K58" s="24" t="s">
        <v>288</v>
      </c>
      <c r="L58" s="24" t="s">
        <v>288</v>
      </c>
      <c r="M58" s="8"/>
      <c r="N58" s="265"/>
    </row>
    <row r="59" spans="1:14" s="27" customFormat="1" ht="12.2" customHeight="1" thickBot="1" x14ac:dyDescent="0.2">
      <c r="A59" s="1" t="s">
        <v>510</v>
      </c>
      <c r="B59" s="2" t="s">
        <v>309</v>
      </c>
      <c r="C59" s="6">
        <v>3</v>
      </c>
      <c r="D59" s="2" t="s">
        <v>430</v>
      </c>
      <c r="E59" s="6">
        <v>1119</v>
      </c>
      <c r="F59" s="18"/>
      <c r="G59" s="18"/>
      <c r="H59" s="18"/>
      <c r="I59" s="18"/>
      <c r="J59" s="18"/>
      <c r="K59" s="24" t="s">
        <v>288</v>
      </c>
      <c r="L59" s="24" t="s">
        <v>288</v>
      </c>
      <c r="M59" s="31"/>
      <c r="N59" s="266"/>
    </row>
    <row r="60" spans="1:14" s="27" customFormat="1" ht="12.2" customHeight="1" thickTop="1" x14ac:dyDescent="0.15">
      <c r="A60" s="38" t="s">
        <v>408</v>
      </c>
      <c r="B60" s="39" t="s">
        <v>309</v>
      </c>
      <c r="C60" s="40">
        <v>4</v>
      </c>
      <c r="D60" s="39" t="s">
        <v>430</v>
      </c>
      <c r="E60" s="40">
        <v>1100</v>
      </c>
      <c r="F60" s="41">
        <f>SUM(F57:F59)</f>
        <v>8482346</v>
      </c>
      <c r="G60" s="41">
        <f>SUM(G57:G59)</f>
        <v>0</v>
      </c>
      <c r="H60" s="41">
        <f>SUM(H57:H59)</f>
        <v>0</v>
      </c>
      <c r="I60" s="41">
        <f>SUM(I57:I59)</f>
        <v>0</v>
      </c>
      <c r="J60" s="41">
        <f>SUM(J57:J59)</f>
        <v>0</v>
      </c>
      <c r="K60" s="45" t="s">
        <v>288</v>
      </c>
      <c r="L60" s="45" t="s">
        <v>288</v>
      </c>
      <c r="M60" s="31"/>
      <c r="N60" s="266"/>
    </row>
    <row r="61" spans="1:14" s="3" customFormat="1" ht="12.2" customHeight="1" x14ac:dyDescent="0.15">
      <c r="A61" s="30" t="s">
        <v>517</v>
      </c>
      <c r="B61" s="27"/>
      <c r="C61" s="30" t="s">
        <v>301</v>
      </c>
      <c r="D61" s="30"/>
      <c r="E61" s="6"/>
      <c r="F61" s="24" t="s">
        <v>288</v>
      </c>
      <c r="G61" s="24" t="s">
        <v>288</v>
      </c>
      <c r="H61" s="24" t="s">
        <v>288</v>
      </c>
      <c r="I61" s="24" t="s">
        <v>288</v>
      </c>
      <c r="J61" s="24" t="s">
        <v>288</v>
      </c>
      <c r="K61" s="24" t="s">
        <v>288</v>
      </c>
      <c r="L61" s="24" t="s">
        <v>288</v>
      </c>
      <c r="M61" s="8"/>
      <c r="N61" s="265"/>
    </row>
    <row r="62" spans="1:14" s="3" customFormat="1" ht="12.2" customHeight="1" x14ac:dyDescent="0.15">
      <c r="A62" s="30" t="s">
        <v>311</v>
      </c>
      <c r="B62" s="27"/>
      <c r="C62" s="30"/>
      <c r="D62" s="30"/>
      <c r="E62" s="6">
        <v>1310</v>
      </c>
      <c r="F62" s="24" t="s">
        <v>288</v>
      </c>
      <c r="G62" s="24" t="s">
        <v>288</v>
      </c>
      <c r="H62" s="24" t="s">
        <v>288</v>
      </c>
      <c r="I62" s="24" t="s">
        <v>288</v>
      </c>
      <c r="J62" s="24" t="s">
        <v>288</v>
      </c>
      <c r="K62" s="24" t="s">
        <v>288</v>
      </c>
      <c r="L62" s="24" t="s">
        <v>288</v>
      </c>
      <c r="M62" s="8"/>
      <c r="N62" s="265"/>
    </row>
    <row r="63" spans="1:14" s="3" customFormat="1" ht="12.2" customHeight="1" x14ac:dyDescent="0.15">
      <c r="A63" s="1" t="s">
        <v>513</v>
      </c>
      <c r="B63" s="2" t="s">
        <v>309</v>
      </c>
      <c r="C63" s="6">
        <v>5</v>
      </c>
      <c r="D63" s="2" t="s">
        <v>430</v>
      </c>
      <c r="E63" s="6">
        <v>1311</v>
      </c>
      <c r="F63" s="18">
        <v>8644.7000000000007</v>
      </c>
      <c r="G63" s="24" t="s">
        <v>288</v>
      </c>
      <c r="H63" s="18"/>
      <c r="I63" s="24" t="s">
        <v>288</v>
      </c>
      <c r="J63" s="24" t="s">
        <v>288</v>
      </c>
      <c r="K63" s="24" t="s">
        <v>288</v>
      </c>
      <c r="L63" s="24" t="s">
        <v>288</v>
      </c>
      <c r="M63" s="8"/>
      <c r="N63" s="265"/>
    </row>
    <row r="64" spans="1:14" s="3" customFormat="1" ht="12.2" customHeight="1" x14ac:dyDescent="0.15">
      <c r="A64" s="1" t="s">
        <v>514</v>
      </c>
      <c r="B64" s="2" t="s">
        <v>309</v>
      </c>
      <c r="C64" s="6">
        <v>6</v>
      </c>
      <c r="D64" s="2" t="s">
        <v>430</v>
      </c>
      <c r="E64" s="6">
        <v>1314</v>
      </c>
      <c r="F64" s="18"/>
      <c r="G64" s="24" t="s">
        <v>288</v>
      </c>
      <c r="H64" s="18"/>
      <c r="I64" s="24" t="s">
        <v>288</v>
      </c>
      <c r="J64" s="24" t="s">
        <v>288</v>
      </c>
      <c r="K64" s="24" t="s">
        <v>288</v>
      </c>
      <c r="L64" s="24" t="s">
        <v>288</v>
      </c>
      <c r="M64" s="8"/>
      <c r="N64" s="265"/>
    </row>
    <row r="65" spans="1:14" s="27" customFormat="1" ht="12.2" customHeight="1" x14ac:dyDescent="0.15">
      <c r="A65" s="1" t="s">
        <v>499</v>
      </c>
      <c r="B65" s="2" t="s">
        <v>309</v>
      </c>
      <c r="C65" s="6">
        <v>7</v>
      </c>
      <c r="D65" s="2" t="s">
        <v>430</v>
      </c>
      <c r="E65" s="6">
        <v>1315</v>
      </c>
      <c r="F65" s="18"/>
      <c r="G65" s="24" t="s">
        <v>288</v>
      </c>
      <c r="H65" s="18"/>
      <c r="I65" s="24" t="s">
        <v>288</v>
      </c>
      <c r="J65" s="24" t="s">
        <v>288</v>
      </c>
      <c r="K65" s="24" t="s">
        <v>288</v>
      </c>
      <c r="L65" s="24" t="s">
        <v>288</v>
      </c>
      <c r="M65" s="31"/>
      <c r="N65" s="266"/>
    </row>
    <row r="66" spans="1:14" s="3" customFormat="1" ht="12.2" customHeight="1" x14ac:dyDescent="0.15">
      <c r="A66" s="1" t="s">
        <v>327</v>
      </c>
      <c r="B66" s="2" t="s">
        <v>309</v>
      </c>
      <c r="C66" s="6">
        <v>8</v>
      </c>
      <c r="D66" s="2" t="s">
        <v>430</v>
      </c>
      <c r="E66" s="6">
        <v>1316</v>
      </c>
      <c r="F66" s="18"/>
      <c r="G66" s="24" t="s">
        <v>288</v>
      </c>
      <c r="H66" s="18"/>
      <c r="I66" s="24" t="s">
        <v>288</v>
      </c>
      <c r="J66" s="24" t="s">
        <v>288</v>
      </c>
      <c r="K66" s="24" t="s">
        <v>288</v>
      </c>
      <c r="L66" s="24" t="s">
        <v>288</v>
      </c>
      <c r="M66" s="8"/>
      <c r="N66" s="265"/>
    </row>
    <row r="67" spans="1:14" s="3" customFormat="1" ht="12.2" customHeight="1" x14ac:dyDescent="0.15">
      <c r="A67" s="30" t="s">
        <v>410</v>
      </c>
      <c r="B67" s="2"/>
      <c r="C67" s="6"/>
      <c r="D67" s="6"/>
      <c r="E67" s="6">
        <v>1320</v>
      </c>
      <c r="F67" s="24" t="s">
        <v>288</v>
      </c>
      <c r="G67" s="24" t="s">
        <v>288</v>
      </c>
      <c r="H67" s="24" t="s">
        <v>288</v>
      </c>
      <c r="I67" s="24" t="s">
        <v>288</v>
      </c>
      <c r="J67" s="24" t="s">
        <v>288</v>
      </c>
      <c r="K67" s="24" t="s">
        <v>288</v>
      </c>
      <c r="L67" s="24" t="s">
        <v>288</v>
      </c>
      <c r="M67" s="8"/>
      <c r="N67" s="265"/>
    </row>
    <row r="68" spans="1:14" s="3" customFormat="1" ht="12.2" customHeight="1" x14ac:dyDescent="0.15">
      <c r="A68" s="1" t="s">
        <v>513</v>
      </c>
      <c r="B68" s="2" t="s">
        <v>309</v>
      </c>
      <c r="C68" s="6">
        <v>9</v>
      </c>
      <c r="D68" s="2" t="s">
        <v>430</v>
      </c>
      <c r="E68" s="6">
        <v>1321</v>
      </c>
      <c r="F68" s="18"/>
      <c r="G68" s="24" t="s">
        <v>288</v>
      </c>
      <c r="H68" s="18"/>
      <c r="I68" s="24" t="s">
        <v>288</v>
      </c>
      <c r="J68" s="24" t="s">
        <v>288</v>
      </c>
      <c r="K68" s="24" t="s">
        <v>288</v>
      </c>
      <c r="L68" s="24" t="s">
        <v>288</v>
      </c>
      <c r="M68" s="8"/>
      <c r="N68" s="265"/>
    </row>
    <row r="69" spans="1:14" s="3" customFormat="1" ht="12.2" customHeight="1" x14ac:dyDescent="0.15">
      <c r="A69" s="1" t="s">
        <v>515</v>
      </c>
      <c r="B69" s="2" t="s">
        <v>309</v>
      </c>
      <c r="C69" s="6">
        <v>10</v>
      </c>
      <c r="D69" s="2" t="s">
        <v>430</v>
      </c>
      <c r="E69" s="6">
        <v>1322</v>
      </c>
      <c r="F69" s="18"/>
      <c r="G69" s="24" t="s">
        <v>288</v>
      </c>
      <c r="H69" s="18"/>
      <c r="I69" s="24" t="s">
        <v>288</v>
      </c>
      <c r="J69" s="24" t="s">
        <v>288</v>
      </c>
      <c r="K69" s="24" t="s">
        <v>288</v>
      </c>
      <c r="L69" s="24" t="s">
        <v>288</v>
      </c>
      <c r="M69" s="8"/>
      <c r="N69" s="265"/>
    </row>
    <row r="70" spans="1:14" s="3" customFormat="1" ht="12.2" customHeight="1" x14ac:dyDescent="0.15">
      <c r="A70" s="1" t="s">
        <v>516</v>
      </c>
      <c r="B70" s="2" t="s">
        <v>309</v>
      </c>
      <c r="C70" s="6">
        <v>11</v>
      </c>
      <c r="D70" s="2" t="s">
        <v>430</v>
      </c>
      <c r="E70" s="6">
        <v>1323</v>
      </c>
      <c r="F70" s="18"/>
      <c r="G70" s="24" t="s">
        <v>288</v>
      </c>
      <c r="H70" s="18"/>
      <c r="I70" s="24" t="s">
        <v>288</v>
      </c>
      <c r="J70" s="24" t="s">
        <v>288</v>
      </c>
      <c r="K70" s="24" t="s">
        <v>288</v>
      </c>
      <c r="L70" s="24" t="s">
        <v>288</v>
      </c>
      <c r="M70" s="8"/>
      <c r="N70" s="265"/>
    </row>
    <row r="71" spans="1:14" s="3" customFormat="1" ht="12.2" customHeight="1" x14ac:dyDescent="0.15">
      <c r="A71" s="30" t="s">
        <v>411</v>
      </c>
      <c r="B71" s="1" t="s">
        <v>301</v>
      </c>
      <c r="E71" s="6">
        <v>1330</v>
      </c>
      <c r="F71" s="24" t="s">
        <v>288</v>
      </c>
      <c r="G71" s="24" t="s">
        <v>288</v>
      </c>
      <c r="H71" s="24" t="s">
        <v>288</v>
      </c>
      <c r="I71" s="24" t="s">
        <v>288</v>
      </c>
      <c r="J71" s="24" t="s">
        <v>288</v>
      </c>
      <c r="K71" s="24" t="s">
        <v>288</v>
      </c>
      <c r="L71" s="24" t="s">
        <v>288</v>
      </c>
      <c r="M71" s="8"/>
      <c r="N71" s="265"/>
    </row>
    <row r="72" spans="1:14" s="3" customFormat="1" ht="12.2" customHeight="1" x14ac:dyDescent="0.15">
      <c r="A72" s="1" t="s">
        <v>513</v>
      </c>
      <c r="B72" s="2" t="s">
        <v>309</v>
      </c>
      <c r="C72" s="6">
        <v>12</v>
      </c>
      <c r="D72" s="2" t="s">
        <v>430</v>
      </c>
      <c r="E72" s="6">
        <v>1331</v>
      </c>
      <c r="F72" s="18"/>
      <c r="G72" s="24" t="s">
        <v>288</v>
      </c>
      <c r="H72" s="18"/>
      <c r="I72" s="24" t="s">
        <v>288</v>
      </c>
      <c r="J72" s="24" t="s">
        <v>288</v>
      </c>
      <c r="K72" s="24" t="s">
        <v>288</v>
      </c>
      <c r="L72" s="24" t="s">
        <v>288</v>
      </c>
      <c r="M72" s="8"/>
      <c r="N72" s="265"/>
    </row>
    <row r="73" spans="1:14" s="3" customFormat="1" ht="12.2" customHeight="1" x14ac:dyDescent="0.15">
      <c r="A73" s="1" t="s">
        <v>515</v>
      </c>
      <c r="B73" s="2" t="s">
        <v>309</v>
      </c>
      <c r="C73" s="6">
        <v>13</v>
      </c>
      <c r="D73" s="2" t="s">
        <v>430</v>
      </c>
      <c r="E73" s="6">
        <v>1332</v>
      </c>
      <c r="F73" s="18"/>
      <c r="G73" s="24" t="s">
        <v>288</v>
      </c>
      <c r="H73" s="18"/>
      <c r="I73" s="24" t="s">
        <v>288</v>
      </c>
      <c r="J73" s="24" t="s">
        <v>288</v>
      </c>
      <c r="K73" s="24" t="s">
        <v>288</v>
      </c>
      <c r="L73" s="24" t="s">
        <v>288</v>
      </c>
      <c r="M73" s="8"/>
      <c r="N73" s="265"/>
    </row>
    <row r="74" spans="1:14" s="3" customFormat="1" ht="12.2" customHeight="1" x14ac:dyDescent="0.15">
      <c r="A74" s="1" t="s">
        <v>516</v>
      </c>
      <c r="B74" s="2" t="s">
        <v>309</v>
      </c>
      <c r="C74" s="6">
        <v>14</v>
      </c>
      <c r="D74" s="2" t="s">
        <v>430</v>
      </c>
      <c r="E74" s="6">
        <v>1333</v>
      </c>
      <c r="F74" s="18"/>
      <c r="G74" s="24" t="s">
        <v>288</v>
      </c>
      <c r="H74" s="18"/>
      <c r="I74" s="24" t="s">
        <v>288</v>
      </c>
      <c r="J74" s="24" t="s">
        <v>288</v>
      </c>
      <c r="K74" s="24" t="s">
        <v>288</v>
      </c>
      <c r="L74" s="24" t="s">
        <v>288</v>
      </c>
      <c r="M74" s="8"/>
      <c r="N74" s="265"/>
    </row>
    <row r="75" spans="1:14" s="3" customFormat="1" ht="12.2" customHeight="1" x14ac:dyDescent="0.15">
      <c r="A75" s="30" t="s">
        <v>313</v>
      </c>
      <c r="E75" s="6">
        <v>1340</v>
      </c>
      <c r="F75" s="24" t="s">
        <v>288</v>
      </c>
      <c r="G75" s="24" t="s">
        <v>288</v>
      </c>
      <c r="H75" s="24" t="s">
        <v>288</v>
      </c>
      <c r="I75" s="24" t="s">
        <v>288</v>
      </c>
      <c r="J75" s="24" t="s">
        <v>288</v>
      </c>
      <c r="K75" s="24" t="s">
        <v>288</v>
      </c>
      <c r="L75" s="24" t="s">
        <v>288</v>
      </c>
      <c r="M75" s="8"/>
      <c r="N75" s="265"/>
    </row>
    <row r="76" spans="1:14" s="3" customFormat="1" ht="12.2" customHeight="1" x14ac:dyDescent="0.15">
      <c r="A76" s="1" t="s">
        <v>513</v>
      </c>
      <c r="B76" s="2" t="s">
        <v>309</v>
      </c>
      <c r="C76" s="6">
        <v>15</v>
      </c>
      <c r="D76" s="2" t="s">
        <v>430</v>
      </c>
      <c r="E76" s="6">
        <v>1341</v>
      </c>
      <c r="F76" s="18"/>
      <c r="G76" s="24" t="s">
        <v>288</v>
      </c>
      <c r="H76" s="18"/>
      <c r="I76" s="24" t="s">
        <v>288</v>
      </c>
      <c r="J76" s="24" t="s">
        <v>288</v>
      </c>
      <c r="K76" s="24" t="s">
        <v>288</v>
      </c>
      <c r="L76" s="24" t="s">
        <v>288</v>
      </c>
      <c r="M76" s="8"/>
      <c r="N76" s="265"/>
    </row>
    <row r="77" spans="1:14" s="3" customFormat="1" ht="12.2" customHeight="1" x14ac:dyDescent="0.15">
      <c r="A77" s="1" t="s">
        <v>515</v>
      </c>
      <c r="B77" s="2" t="s">
        <v>309</v>
      </c>
      <c r="C77" s="6">
        <v>16</v>
      </c>
      <c r="D77" s="2" t="s">
        <v>430</v>
      </c>
      <c r="E77" s="6">
        <v>1342</v>
      </c>
      <c r="F77" s="18"/>
      <c r="G77" s="24" t="s">
        <v>288</v>
      </c>
      <c r="H77" s="18"/>
      <c r="I77" s="24" t="s">
        <v>288</v>
      </c>
      <c r="J77" s="24" t="s">
        <v>288</v>
      </c>
      <c r="K77" s="24" t="s">
        <v>288</v>
      </c>
      <c r="L77" s="24" t="s">
        <v>288</v>
      </c>
      <c r="M77" s="8"/>
      <c r="N77" s="265"/>
    </row>
    <row r="78" spans="1:14" ht="12.2" customHeight="1" thickBot="1" x14ac:dyDescent="0.25">
      <c r="A78" s="1" t="s">
        <v>510</v>
      </c>
      <c r="B78" s="2" t="s">
        <v>309</v>
      </c>
      <c r="C78" s="6">
        <v>17</v>
      </c>
      <c r="D78" s="2" t="s">
        <v>430</v>
      </c>
      <c r="E78" s="6">
        <v>1349</v>
      </c>
      <c r="F78" s="18"/>
      <c r="G78" s="24" t="s">
        <v>288</v>
      </c>
      <c r="H78" s="18"/>
      <c r="I78" s="24" t="s">
        <v>288</v>
      </c>
      <c r="J78" s="24" t="s">
        <v>288</v>
      </c>
      <c r="K78" s="24" t="s">
        <v>288</v>
      </c>
      <c r="L78" s="24" t="s">
        <v>288</v>
      </c>
      <c r="N78" s="263"/>
    </row>
    <row r="79" spans="1:14" s="3" customFormat="1" ht="12.2" customHeight="1" thickTop="1" x14ac:dyDescent="0.15">
      <c r="A79" s="38" t="s">
        <v>409</v>
      </c>
      <c r="B79" s="39" t="s">
        <v>309</v>
      </c>
      <c r="C79" s="39" t="s">
        <v>314</v>
      </c>
      <c r="D79" s="39" t="s">
        <v>430</v>
      </c>
      <c r="E79" s="40">
        <v>1300</v>
      </c>
      <c r="F79" s="41">
        <f>SUM(F63:F78)</f>
        <v>8644.7000000000007</v>
      </c>
      <c r="G79" s="45" t="s">
        <v>288</v>
      </c>
      <c r="H79" s="41">
        <f>SUM(H63:H78)</f>
        <v>0</v>
      </c>
      <c r="I79" s="45" t="s">
        <v>288</v>
      </c>
      <c r="J79" s="45" t="s">
        <v>288</v>
      </c>
      <c r="K79" s="45" t="s">
        <v>288</v>
      </c>
      <c r="L79" s="45" t="s">
        <v>288</v>
      </c>
      <c r="M79" s="8"/>
      <c r="N79" s="265"/>
    </row>
    <row r="80" spans="1:14" s="3" customFormat="1" ht="12.2" customHeight="1" x14ac:dyDescent="0.2">
      <c r="A80"/>
      <c r="B80"/>
      <c r="C80" s="32"/>
      <c r="D80" s="32"/>
      <c r="E80" s="32"/>
      <c r="F80" s="23" t="s">
        <v>273</v>
      </c>
      <c r="G80" s="23" t="s">
        <v>274</v>
      </c>
      <c r="H80" s="23" t="s">
        <v>275</v>
      </c>
      <c r="I80" s="23" t="s">
        <v>276</v>
      </c>
      <c r="J80" s="23" t="s">
        <v>277</v>
      </c>
      <c r="K80" s="20"/>
      <c r="L80" s="20"/>
      <c r="M80" s="8"/>
      <c r="N80" s="265"/>
    </row>
    <row r="81" spans="1:14" s="3" customFormat="1" ht="12.2" customHeight="1" x14ac:dyDescent="0.2">
      <c r="A81" s="170" t="s">
        <v>518</v>
      </c>
      <c r="C81" s="23"/>
      <c r="D81" s="23"/>
      <c r="E81" s="23"/>
      <c r="F81" s="23"/>
      <c r="G81" s="23"/>
      <c r="H81" s="23" t="s">
        <v>282</v>
      </c>
      <c r="I81" s="23"/>
      <c r="J81" s="23"/>
      <c r="K81" s="20"/>
      <c r="L81" s="20"/>
      <c r="M81" s="8"/>
      <c r="N81" s="265"/>
    </row>
    <row r="82" spans="1:14" s="3" customFormat="1" ht="12.2" customHeight="1" x14ac:dyDescent="0.2">
      <c r="A82" s="30" t="s">
        <v>412</v>
      </c>
      <c r="C82" s="23"/>
      <c r="D82" s="23"/>
      <c r="E82" s="6">
        <v>1410</v>
      </c>
      <c r="F82" s="16" t="s">
        <v>280</v>
      </c>
      <c r="G82" s="16" t="s">
        <v>281</v>
      </c>
      <c r="H82" s="16" t="s">
        <v>768</v>
      </c>
      <c r="I82" s="16" t="s">
        <v>283</v>
      </c>
      <c r="J82" s="16" t="s">
        <v>284</v>
      </c>
      <c r="K82" s="20"/>
      <c r="L82" s="20"/>
      <c r="M82" s="8"/>
      <c r="N82" s="265"/>
    </row>
    <row r="83" spans="1:14" s="3" customFormat="1" ht="12.2" customHeight="1" x14ac:dyDescent="0.15">
      <c r="A83" s="1" t="s">
        <v>513</v>
      </c>
      <c r="B83" s="2" t="s">
        <v>315</v>
      </c>
      <c r="C83" s="6">
        <v>1</v>
      </c>
      <c r="D83" s="2" t="s">
        <v>430</v>
      </c>
      <c r="E83" s="6">
        <v>1411</v>
      </c>
      <c r="F83" s="18"/>
      <c r="G83" s="24" t="s">
        <v>288</v>
      </c>
      <c r="H83" s="18"/>
      <c r="I83" s="24" t="s">
        <v>288</v>
      </c>
      <c r="J83" s="24" t="s">
        <v>288</v>
      </c>
      <c r="K83" s="24" t="s">
        <v>288</v>
      </c>
      <c r="L83" s="24" t="s">
        <v>288</v>
      </c>
      <c r="M83" s="8"/>
      <c r="N83" s="265"/>
    </row>
    <row r="84" spans="1:14" s="3" customFormat="1" ht="12.2" customHeight="1" x14ac:dyDescent="0.15">
      <c r="A84" s="1" t="s">
        <v>514</v>
      </c>
      <c r="B84" s="2" t="s">
        <v>315</v>
      </c>
      <c r="C84" s="6">
        <v>2</v>
      </c>
      <c r="D84" s="2" t="s">
        <v>430</v>
      </c>
      <c r="E84" s="6">
        <v>1414</v>
      </c>
      <c r="F84" s="18"/>
      <c r="G84" s="24" t="s">
        <v>288</v>
      </c>
      <c r="H84" s="18"/>
      <c r="I84" s="24" t="s">
        <v>288</v>
      </c>
      <c r="J84" s="24" t="s">
        <v>288</v>
      </c>
      <c r="K84" s="24" t="s">
        <v>288</v>
      </c>
      <c r="L84" s="24" t="s">
        <v>288</v>
      </c>
      <c r="M84" s="8"/>
      <c r="N84" s="265"/>
    </row>
    <row r="85" spans="1:14" s="3" customFormat="1" ht="12.2" customHeight="1" x14ac:dyDescent="0.15">
      <c r="A85" s="30" t="s">
        <v>312</v>
      </c>
      <c r="C85" s="23"/>
      <c r="D85" s="23"/>
      <c r="E85" s="6">
        <v>1420</v>
      </c>
      <c r="F85" s="24" t="s">
        <v>288</v>
      </c>
      <c r="G85" s="24" t="s">
        <v>288</v>
      </c>
      <c r="H85" s="24" t="s">
        <v>288</v>
      </c>
      <c r="I85" s="24" t="s">
        <v>288</v>
      </c>
      <c r="J85" s="24" t="s">
        <v>288</v>
      </c>
      <c r="K85" s="24" t="s">
        <v>288</v>
      </c>
      <c r="L85" s="24" t="s">
        <v>288</v>
      </c>
      <c r="M85" s="8"/>
      <c r="N85" s="265"/>
    </row>
    <row r="86" spans="1:14" s="3" customFormat="1" ht="12.2" customHeight="1" x14ac:dyDescent="0.15">
      <c r="A86" s="1" t="s">
        <v>513</v>
      </c>
      <c r="B86" s="1" t="s">
        <v>315</v>
      </c>
      <c r="C86" s="6">
        <v>3</v>
      </c>
      <c r="D86" s="2" t="s">
        <v>430</v>
      </c>
      <c r="E86" s="6">
        <v>1421</v>
      </c>
      <c r="F86" s="18"/>
      <c r="G86" s="24" t="s">
        <v>288</v>
      </c>
      <c r="H86" s="18"/>
      <c r="I86" s="24" t="s">
        <v>288</v>
      </c>
      <c r="J86" s="24" t="s">
        <v>288</v>
      </c>
      <c r="K86" s="24" t="s">
        <v>288</v>
      </c>
      <c r="L86" s="24" t="s">
        <v>288</v>
      </c>
      <c r="M86" s="8"/>
      <c r="N86" s="265"/>
    </row>
    <row r="87" spans="1:14" s="3" customFormat="1" ht="12.2" customHeight="1" x14ac:dyDescent="0.15">
      <c r="A87" s="1" t="s">
        <v>515</v>
      </c>
      <c r="B87" s="2" t="s">
        <v>315</v>
      </c>
      <c r="C87" s="6">
        <v>4</v>
      </c>
      <c r="D87" s="2" t="s">
        <v>430</v>
      </c>
      <c r="E87" s="6">
        <v>1422</v>
      </c>
      <c r="F87" s="18"/>
      <c r="G87" s="24" t="s">
        <v>288</v>
      </c>
      <c r="H87" s="18"/>
      <c r="I87" s="24" t="s">
        <v>288</v>
      </c>
      <c r="J87" s="24" t="s">
        <v>288</v>
      </c>
      <c r="K87" s="24" t="s">
        <v>288</v>
      </c>
      <c r="L87" s="24" t="s">
        <v>288</v>
      </c>
      <c r="M87" s="8"/>
      <c r="N87" s="265"/>
    </row>
    <row r="88" spans="1:14" s="3" customFormat="1" ht="12.2" customHeight="1" x14ac:dyDescent="0.15">
      <c r="A88" s="1" t="s">
        <v>516</v>
      </c>
      <c r="B88" s="2" t="s">
        <v>315</v>
      </c>
      <c r="C88" s="6">
        <v>5</v>
      </c>
      <c r="D88" s="2" t="s">
        <v>430</v>
      </c>
      <c r="E88" s="6">
        <v>1423</v>
      </c>
      <c r="F88" s="18"/>
      <c r="G88" s="24" t="s">
        <v>288</v>
      </c>
      <c r="H88" s="18"/>
      <c r="I88" s="24" t="s">
        <v>288</v>
      </c>
      <c r="J88" s="24" t="s">
        <v>288</v>
      </c>
      <c r="K88" s="24" t="s">
        <v>288</v>
      </c>
      <c r="L88" s="24" t="s">
        <v>288</v>
      </c>
      <c r="M88" s="8"/>
      <c r="N88" s="265"/>
    </row>
    <row r="89" spans="1:14" s="3" customFormat="1" ht="12.2" customHeight="1" x14ac:dyDescent="0.15">
      <c r="A89" s="30" t="s">
        <v>316</v>
      </c>
      <c r="C89" s="23"/>
      <c r="D89" s="23"/>
      <c r="E89" s="6">
        <v>1430</v>
      </c>
      <c r="F89" s="24" t="s">
        <v>288</v>
      </c>
      <c r="G89" s="24" t="s">
        <v>288</v>
      </c>
      <c r="H89" s="24" t="s">
        <v>288</v>
      </c>
      <c r="I89" s="24" t="s">
        <v>288</v>
      </c>
      <c r="J89" s="24" t="s">
        <v>288</v>
      </c>
      <c r="K89" s="24" t="s">
        <v>288</v>
      </c>
      <c r="L89" s="24" t="s">
        <v>288</v>
      </c>
      <c r="M89" s="8"/>
      <c r="N89" s="265"/>
    </row>
    <row r="90" spans="1:14" s="3" customFormat="1" ht="12.2" customHeight="1" x14ac:dyDescent="0.15">
      <c r="A90" s="1" t="s">
        <v>513</v>
      </c>
      <c r="B90" s="2" t="s">
        <v>315</v>
      </c>
      <c r="C90" s="6">
        <v>6</v>
      </c>
      <c r="D90" s="2" t="s">
        <v>430</v>
      </c>
      <c r="E90" s="6">
        <v>1431</v>
      </c>
      <c r="F90" s="18"/>
      <c r="G90" s="24" t="s">
        <v>288</v>
      </c>
      <c r="H90" s="18"/>
      <c r="I90" s="24" t="s">
        <v>288</v>
      </c>
      <c r="J90" s="24" t="s">
        <v>288</v>
      </c>
      <c r="K90" s="24" t="s">
        <v>288</v>
      </c>
      <c r="L90" s="24" t="s">
        <v>288</v>
      </c>
      <c r="M90" s="8"/>
      <c r="N90" s="265"/>
    </row>
    <row r="91" spans="1:14" s="3" customFormat="1" ht="12.2" customHeight="1" x14ac:dyDescent="0.15">
      <c r="A91" s="1" t="s">
        <v>515</v>
      </c>
      <c r="B91" s="2" t="s">
        <v>315</v>
      </c>
      <c r="C91" s="6">
        <v>7</v>
      </c>
      <c r="D91" s="2" t="s">
        <v>430</v>
      </c>
      <c r="E91" s="6">
        <v>1432</v>
      </c>
      <c r="F91" s="18"/>
      <c r="G91" s="24" t="s">
        <v>288</v>
      </c>
      <c r="H91" s="18"/>
      <c r="I91" s="24" t="s">
        <v>288</v>
      </c>
      <c r="J91" s="24" t="s">
        <v>288</v>
      </c>
      <c r="K91" s="24" t="s">
        <v>288</v>
      </c>
      <c r="L91" s="24" t="s">
        <v>288</v>
      </c>
      <c r="M91" s="8"/>
      <c r="N91" s="265"/>
    </row>
    <row r="92" spans="1:14" s="3" customFormat="1" ht="12.2" customHeight="1" x14ac:dyDescent="0.15">
      <c r="A92" s="1" t="s">
        <v>516</v>
      </c>
      <c r="B92" s="2" t="s">
        <v>315</v>
      </c>
      <c r="C92" s="6">
        <v>8</v>
      </c>
      <c r="D92" s="2" t="s">
        <v>430</v>
      </c>
      <c r="E92" s="6">
        <v>1433</v>
      </c>
      <c r="F92" s="18"/>
      <c r="G92" s="24" t="s">
        <v>288</v>
      </c>
      <c r="H92" s="18"/>
      <c r="I92" s="24" t="s">
        <v>288</v>
      </c>
      <c r="J92" s="24" t="s">
        <v>288</v>
      </c>
      <c r="K92" s="24" t="s">
        <v>288</v>
      </c>
      <c r="L92" s="24" t="s">
        <v>288</v>
      </c>
      <c r="M92" s="8"/>
      <c r="N92" s="265"/>
    </row>
    <row r="93" spans="1:14" s="3" customFormat="1" ht="12.2" customHeight="1" thickBot="1" x14ac:dyDescent="0.2">
      <c r="A93" s="1" t="s">
        <v>519</v>
      </c>
      <c r="B93" s="2" t="s">
        <v>315</v>
      </c>
      <c r="C93" s="6">
        <v>9</v>
      </c>
      <c r="D93" s="2" t="s">
        <v>430</v>
      </c>
      <c r="E93" s="6">
        <v>1440</v>
      </c>
      <c r="F93" s="18"/>
      <c r="G93" s="24" t="s">
        <v>288</v>
      </c>
      <c r="H93" s="18"/>
      <c r="I93" s="24" t="s">
        <v>288</v>
      </c>
      <c r="J93" s="24" t="s">
        <v>288</v>
      </c>
      <c r="K93" s="24" t="s">
        <v>288</v>
      </c>
      <c r="L93" s="24" t="s">
        <v>288</v>
      </c>
      <c r="M93" s="8"/>
      <c r="N93" s="265"/>
    </row>
    <row r="94" spans="1:14" s="3" customFormat="1" ht="12.2" customHeight="1" thickTop="1" x14ac:dyDescent="0.15">
      <c r="A94" s="38" t="s">
        <v>413</v>
      </c>
      <c r="B94" s="39" t="s">
        <v>315</v>
      </c>
      <c r="C94" s="40">
        <v>10</v>
      </c>
      <c r="D94" s="39" t="s">
        <v>430</v>
      </c>
      <c r="E94" s="40">
        <v>1400</v>
      </c>
      <c r="F94" s="41">
        <f>SUM(F83:F93)</f>
        <v>0</v>
      </c>
      <c r="G94" s="45" t="s">
        <v>288</v>
      </c>
      <c r="H94" s="41">
        <f>SUM(H83:H93)</f>
        <v>0</v>
      </c>
      <c r="I94" s="45" t="s">
        <v>288</v>
      </c>
      <c r="J94" s="45" t="s">
        <v>288</v>
      </c>
      <c r="K94" s="45" t="s">
        <v>288</v>
      </c>
      <c r="L94" s="45" t="s">
        <v>288</v>
      </c>
      <c r="M94" s="8"/>
      <c r="N94" s="265"/>
    </row>
    <row r="95" spans="1:14" s="3" customFormat="1" ht="12.2" customHeight="1" x14ac:dyDescent="0.15">
      <c r="A95" s="30" t="s">
        <v>317</v>
      </c>
      <c r="B95" s="2" t="s">
        <v>286</v>
      </c>
      <c r="C95" s="6" t="s">
        <v>286</v>
      </c>
      <c r="D95" s="6"/>
      <c r="E95" s="6"/>
      <c r="F95" s="24" t="s">
        <v>288</v>
      </c>
      <c r="G95" s="24" t="s">
        <v>288</v>
      </c>
      <c r="H95" s="24" t="s">
        <v>288</v>
      </c>
      <c r="I95" s="24" t="s">
        <v>288</v>
      </c>
      <c r="J95" s="24" t="s">
        <v>288</v>
      </c>
      <c r="K95" s="24" t="s">
        <v>288</v>
      </c>
      <c r="L95" s="24" t="s">
        <v>288</v>
      </c>
      <c r="M95" s="8"/>
      <c r="N95" s="265"/>
    </row>
    <row r="96" spans="1:14" s="3" customFormat="1" ht="12.2" customHeight="1" x14ac:dyDescent="0.15">
      <c r="A96" s="1" t="s">
        <v>592</v>
      </c>
      <c r="B96" s="2" t="s">
        <v>315</v>
      </c>
      <c r="C96" s="6">
        <v>11</v>
      </c>
      <c r="D96" s="2" t="s">
        <v>430</v>
      </c>
      <c r="E96" s="6">
        <v>1500</v>
      </c>
      <c r="F96" s="18">
        <v>2079.12</v>
      </c>
      <c r="G96" s="18"/>
      <c r="H96" s="18"/>
      <c r="I96" s="18"/>
      <c r="J96" s="18">
        <v>1007.85</v>
      </c>
      <c r="K96" s="24" t="s">
        <v>288</v>
      </c>
      <c r="L96" s="24" t="s">
        <v>288</v>
      </c>
      <c r="M96" s="8"/>
      <c r="N96" s="265"/>
    </row>
    <row r="97" spans="1:14" s="3" customFormat="1" ht="12.2" customHeight="1" x14ac:dyDescent="0.15">
      <c r="A97" s="1" t="s">
        <v>503</v>
      </c>
      <c r="B97" s="2" t="s">
        <v>315</v>
      </c>
      <c r="C97" s="6">
        <v>12</v>
      </c>
      <c r="D97" s="2" t="s">
        <v>430</v>
      </c>
      <c r="E97" s="6">
        <v>1600</v>
      </c>
      <c r="F97" s="24" t="s">
        <v>288</v>
      </c>
      <c r="G97" s="18">
        <v>9305.2900000000009</v>
      </c>
      <c r="H97" s="24" t="s">
        <v>288</v>
      </c>
      <c r="I97" s="24" t="s">
        <v>288</v>
      </c>
      <c r="J97" s="24" t="s">
        <v>288</v>
      </c>
      <c r="K97" s="24" t="s">
        <v>288</v>
      </c>
      <c r="L97" s="24" t="s">
        <v>288</v>
      </c>
      <c r="M97" s="8"/>
      <c r="N97" s="265"/>
    </row>
    <row r="98" spans="1:14" s="3" customFormat="1" ht="12.2" customHeight="1" x14ac:dyDescent="0.15">
      <c r="A98" s="1" t="s">
        <v>504</v>
      </c>
      <c r="B98" s="2" t="s">
        <v>315</v>
      </c>
      <c r="C98" s="6">
        <v>13</v>
      </c>
      <c r="D98" s="2" t="s">
        <v>430</v>
      </c>
      <c r="E98" s="6">
        <v>1700</v>
      </c>
      <c r="F98" s="18"/>
      <c r="G98" s="24" t="s">
        <v>288</v>
      </c>
      <c r="H98" s="18"/>
      <c r="I98" s="24" t="s">
        <v>288</v>
      </c>
      <c r="J98" s="24" t="s">
        <v>288</v>
      </c>
      <c r="K98" s="24" t="s">
        <v>288</v>
      </c>
      <c r="L98" s="24" t="s">
        <v>288</v>
      </c>
      <c r="M98" s="8"/>
      <c r="N98" s="265"/>
    </row>
    <row r="99" spans="1:14" s="3" customFormat="1" ht="12.2" customHeight="1" x14ac:dyDescent="0.15">
      <c r="A99" s="1" t="s">
        <v>587</v>
      </c>
      <c r="B99" s="2" t="s">
        <v>315</v>
      </c>
      <c r="C99" s="6">
        <v>14</v>
      </c>
      <c r="D99" s="2" t="s">
        <v>430</v>
      </c>
      <c r="E99" s="6">
        <v>1800</v>
      </c>
      <c r="F99" s="18"/>
      <c r="G99" s="18"/>
      <c r="H99" s="18"/>
      <c r="I99" s="24" t="s">
        <v>288</v>
      </c>
      <c r="J99" s="24" t="s">
        <v>288</v>
      </c>
      <c r="K99" s="24" t="s">
        <v>288</v>
      </c>
      <c r="L99" s="24" t="s">
        <v>288</v>
      </c>
      <c r="M99" s="8"/>
      <c r="N99" s="265"/>
    </row>
    <row r="100" spans="1:14" s="3" customFormat="1" ht="12.2" customHeight="1" x14ac:dyDescent="0.15">
      <c r="A100" s="30" t="s">
        <v>318</v>
      </c>
      <c r="B100" s="2"/>
      <c r="C100" s="6"/>
      <c r="D100" s="6"/>
      <c r="E100" s="6"/>
      <c r="F100" s="24" t="s">
        <v>288</v>
      </c>
      <c r="G100" s="24" t="s">
        <v>288</v>
      </c>
      <c r="H100" s="24" t="s">
        <v>288</v>
      </c>
      <c r="I100" s="24" t="s">
        <v>288</v>
      </c>
      <c r="J100" s="24" t="s">
        <v>288</v>
      </c>
      <c r="K100" s="24" t="s">
        <v>288</v>
      </c>
      <c r="L100" s="24" t="s">
        <v>288</v>
      </c>
      <c r="M100" s="8"/>
      <c r="N100" s="265"/>
    </row>
    <row r="101" spans="1:14" s="3" customFormat="1" ht="12.2" customHeight="1" x14ac:dyDescent="0.15">
      <c r="A101" s="1" t="s">
        <v>505</v>
      </c>
      <c r="B101" s="2" t="s">
        <v>315</v>
      </c>
      <c r="C101" s="6">
        <v>15</v>
      </c>
      <c r="D101" s="2" t="s">
        <v>430</v>
      </c>
      <c r="E101" s="6">
        <v>1910</v>
      </c>
      <c r="F101" s="18"/>
      <c r="G101" s="18"/>
      <c r="H101" s="18"/>
      <c r="I101" s="18"/>
      <c r="J101" s="24" t="s">
        <v>288</v>
      </c>
      <c r="K101" s="24" t="s">
        <v>288</v>
      </c>
      <c r="L101" s="24" t="s">
        <v>288</v>
      </c>
      <c r="M101" s="8"/>
      <c r="N101" s="265"/>
    </row>
    <row r="102" spans="1:14" s="3" customFormat="1" ht="12.2" customHeight="1" x14ac:dyDescent="0.15">
      <c r="A102" s="1" t="s">
        <v>506</v>
      </c>
      <c r="B102" s="2" t="s">
        <v>315</v>
      </c>
      <c r="C102" s="6">
        <v>16</v>
      </c>
      <c r="D102" s="2" t="s">
        <v>430</v>
      </c>
      <c r="E102" s="6">
        <v>1920</v>
      </c>
      <c r="F102" s="18"/>
      <c r="G102" s="18"/>
      <c r="H102" s="18"/>
      <c r="I102" s="18"/>
      <c r="J102" s="18"/>
      <c r="K102" s="24" t="s">
        <v>288</v>
      </c>
      <c r="L102" s="24" t="s">
        <v>288</v>
      </c>
      <c r="M102" s="8"/>
      <c r="N102" s="265"/>
    </row>
    <row r="103" spans="1:14" s="3" customFormat="1" ht="12.2" customHeight="1" x14ac:dyDescent="0.15">
      <c r="A103" s="1" t="s">
        <v>507</v>
      </c>
      <c r="B103" s="2" t="s">
        <v>315</v>
      </c>
      <c r="C103" s="6">
        <v>17</v>
      </c>
      <c r="D103" s="2" t="s">
        <v>430</v>
      </c>
      <c r="E103" s="6">
        <v>1930</v>
      </c>
      <c r="F103" s="18"/>
      <c r="G103" s="18"/>
      <c r="H103" s="18"/>
      <c r="I103" s="24" t="s">
        <v>288</v>
      </c>
      <c r="J103" s="24" t="s">
        <v>288</v>
      </c>
      <c r="K103" s="24" t="s">
        <v>288</v>
      </c>
      <c r="L103" s="24" t="s">
        <v>288</v>
      </c>
      <c r="M103" s="8"/>
      <c r="N103" s="265"/>
    </row>
    <row r="104" spans="1:14" s="3" customFormat="1" ht="12.2" customHeight="1" x14ac:dyDescent="0.15">
      <c r="A104" s="1" t="s">
        <v>588</v>
      </c>
      <c r="B104" s="2" t="s">
        <v>315</v>
      </c>
      <c r="C104" s="6">
        <v>18</v>
      </c>
      <c r="D104" s="2" t="s">
        <v>430</v>
      </c>
      <c r="E104" s="6">
        <v>1940</v>
      </c>
      <c r="F104" s="18"/>
      <c r="G104" s="24" t="s">
        <v>288</v>
      </c>
      <c r="H104" s="18"/>
      <c r="I104" s="24" t="s">
        <v>288</v>
      </c>
      <c r="J104" s="24" t="s">
        <v>288</v>
      </c>
      <c r="K104" s="24" t="s">
        <v>288</v>
      </c>
      <c r="L104" s="24" t="s">
        <v>288</v>
      </c>
      <c r="M104" s="8"/>
      <c r="N104" s="265"/>
    </row>
    <row r="105" spans="1:14" s="3" customFormat="1" ht="12.2" customHeight="1" x14ac:dyDescent="0.15">
      <c r="A105" s="1" t="s">
        <v>589</v>
      </c>
      <c r="B105" s="2" t="s">
        <v>315</v>
      </c>
      <c r="C105" s="6">
        <v>19</v>
      </c>
      <c r="D105" s="2" t="s">
        <v>430</v>
      </c>
      <c r="E105" s="6">
        <v>1951</v>
      </c>
      <c r="F105" s="18"/>
      <c r="G105" s="18"/>
      <c r="H105" s="18"/>
      <c r="I105" s="24" t="s">
        <v>288</v>
      </c>
      <c r="J105" s="24" t="s">
        <v>288</v>
      </c>
      <c r="K105" s="24" t="s">
        <v>288</v>
      </c>
      <c r="L105" s="24" t="s">
        <v>288</v>
      </c>
      <c r="M105" s="8"/>
      <c r="N105" s="265"/>
    </row>
    <row r="106" spans="1:14" s="3" customFormat="1" ht="12.2" customHeight="1" x14ac:dyDescent="0.15">
      <c r="A106" s="1" t="s">
        <v>590</v>
      </c>
      <c r="B106" s="2" t="s">
        <v>315</v>
      </c>
      <c r="C106" s="6">
        <v>20</v>
      </c>
      <c r="D106" s="2" t="s">
        <v>430</v>
      </c>
      <c r="E106" s="6">
        <v>1952</v>
      </c>
      <c r="F106" s="18"/>
      <c r="G106" s="18"/>
      <c r="H106" s="18"/>
      <c r="I106" s="24" t="s">
        <v>288</v>
      </c>
      <c r="J106" s="24" t="s">
        <v>288</v>
      </c>
      <c r="K106" s="24" t="s">
        <v>288</v>
      </c>
      <c r="L106" s="24" t="s">
        <v>288</v>
      </c>
      <c r="M106" s="8"/>
      <c r="N106" s="265"/>
    </row>
    <row r="107" spans="1:14" s="3" customFormat="1" ht="12.2" customHeight="1" x14ac:dyDescent="0.15">
      <c r="A107" s="1" t="s">
        <v>508</v>
      </c>
      <c r="B107" s="2" t="s">
        <v>315</v>
      </c>
      <c r="C107" s="6">
        <v>21</v>
      </c>
      <c r="D107" s="2" t="s">
        <v>430</v>
      </c>
      <c r="E107" s="6">
        <v>1953</v>
      </c>
      <c r="F107" s="18"/>
      <c r="G107" s="18"/>
      <c r="H107" s="18"/>
      <c r="I107" s="18"/>
      <c r="J107" s="24" t="s">
        <v>288</v>
      </c>
      <c r="K107" s="24" t="s">
        <v>288</v>
      </c>
      <c r="L107" s="24" t="s">
        <v>288</v>
      </c>
      <c r="M107" s="8"/>
      <c r="N107" s="265"/>
    </row>
    <row r="108" spans="1:14" s="3" customFormat="1" ht="12.2" customHeight="1" x14ac:dyDescent="0.15">
      <c r="A108" s="1" t="s">
        <v>591</v>
      </c>
      <c r="B108" s="2" t="s">
        <v>315</v>
      </c>
      <c r="C108" s="6">
        <v>22</v>
      </c>
      <c r="D108" s="2" t="s">
        <v>430</v>
      </c>
      <c r="E108" s="6">
        <v>1960</v>
      </c>
      <c r="F108" s="18"/>
      <c r="G108" s="18"/>
      <c r="H108" s="18"/>
      <c r="I108" s="18"/>
      <c r="J108" s="24" t="s">
        <v>288</v>
      </c>
      <c r="K108" s="24" t="s">
        <v>288</v>
      </c>
      <c r="L108" s="24" t="s">
        <v>288</v>
      </c>
      <c r="M108" s="8"/>
      <c r="N108" s="265"/>
    </row>
    <row r="109" spans="1:14" s="3" customFormat="1" ht="12.2" customHeight="1" x14ac:dyDescent="0.15">
      <c r="A109" s="1" t="s">
        <v>509</v>
      </c>
      <c r="B109" s="2" t="s">
        <v>315</v>
      </c>
      <c r="C109" s="6">
        <v>23</v>
      </c>
      <c r="D109" s="2" t="s">
        <v>430</v>
      </c>
      <c r="E109" s="6">
        <v>1980</v>
      </c>
      <c r="F109" s="18">
        <v>1807.2</v>
      </c>
      <c r="G109" s="18"/>
      <c r="H109" s="18"/>
      <c r="I109" s="18"/>
      <c r="J109" s="24" t="s">
        <v>288</v>
      </c>
      <c r="K109" s="24" t="s">
        <v>288</v>
      </c>
      <c r="L109" s="24" t="s">
        <v>288</v>
      </c>
      <c r="M109" s="8"/>
      <c r="N109" s="265"/>
    </row>
    <row r="110" spans="1:14" s="3" customFormat="1" ht="12.2" customHeight="1" thickBot="1" x14ac:dyDescent="0.2">
      <c r="A110" s="1" t="s">
        <v>510</v>
      </c>
      <c r="B110" s="2" t="s">
        <v>315</v>
      </c>
      <c r="C110" s="6">
        <v>24</v>
      </c>
      <c r="D110" s="2" t="s">
        <v>430</v>
      </c>
      <c r="E110" s="6">
        <v>1990</v>
      </c>
      <c r="F110" s="18">
        <v>77422.39</v>
      </c>
      <c r="G110" s="18"/>
      <c r="H110" s="18"/>
      <c r="I110" s="18"/>
      <c r="J110" s="18"/>
      <c r="K110" s="24" t="s">
        <v>288</v>
      </c>
      <c r="L110" s="24" t="s">
        <v>288</v>
      </c>
      <c r="M110" s="8"/>
      <c r="N110" s="265"/>
    </row>
    <row r="111" spans="1:14" ht="12.2" customHeight="1" thickTop="1" thickBot="1" x14ac:dyDescent="0.25">
      <c r="A111" s="38" t="s">
        <v>433</v>
      </c>
      <c r="B111" s="39" t="s">
        <v>315</v>
      </c>
      <c r="C111" s="40">
        <v>25</v>
      </c>
      <c r="D111" s="39" t="s">
        <v>430</v>
      </c>
      <c r="E111" s="40"/>
      <c r="F111" s="41">
        <f>SUM(F96:F110)</f>
        <v>81308.709999999992</v>
      </c>
      <c r="G111" s="41">
        <f>SUM(G96:G110)</f>
        <v>9305.2900000000009</v>
      </c>
      <c r="H111" s="41">
        <f>SUM(H96:H110)</f>
        <v>0</v>
      </c>
      <c r="I111" s="41">
        <f>SUM(I96:I110)</f>
        <v>0</v>
      </c>
      <c r="J111" s="41">
        <f>SUM(J96:J110)</f>
        <v>1007.85</v>
      </c>
      <c r="K111" s="45" t="s">
        <v>288</v>
      </c>
      <c r="L111" s="45" t="s">
        <v>288</v>
      </c>
      <c r="N111" s="263"/>
    </row>
    <row r="112" spans="1:14" s="3" customFormat="1" ht="12.2" customHeight="1" thickTop="1" x14ac:dyDescent="0.15">
      <c r="A112" s="38" t="s">
        <v>414</v>
      </c>
      <c r="B112" s="39" t="s">
        <v>315</v>
      </c>
      <c r="C112" s="40">
        <v>26</v>
      </c>
      <c r="D112" s="39" t="s">
        <v>430</v>
      </c>
      <c r="E112" s="40">
        <v>1000</v>
      </c>
      <c r="F112" s="41">
        <f>F60+F79+F94+F111</f>
        <v>8572299.4100000001</v>
      </c>
      <c r="G112" s="41">
        <f>G60+G111</f>
        <v>9305.2900000000009</v>
      </c>
      <c r="H112" s="41">
        <f>H60+H79+H94+H111</f>
        <v>0</v>
      </c>
      <c r="I112" s="41">
        <f>I60+I111</f>
        <v>0</v>
      </c>
      <c r="J112" s="41">
        <f>J60+J111</f>
        <v>1007.85</v>
      </c>
      <c r="K112" s="45" t="s">
        <v>288</v>
      </c>
      <c r="L112" s="45" t="s">
        <v>288</v>
      </c>
      <c r="M112" s="8"/>
      <c r="N112" s="265"/>
    </row>
    <row r="113" spans="1:14" s="3" customFormat="1" ht="12.2" customHeight="1" x14ac:dyDescent="0.2">
      <c r="A113"/>
      <c r="B113"/>
      <c r="C113"/>
      <c r="D113"/>
      <c r="E113"/>
      <c r="F113" s="23" t="s">
        <v>273</v>
      </c>
      <c r="G113" s="23" t="s">
        <v>274</v>
      </c>
      <c r="H113" s="23" t="s">
        <v>275</v>
      </c>
      <c r="I113" s="23" t="s">
        <v>276</v>
      </c>
      <c r="J113" s="23" t="s">
        <v>277</v>
      </c>
      <c r="K113" s="20"/>
      <c r="L113" s="20"/>
      <c r="M113" s="8"/>
      <c r="N113" s="265"/>
    </row>
    <row r="114" spans="1:14" s="3" customFormat="1" ht="12.2" customHeight="1" x14ac:dyDescent="0.2">
      <c r="A114" s="29" t="s">
        <v>319</v>
      </c>
      <c r="H114" s="23" t="s">
        <v>282</v>
      </c>
      <c r="K114" s="20"/>
      <c r="L114" s="20"/>
      <c r="M114" s="8"/>
      <c r="N114" s="265"/>
    </row>
    <row r="115" spans="1:14" s="3" customFormat="1" ht="12.2" customHeight="1" x14ac:dyDescent="0.2">
      <c r="A115" s="28" t="s">
        <v>320</v>
      </c>
      <c r="F115" s="16" t="s">
        <v>280</v>
      </c>
      <c r="G115" s="14" t="s">
        <v>281</v>
      </c>
      <c r="H115" s="16" t="s">
        <v>768</v>
      </c>
      <c r="I115" s="16" t="s">
        <v>283</v>
      </c>
      <c r="J115" s="16" t="s">
        <v>284</v>
      </c>
      <c r="K115" s="20"/>
      <c r="L115" s="20"/>
      <c r="M115" s="8"/>
      <c r="N115" s="265"/>
    </row>
    <row r="116" spans="1:14" s="3" customFormat="1" ht="12.2" customHeight="1" x14ac:dyDescent="0.15">
      <c r="A116" s="30" t="s">
        <v>323</v>
      </c>
      <c r="B116" s="7"/>
      <c r="C116" s="7"/>
      <c r="D116" s="7"/>
      <c r="E116" s="7"/>
      <c r="F116" s="24" t="s">
        <v>288</v>
      </c>
      <c r="G116" s="24" t="s">
        <v>288</v>
      </c>
      <c r="H116" s="24" t="s">
        <v>288</v>
      </c>
      <c r="I116" s="24" t="s">
        <v>288</v>
      </c>
      <c r="J116" s="24" t="s">
        <v>288</v>
      </c>
      <c r="K116" s="24" t="s">
        <v>288</v>
      </c>
      <c r="L116" s="24" t="s">
        <v>288</v>
      </c>
      <c r="M116" s="8"/>
      <c r="N116" s="265"/>
    </row>
    <row r="117" spans="1:14" s="3" customFormat="1" ht="12.2" customHeight="1" x14ac:dyDescent="0.15">
      <c r="A117" s="1" t="s">
        <v>833</v>
      </c>
      <c r="B117" s="2" t="s">
        <v>321</v>
      </c>
      <c r="C117" s="6">
        <v>1</v>
      </c>
      <c r="D117" s="2" t="s">
        <v>430</v>
      </c>
      <c r="E117" s="6">
        <v>3111</v>
      </c>
      <c r="F117" s="18">
        <v>1559889.94</v>
      </c>
      <c r="G117" s="24" t="s">
        <v>288</v>
      </c>
      <c r="H117" s="24" t="s">
        <v>288</v>
      </c>
      <c r="I117" s="24" t="s">
        <v>288</v>
      </c>
      <c r="J117" s="24" t="s">
        <v>288</v>
      </c>
      <c r="K117" s="24" t="s">
        <v>288</v>
      </c>
      <c r="L117" s="24" t="s">
        <v>288</v>
      </c>
      <c r="M117" s="8"/>
      <c r="N117" s="265"/>
    </row>
    <row r="118" spans="1:14" s="3" customFormat="1" ht="12.2" customHeight="1" x14ac:dyDescent="0.15">
      <c r="A118" s="1" t="s">
        <v>769</v>
      </c>
      <c r="B118" s="2" t="s">
        <v>321</v>
      </c>
      <c r="C118" s="6">
        <v>2</v>
      </c>
      <c r="D118" s="2" t="s">
        <v>430</v>
      </c>
      <c r="E118" s="6">
        <v>3112</v>
      </c>
      <c r="F118" s="18">
        <v>1001250</v>
      </c>
      <c r="G118" s="24" t="s">
        <v>288</v>
      </c>
      <c r="H118" s="24" t="s">
        <v>288</v>
      </c>
      <c r="I118" s="24" t="s">
        <v>288</v>
      </c>
      <c r="J118" s="24" t="s">
        <v>288</v>
      </c>
      <c r="K118" s="24" t="s">
        <v>288</v>
      </c>
      <c r="L118" s="24" t="s">
        <v>288</v>
      </c>
      <c r="M118" s="8"/>
      <c r="N118" s="265"/>
    </row>
    <row r="119" spans="1:14" s="3" customFormat="1" ht="12.2" customHeight="1" x14ac:dyDescent="0.15">
      <c r="A119" s="3" t="s">
        <v>872</v>
      </c>
      <c r="B119" s="2" t="s">
        <v>321</v>
      </c>
      <c r="C119" s="6">
        <v>3</v>
      </c>
      <c r="D119" s="2" t="s">
        <v>430</v>
      </c>
      <c r="E119" s="6">
        <v>3119</v>
      </c>
      <c r="F119" s="24" t="s">
        <v>288</v>
      </c>
      <c r="G119" s="24" t="s">
        <v>288</v>
      </c>
      <c r="H119" s="24" t="s">
        <v>288</v>
      </c>
      <c r="I119" s="24" t="s">
        <v>288</v>
      </c>
      <c r="J119" s="24" t="s">
        <v>288</v>
      </c>
      <c r="K119" s="24" t="s">
        <v>288</v>
      </c>
      <c r="L119" s="24" t="s">
        <v>288</v>
      </c>
      <c r="M119" s="8"/>
      <c r="N119" s="265"/>
    </row>
    <row r="120" spans="1:14" s="3" customFormat="1" ht="12.2" customHeight="1" thickBot="1" x14ac:dyDescent="0.2">
      <c r="A120" s="3" t="s">
        <v>502</v>
      </c>
      <c r="B120" s="2" t="s">
        <v>321</v>
      </c>
      <c r="C120" s="6">
        <v>4</v>
      </c>
      <c r="D120" s="2" t="s">
        <v>430</v>
      </c>
      <c r="E120" s="6">
        <v>3190</v>
      </c>
      <c r="F120" s="18">
        <v>5985.63</v>
      </c>
      <c r="G120" s="18"/>
      <c r="H120" s="18"/>
      <c r="I120" s="18"/>
      <c r="J120" s="18"/>
      <c r="K120" s="24" t="s">
        <v>288</v>
      </c>
      <c r="L120" s="24" t="s">
        <v>288</v>
      </c>
      <c r="M120" s="8"/>
      <c r="N120" s="265"/>
    </row>
    <row r="121" spans="1:14" s="3" customFormat="1" ht="12.2" customHeight="1" thickTop="1" x14ac:dyDescent="0.15">
      <c r="A121" s="38" t="s">
        <v>648</v>
      </c>
      <c r="B121" s="39" t="s">
        <v>321</v>
      </c>
      <c r="C121" s="40">
        <v>5</v>
      </c>
      <c r="D121" s="39" t="s">
        <v>430</v>
      </c>
      <c r="E121" s="40">
        <v>3100</v>
      </c>
      <c r="F121" s="41">
        <f>SUM(F117:F120)</f>
        <v>2567125.5699999998</v>
      </c>
      <c r="G121" s="41">
        <f>SUM(G117:G120)</f>
        <v>0</v>
      </c>
      <c r="H121" s="41">
        <f>SUM(H117:H120)</f>
        <v>0</v>
      </c>
      <c r="I121" s="41">
        <f>SUM(I117:I120)</f>
        <v>0</v>
      </c>
      <c r="J121" s="41">
        <f>SUM(J117:J120)</f>
        <v>0</v>
      </c>
      <c r="K121" s="45" t="s">
        <v>288</v>
      </c>
      <c r="L121" s="45" t="s">
        <v>288</v>
      </c>
      <c r="M121" s="8"/>
      <c r="N121" s="265"/>
    </row>
    <row r="122" spans="1:14" s="3" customFormat="1" ht="12.2" customHeight="1" x14ac:dyDescent="0.15">
      <c r="A122" s="30" t="s">
        <v>325</v>
      </c>
      <c r="F122" s="24" t="s">
        <v>288</v>
      </c>
      <c r="G122" s="24" t="s">
        <v>288</v>
      </c>
      <c r="H122" s="24" t="s">
        <v>288</v>
      </c>
      <c r="I122" s="24" t="s">
        <v>288</v>
      </c>
      <c r="J122" s="24" t="s">
        <v>288</v>
      </c>
      <c r="K122" s="24" t="s">
        <v>288</v>
      </c>
      <c r="L122" s="24" t="s">
        <v>288</v>
      </c>
      <c r="M122" s="8"/>
      <c r="N122" s="265"/>
    </row>
    <row r="123" spans="1:14" s="3" customFormat="1" ht="12.2" customHeight="1" x14ac:dyDescent="0.15">
      <c r="A123" s="1" t="s">
        <v>496</v>
      </c>
      <c r="B123" s="2" t="s">
        <v>321</v>
      </c>
      <c r="C123" s="6">
        <v>6</v>
      </c>
      <c r="D123" s="2" t="s">
        <v>430</v>
      </c>
      <c r="E123" s="6">
        <v>3210</v>
      </c>
      <c r="F123" s="18"/>
      <c r="G123" s="24" t="s">
        <v>288</v>
      </c>
      <c r="H123" s="24" t="s">
        <v>288</v>
      </c>
      <c r="I123" s="18"/>
      <c r="J123" s="24" t="s">
        <v>288</v>
      </c>
      <c r="K123" s="24" t="s">
        <v>288</v>
      </c>
      <c r="L123" s="24" t="s">
        <v>288</v>
      </c>
      <c r="M123" s="8"/>
      <c r="N123" s="265"/>
    </row>
    <row r="124" spans="1:14" s="3" customFormat="1" ht="12.2" customHeight="1" x14ac:dyDescent="0.15">
      <c r="A124" s="1" t="s">
        <v>497</v>
      </c>
      <c r="B124" s="2" t="s">
        <v>321</v>
      </c>
      <c r="C124" s="6">
        <v>7</v>
      </c>
      <c r="D124" s="2" t="s">
        <v>430</v>
      </c>
      <c r="E124" s="6">
        <v>3215</v>
      </c>
      <c r="F124" s="18"/>
      <c r="G124" s="24" t="s">
        <v>288</v>
      </c>
      <c r="H124" s="24" t="s">
        <v>288</v>
      </c>
      <c r="I124" s="18"/>
      <c r="J124" s="24"/>
      <c r="K124" s="24"/>
      <c r="L124" s="24"/>
      <c r="M124" s="8"/>
      <c r="N124" s="265"/>
    </row>
    <row r="125" spans="1:14" s="3" customFormat="1" ht="12.2" customHeight="1" x14ac:dyDescent="0.15">
      <c r="A125" s="1" t="s">
        <v>903</v>
      </c>
      <c r="B125" s="2" t="s">
        <v>321</v>
      </c>
      <c r="C125" s="6">
        <v>8</v>
      </c>
      <c r="D125" s="2" t="s">
        <v>430</v>
      </c>
      <c r="E125" s="6">
        <v>3220</v>
      </c>
      <c r="F125" s="18"/>
      <c r="G125" s="24" t="s">
        <v>288</v>
      </c>
      <c r="H125" s="24" t="s">
        <v>288</v>
      </c>
      <c r="I125" s="24" t="s">
        <v>288</v>
      </c>
      <c r="J125" s="24" t="s">
        <v>288</v>
      </c>
      <c r="K125" s="24" t="s">
        <v>288</v>
      </c>
      <c r="L125" s="24" t="s">
        <v>288</v>
      </c>
      <c r="M125" s="8"/>
      <c r="N125" s="265"/>
    </row>
    <row r="126" spans="1:14" s="3" customFormat="1" ht="12.2" customHeight="1" x14ac:dyDescent="0.15">
      <c r="A126" s="1" t="s">
        <v>901</v>
      </c>
      <c r="B126" s="2" t="s">
        <v>321</v>
      </c>
      <c r="C126" s="6">
        <v>9</v>
      </c>
      <c r="D126" s="2" t="s">
        <v>430</v>
      </c>
      <c r="E126" s="6">
        <v>3230</v>
      </c>
      <c r="F126" s="18">
        <v>158502.16</v>
      </c>
      <c r="G126" s="24" t="s">
        <v>288</v>
      </c>
      <c r="H126" s="24" t="s">
        <v>288</v>
      </c>
      <c r="I126" s="24" t="s">
        <v>288</v>
      </c>
      <c r="J126" s="24" t="s">
        <v>288</v>
      </c>
      <c r="K126" s="24" t="s">
        <v>288</v>
      </c>
      <c r="L126" s="24" t="s">
        <v>288</v>
      </c>
      <c r="M126" s="8"/>
      <c r="N126" s="265"/>
    </row>
    <row r="127" spans="1:14" s="3" customFormat="1" ht="12.2" customHeight="1" x14ac:dyDescent="0.15">
      <c r="A127" s="1" t="s">
        <v>593</v>
      </c>
      <c r="B127" s="2" t="s">
        <v>321</v>
      </c>
      <c r="C127" s="6">
        <v>10</v>
      </c>
      <c r="D127" s="2" t="s">
        <v>430</v>
      </c>
      <c r="E127" s="6">
        <v>3241</v>
      </c>
      <c r="F127" s="18"/>
      <c r="G127" s="24" t="s">
        <v>288</v>
      </c>
      <c r="H127" s="18"/>
      <c r="I127" s="24" t="s">
        <v>288</v>
      </c>
      <c r="J127" s="24" t="s">
        <v>288</v>
      </c>
      <c r="K127" s="24" t="s">
        <v>288</v>
      </c>
      <c r="L127" s="24" t="s">
        <v>288</v>
      </c>
      <c r="M127" s="8"/>
      <c r="N127" s="265"/>
    </row>
    <row r="128" spans="1:14" s="3" customFormat="1" ht="12.2" customHeight="1" x14ac:dyDescent="0.15">
      <c r="A128" s="1" t="s">
        <v>594</v>
      </c>
      <c r="B128" s="2" t="s">
        <v>321</v>
      </c>
      <c r="C128" s="6">
        <v>11</v>
      </c>
      <c r="D128" s="2" t="s">
        <v>430</v>
      </c>
      <c r="E128" s="6">
        <v>3242</v>
      </c>
      <c r="F128" s="18"/>
      <c r="G128" s="24" t="s">
        <v>288</v>
      </c>
      <c r="H128" s="18"/>
      <c r="I128" s="24" t="s">
        <v>288</v>
      </c>
      <c r="J128" s="24" t="s">
        <v>288</v>
      </c>
      <c r="K128" s="24" t="s">
        <v>288</v>
      </c>
      <c r="L128" s="24" t="s">
        <v>288</v>
      </c>
      <c r="M128" s="8"/>
      <c r="N128" s="265"/>
    </row>
    <row r="129" spans="1:14" s="3" customFormat="1" ht="12.2" customHeight="1" x14ac:dyDescent="0.15">
      <c r="A129" s="1" t="s">
        <v>595</v>
      </c>
      <c r="B129" s="2" t="s">
        <v>321</v>
      </c>
      <c r="C129" s="6">
        <v>12</v>
      </c>
      <c r="D129" s="2" t="s">
        <v>430</v>
      </c>
      <c r="E129" s="6">
        <v>3243</v>
      </c>
      <c r="F129" s="18"/>
      <c r="G129" s="24" t="s">
        <v>288</v>
      </c>
      <c r="H129" s="18"/>
      <c r="I129" s="18"/>
      <c r="J129" s="24" t="s">
        <v>288</v>
      </c>
      <c r="K129" s="24" t="s">
        <v>288</v>
      </c>
      <c r="L129" s="24" t="s">
        <v>288</v>
      </c>
      <c r="M129" s="8"/>
      <c r="N129" s="265"/>
    </row>
    <row r="130" spans="1:14" s="3" customFormat="1" ht="12.2" customHeight="1" x14ac:dyDescent="0.15">
      <c r="A130" s="1" t="s">
        <v>902</v>
      </c>
      <c r="B130" s="2" t="s">
        <v>321</v>
      </c>
      <c r="C130" s="6">
        <v>13</v>
      </c>
      <c r="D130" s="2" t="s">
        <v>430</v>
      </c>
      <c r="E130" s="6">
        <v>3249</v>
      </c>
      <c r="F130" s="18"/>
      <c r="G130" s="24" t="s">
        <v>288</v>
      </c>
      <c r="H130" s="18">
        <v>4777</v>
      </c>
      <c r="I130" s="24" t="s">
        <v>288</v>
      </c>
      <c r="J130" s="24" t="s">
        <v>288</v>
      </c>
      <c r="K130" s="24" t="s">
        <v>288</v>
      </c>
      <c r="L130" s="24" t="s">
        <v>288</v>
      </c>
      <c r="M130" s="8"/>
      <c r="N130" s="265"/>
    </row>
    <row r="131" spans="1:14" s="3" customFormat="1" ht="12.2" customHeight="1" x14ac:dyDescent="0.15">
      <c r="A131" s="1" t="s">
        <v>327</v>
      </c>
      <c r="B131" s="2" t="s">
        <v>321</v>
      </c>
      <c r="C131" s="6">
        <v>14</v>
      </c>
      <c r="D131" s="2" t="s">
        <v>430</v>
      </c>
      <c r="E131" s="6">
        <v>3250</v>
      </c>
      <c r="F131" s="18"/>
      <c r="G131" s="24" t="s">
        <v>288</v>
      </c>
      <c r="H131" s="18"/>
      <c r="I131" s="24" t="s">
        <v>288</v>
      </c>
      <c r="J131" s="24" t="s">
        <v>288</v>
      </c>
      <c r="K131" s="24" t="s">
        <v>288</v>
      </c>
      <c r="L131" s="24" t="s">
        <v>288</v>
      </c>
      <c r="M131" s="8"/>
      <c r="N131" s="265"/>
    </row>
    <row r="132" spans="1:14" s="3" customFormat="1" ht="12.2" customHeight="1" x14ac:dyDescent="0.15">
      <c r="A132" s="1" t="s">
        <v>498</v>
      </c>
      <c r="B132" s="2" t="s">
        <v>321</v>
      </c>
      <c r="C132" s="6">
        <v>15</v>
      </c>
      <c r="D132" s="2" t="s">
        <v>430</v>
      </c>
      <c r="E132" s="6">
        <v>3260</v>
      </c>
      <c r="F132" s="24" t="s">
        <v>288</v>
      </c>
      <c r="G132" s="18">
        <v>1039.53</v>
      </c>
      <c r="H132" s="24" t="s">
        <v>288</v>
      </c>
      <c r="I132" s="24" t="s">
        <v>288</v>
      </c>
      <c r="J132" s="24" t="s">
        <v>288</v>
      </c>
      <c r="K132" s="24" t="s">
        <v>288</v>
      </c>
      <c r="L132" s="24" t="s">
        <v>288</v>
      </c>
      <c r="M132" s="8"/>
      <c r="N132" s="265"/>
    </row>
    <row r="133" spans="1:14" s="3" customFormat="1" ht="12.2" customHeight="1" x14ac:dyDescent="0.15">
      <c r="A133" s="1" t="s">
        <v>499</v>
      </c>
      <c r="B133" s="2" t="s">
        <v>321</v>
      </c>
      <c r="C133" s="6">
        <v>16</v>
      </c>
      <c r="D133" s="2" t="s">
        <v>430</v>
      </c>
      <c r="E133" s="6">
        <v>3270</v>
      </c>
      <c r="F133" s="18"/>
      <c r="G133" s="24" t="s">
        <v>288</v>
      </c>
      <c r="H133" s="18"/>
      <c r="I133" s="24" t="s">
        <v>288</v>
      </c>
      <c r="J133" s="24" t="s">
        <v>288</v>
      </c>
      <c r="K133" s="24" t="s">
        <v>288</v>
      </c>
      <c r="L133" s="24" t="s">
        <v>288</v>
      </c>
      <c r="M133" s="8"/>
      <c r="N133" s="265"/>
    </row>
    <row r="134" spans="1:14" s="3" customFormat="1" ht="12.2" customHeight="1" x14ac:dyDescent="0.15">
      <c r="A134" s="1" t="s">
        <v>500</v>
      </c>
      <c r="B134" s="6">
        <v>4</v>
      </c>
      <c r="C134" s="6">
        <v>17</v>
      </c>
      <c r="D134" s="2"/>
      <c r="E134" s="6">
        <v>3280</v>
      </c>
      <c r="F134" s="24" t="s">
        <v>288</v>
      </c>
      <c r="G134" s="24"/>
      <c r="H134" s="18"/>
      <c r="I134" s="24"/>
      <c r="J134" s="24"/>
      <c r="K134" s="24"/>
      <c r="L134" s="24"/>
      <c r="M134" s="8"/>
      <c r="N134" s="265"/>
    </row>
    <row r="135" spans="1:14" s="3" customFormat="1" ht="12.2" customHeight="1" thickBot="1" x14ac:dyDescent="0.2">
      <c r="A135" s="1" t="s">
        <v>501</v>
      </c>
      <c r="B135" s="2" t="s">
        <v>321</v>
      </c>
      <c r="C135" s="6">
        <v>18</v>
      </c>
      <c r="D135" s="2" t="s">
        <v>430</v>
      </c>
      <c r="E135" s="6">
        <v>3290</v>
      </c>
      <c r="F135" s="18"/>
      <c r="G135" s="18"/>
      <c r="H135" s="18"/>
      <c r="I135" s="18"/>
      <c r="J135" s="18"/>
      <c r="K135" s="24" t="s">
        <v>288</v>
      </c>
      <c r="L135" s="24" t="s">
        <v>288</v>
      </c>
      <c r="M135" s="8"/>
      <c r="N135" s="265"/>
    </row>
    <row r="136" spans="1:14" s="3" customFormat="1" ht="12.2" customHeight="1" thickTop="1" x14ac:dyDescent="0.15">
      <c r="A136" s="38" t="s">
        <v>434</v>
      </c>
      <c r="B136" s="39" t="s">
        <v>321</v>
      </c>
      <c r="C136" s="40">
        <v>19</v>
      </c>
      <c r="D136" s="39" t="s">
        <v>430</v>
      </c>
      <c r="E136" s="40">
        <v>3200</v>
      </c>
      <c r="F136" s="41">
        <f>SUM(F123:F135)</f>
        <v>158502.16</v>
      </c>
      <c r="G136" s="41">
        <f>SUM(G123:G135)</f>
        <v>1039.53</v>
      </c>
      <c r="H136" s="41">
        <f>SUM(H123:H135)</f>
        <v>4777</v>
      </c>
      <c r="I136" s="41">
        <f>SUM(I123:I135)</f>
        <v>0</v>
      </c>
      <c r="J136" s="41">
        <f>SUM(J123:J135)</f>
        <v>0</v>
      </c>
      <c r="K136" s="45" t="s">
        <v>288</v>
      </c>
      <c r="L136" s="45" t="s">
        <v>288</v>
      </c>
      <c r="M136" s="8"/>
      <c r="N136" s="265"/>
    </row>
    <row r="137" spans="1:14" s="3" customFormat="1" ht="12.2" customHeight="1" x14ac:dyDescent="0.15">
      <c r="A137" s="3" t="s">
        <v>322</v>
      </c>
      <c r="B137" s="1" t="s">
        <v>321</v>
      </c>
      <c r="C137" s="6">
        <v>20</v>
      </c>
      <c r="D137" s="2" t="s">
        <v>430</v>
      </c>
      <c r="E137" s="6">
        <v>3700</v>
      </c>
      <c r="F137" s="18"/>
      <c r="G137" s="18"/>
      <c r="H137" s="18"/>
      <c r="I137" s="24" t="s">
        <v>288</v>
      </c>
      <c r="J137" s="24" t="s">
        <v>288</v>
      </c>
      <c r="K137" s="24" t="s">
        <v>288</v>
      </c>
      <c r="L137" s="24" t="s">
        <v>288</v>
      </c>
      <c r="M137" s="8"/>
      <c r="N137" s="265"/>
    </row>
    <row r="138" spans="1:14" s="3" customFormat="1" ht="12.2" customHeight="1" x14ac:dyDescent="0.15">
      <c r="A138" s="1" t="s">
        <v>596</v>
      </c>
      <c r="B138" s="1" t="s">
        <v>321</v>
      </c>
      <c r="C138" s="6">
        <v>21</v>
      </c>
      <c r="D138" s="2" t="s">
        <v>430</v>
      </c>
      <c r="E138" s="6">
        <v>3800</v>
      </c>
      <c r="F138" s="18"/>
      <c r="G138" s="24" t="s">
        <v>288</v>
      </c>
      <c r="H138" s="18"/>
      <c r="I138" s="24" t="s">
        <v>288</v>
      </c>
      <c r="J138" s="24" t="s">
        <v>288</v>
      </c>
      <c r="K138" s="24" t="s">
        <v>288</v>
      </c>
      <c r="L138" s="24" t="s">
        <v>288</v>
      </c>
      <c r="M138" s="8"/>
      <c r="N138" s="265"/>
    </row>
    <row r="139" spans="1:14" s="3" customFormat="1" ht="12.2" customHeight="1" thickBot="1" x14ac:dyDescent="0.2">
      <c r="A139" s="1" t="s">
        <v>597</v>
      </c>
      <c r="B139" s="1" t="s">
        <v>321</v>
      </c>
      <c r="C139" s="6">
        <v>22</v>
      </c>
      <c r="D139" s="2" t="s">
        <v>430</v>
      </c>
      <c r="E139" s="6">
        <v>3900</v>
      </c>
      <c r="F139" s="24" t="s">
        <v>288</v>
      </c>
      <c r="G139" s="24" t="s">
        <v>288</v>
      </c>
      <c r="H139" s="24" t="s">
        <v>288</v>
      </c>
      <c r="I139" s="24" t="s">
        <v>288</v>
      </c>
      <c r="J139" s="24" t="s">
        <v>288</v>
      </c>
      <c r="K139" s="24" t="s">
        <v>288</v>
      </c>
      <c r="L139" s="24" t="s">
        <v>288</v>
      </c>
      <c r="M139" s="8"/>
      <c r="N139" s="265"/>
    </row>
    <row r="140" spans="1:14" s="3" customFormat="1" ht="12.2" customHeight="1" thickTop="1" x14ac:dyDescent="0.15">
      <c r="A140" s="38" t="s">
        <v>415</v>
      </c>
      <c r="B140" s="39" t="s">
        <v>321</v>
      </c>
      <c r="C140" s="40">
        <v>23</v>
      </c>
      <c r="D140" s="39" t="s">
        <v>430</v>
      </c>
      <c r="E140" s="40">
        <v>3000</v>
      </c>
      <c r="F140" s="41">
        <f>F121+SUM(F136:F139)</f>
        <v>2725627.73</v>
      </c>
      <c r="G140" s="41">
        <f>G121+SUM(G136:G137)</f>
        <v>1039.53</v>
      </c>
      <c r="H140" s="41">
        <f>H121+SUM(H136:H139)</f>
        <v>4777</v>
      </c>
      <c r="I140" s="41">
        <f>I121+I136</f>
        <v>0</v>
      </c>
      <c r="J140" s="41">
        <f>J121+J136</f>
        <v>0</v>
      </c>
      <c r="K140" s="45" t="s">
        <v>288</v>
      </c>
      <c r="L140" s="45" t="s">
        <v>288</v>
      </c>
      <c r="M140" s="8"/>
      <c r="N140" s="265"/>
    </row>
    <row r="141" spans="1:14" s="3" customFormat="1" ht="12.2" customHeight="1" x14ac:dyDescent="0.2">
      <c r="A141" s="70"/>
      <c r="B141" s="36"/>
      <c r="C141" s="37"/>
      <c r="D141" s="37"/>
      <c r="E141" s="37"/>
      <c r="F141" s="23" t="s">
        <v>273</v>
      </c>
      <c r="G141" s="23" t="s">
        <v>274</v>
      </c>
      <c r="H141" s="23" t="s">
        <v>275</v>
      </c>
      <c r="I141" s="23" t="s">
        <v>276</v>
      </c>
      <c r="J141" s="23" t="s">
        <v>277</v>
      </c>
      <c r="K141" s="20"/>
      <c r="L141" s="20"/>
      <c r="M141" s="8"/>
      <c r="N141" s="265"/>
    </row>
    <row r="142" spans="1:14" s="3" customFormat="1" ht="12.2" customHeight="1" x14ac:dyDescent="0.2">
      <c r="A142" s="29" t="s">
        <v>319</v>
      </c>
      <c r="F142" s="23"/>
      <c r="G142" s="23"/>
      <c r="H142" s="16" t="s">
        <v>282</v>
      </c>
      <c r="I142" s="23"/>
      <c r="J142" s="23"/>
      <c r="K142" s="20"/>
      <c r="L142" s="20"/>
      <c r="M142" s="8"/>
      <c r="N142" s="265"/>
    </row>
    <row r="143" spans="1:14" s="3" customFormat="1" ht="12.2" customHeight="1" x14ac:dyDescent="0.2">
      <c r="A143" s="28" t="s">
        <v>456</v>
      </c>
      <c r="F143" s="16" t="s">
        <v>280</v>
      </c>
      <c r="G143" s="16" t="s">
        <v>281</v>
      </c>
      <c r="H143" s="223" t="s">
        <v>768</v>
      </c>
      <c r="I143" s="16" t="s">
        <v>283</v>
      </c>
      <c r="J143" s="16" t="s">
        <v>284</v>
      </c>
      <c r="K143" s="20"/>
      <c r="L143" s="20"/>
      <c r="M143" s="8"/>
      <c r="N143" s="265"/>
    </row>
    <row r="144" spans="1:14" s="3" customFormat="1" ht="12.2" customHeight="1" x14ac:dyDescent="0.15">
      <c r="A144" s="30" t="s">
        <v>323</v>
      </c>
      <c r="F144" s="24" t="s">
        <v>288</v>
      </c>
      <c r="G144" s="24" t="s">
        <v>288</v>
      </c>
      <c r="H144" s="24" t="s">
        <v>288</v>
      </c>
      <c r="I144" s="24" t="s">
        <v>288</v>
      </c>
      <c r="J144" s="24" t="s">
        <v>288</v>
      </c>
      <c r="K144" s="24" t="s">
        <v>288</v>
      </c>
      <c r="L144" s="24" t="s">
        <v>288</v>
      </c>
      <c r="M144" s="8"/>
      <c r="N144" s="265"/>
    </row>
    <row r="145" spans="1:14" s="3" customFormat="1" ht="12.2" customHeight="1" x14ac:dyDescent="0.15">
      <c r="A145" s="1" t="s">
        <v>599</v>
      </c>
      <c r="B145" s="2" t="s">
        <v>324</v>
      </c>
      <c r="C145" s="6">
        <v>1</v>
      </c>
      <c r="D145" s="2" t="s">
        <v>430</v>
      </c>
      <c r="E145" s="6">
        <v>4100</v>
      </c>
      <c r="F145" s="18"/>
      <c r="G145" s="18"/>
      <c r="H145" s="18"/>
      <c r="I145" s="18"/>
      <c r="J145" s="24" t="s">
        <v>288</v>
      </c>
      <c r="K145" s="24" t="s">
        <v>288</v>
      </c>
      <c r="L145" s="24" t="s">
        <v>288</v>
      </c>
      <c r="M145" s="8"/>
      <c r="N145" s="265"/>
    </row>
    <row r="146" spans="1:14" s="3" customFormat="1" ht="12.2" customHeight="1" thickBot="1" x14ac:dyDescent="0.2">
      <c r="A146" s="1" t="s">
        <v>598</v>
      </c>
      <c r="B146" s="2" t="s">
        <v>324</v>
      </c>
      <c r="C146" s="6">
        <v>2</v>
      </c>
      <c r="D146" s="2" t="s">
        <v>430</v>
      </c>
      <c r="E146" s="6">
        <v>4200</v>
      </c>
      <c r="F146" s="18"/>
      <c r="G146" s="18"/>
      <c r="H146" s="18"/>
      <c r="I146" s="18"/>
      <c r="J146" s="24" t="s">
        <v>288</v>
      </c>
      <c r="K146" s="24" t="s">
        <v>288</v>
      </c>
      <c r="L146" s="24" t="s">
        <v>288</v>
      </c>
      <c r="M146" s="8"/>
      <c r="N146" s="265"/>
    </row>
    <row r="147" spans="1:14" s="3" customFormat="1" ht="12.2" customHeight="1" thickTop="1" x14ac:dyDescent="0.15">
      <c r="A147" s="38" t="s">
        <v>435</v>
      </c>
      <c r="B147" s="39" t="s">
        <v>324</v>
      </c>
      <c r="C147" s="40">
        <v>3</v>
      </c>
      <c r="D147" s="39" t="s">
        <v>430</v>
      </c>
      <c r="E147" s="40"/>
      <c r="F147" s="41">
        <f>SUM(F145:F146)</f>
        <v>0</v>
      </c>
      <c r="G147" s="41">
        <f>SUM(G145:G146)</f>
        <v>0</v>
      </c>
      <c r="H147" s="41">
        <f>SUM(H145:H146)</f>
        <v>0</v>
      </c>
      <c r="I147" s="41">
        <f>SUM(I145:I146)</f>
        <v>0</v>
      </c>
      <c r="J147" s="45" t="s">
        <v>288</v>
      </c>
      <c r="K147" s="45" t="s">
        <v>288</v>
      </c>
      <c r="L147" s="45" t="s">
        <v>288</v>
      </c>
      <c r="M147" s="8"/>
      <c r="N147" s="265"/>
    </row>
    <row r="148" spans="1:14" s="3" customFormat="1" ht="12.2" customHeight="1" x14ac:dyDescent="0.15">
      <c r="A148" s="30" t="s">
        <v>325</v>
      </c>
      <c r="B148" s="2"/>
      <c r="C148" s="2"/>
      <c r="D148" s="2"/>
      <c r="E148" s="2"/>
      <c r="F148" s="24" t="s">
        <v>288</v>
      </c>
      <c r="G148" s="24" t="s">
        <v>288</v>
      </c>
      <c r="H148" s="24" t="s">
        <v>288</v>
      </c>
      <c r="I148" s="24" t="s">
        <v>288</v>
      </c>
      <c r="J148" s="24" t="s">
        <v>288</v>
      </c>
      <c r="K148" s="24" t="s">
        <v>288</v>
      </c>
      <c r="L148" s="24" t="s">
        <v>288</v>
      </c>
      <c r="M148" s="8"/>
      <c r="N148" s="265"/>
    </row>
    <row r="149" spans="1:14" s="3" customFormat="1" ht="12.2" customHeight="1" x14ac:dyDescent="0.15">
      <c r="A149" s="1" t="s">
        <v>600</v>
      </c>
      <c r="C149" s="1" t="s">
        <v>326</v>
      </c>
      <c r="D149" s="1"/>
      <c r="E149" s="6">
        <v>4300</v>
      </c>
      <c r="F149" s="24" t="s">
        <v>288</v>
      </c>
      <c r="G149" s="24" t="s">
        <v>288</v>
      </c>
      <c r="H149" s="24" t="s">
        <v>288</v>
      </c>
      <c r="I149" s="24" t="s">
        <v>288</v>
      </c>
      <c r="J149" s="24" t="s">
        <v>288</v>
      </c>
      <c r="K149" s="24" t="s">
        <v>288</v>
      </c>
      <c r="L149" s="24" t="s">
        <v>288</v>
      </c>
      <c r="M149" s="8"/>
      <c r="N149" s="265"/>
    </row>
    <row r="150" spans="1:14" s="3" customFormat="1" ht="12.2" customHeight="1" x14ac:dyDescent="0.15">
      <c r="A150" s="3" t="s">
        <v>649</v>
      </c>
      <c r="B150" s="2" t="s">
        <v>324</v>
      </c>
      <c r="C150" s="6">
        <v>4</v>
      </c>
      <c r="D150" s="2" t="s">
        <v>430</v>
      </c>
      <c r="E150" s="6">
        <v>4310</v>
      </c>
      <c r="F150" s="18"/>
      <c r="G150" s="24" t="s">
        <v>288</v>
      </c>
      <c r="H150" s="18">
        <f>14043.75</f>
        <v>14043.75</v>
      </c>
      <c r="I150" s="18"/>
      <c r="J150" s="24" t="s">
        <v>288</v>
      </c>
      <c r="K150" s="24" t="s">
        <v>288</v>
      </c>
      <c r="L150" s="24" t="s">
        <v>288</v>
      </c>
      <c r="M150" s="8"/>
      <c r="N150" s="265"/>
    </row>
    <row r="151" spans="1:14" s="3" customFormat="1" ht="12.2" customHeight="1" x14ac:dyDescent="0.15">
      <c r="A151" s="1" t="s">
        <v>485</v>
      </c>
      <c r="B151" s="2" t="s">
        <v>324</v>
      </c>
      <c r="C151" s="6">
        <v>5</v>
      </c>
      <c r="D151" s="2" t="s">
        <v>430</v>
      </c>
      <c r="E151" s="6">
        <v>4330</v>
      </c>
      <c r="F151" s="18"/>
      <c r="G151" s="24" t="s">
        <v>288</v>
      </c>
      <c r="H151" s="18"/>
      <c r="I151" s="18"/>
      <c r="J151" s="24" t="s">
        <v>288</v>
      </c>
      <c r="K151" s="24" t="s">
        <v>288</v>
      </c>
      <c r="L151" s="24" t="s">
        <v>288</v>
      </c>
      <c r="M151" s="8"/>
      <c r="N151" s="265"/>
    </row>
    <row r="152" spans="1:14" s="3" customFormat="1" ht="12.2" customHeight="1" x14ac:dyDescent="0.15">
      <c r="A152" s="1" t="s">
        <v>486</v>
      </c>
      <c r="B152" s="2" t="s">
        <v>324</v>
      </c>
      <c r="C152" s="6">
        <v>6</v>
      </c>
      <c r="D152" s="2" t="s">
        <v>430</v>
      </c>
      <c r="E152" s="6">
        <v>4350</v>
      </c>
      <c r="F152" s="18"/>
      <c r="G152" s="24" t="s">
        <v>288</v>
      </c>
      <c r="H152" s="18"/>
      <c r="I152" s="18"/>
      <c r="J152" s="24" t="s">
        <v>288</v>
      </c>
      <c r="K152" s="24" t="s">
        <v>288</v>
      </c>
      <c r="L152" s="24" t="s">
        <v>288</v>
      </c>
      <c r="M152" s="8"/>
      <c r="N152" s="265"/>
    </row>
    <row r="153" spans="1:14" s="3" customFormat="1" ht="12.2" customHeight="1" x14ac:dyDescent="0.15">
      <c r="A153" s="1" t="s">
        <v>487</v>
      </c>
      <c r="B153" s="2"/>
      <c r="C153" s="6"/>
      <c r="D153" s="6"/>
      <c r="E153" s="6">
        <v>4500</v>
      </c>
      <c r="F153" s="24" t="s">
        <v>288</v>
      </c>
      <c r="G153" s="24" t="s">
        <v>288</v>
      </c>
      <c r="H153" s="24" t="s">
        <v>288</v>
      </c>
      <c r="I153" s="24" t="s">
        <v>288</v>
      </c>
      <c r="J153" s="24" t="s">
        <v>288</v>
      </c>
      <c r="K153" s="24" t="s">
        <v>288</v>
      </c>
      <c r="L153" s="24" t="s">
        <v>288</v>
      </c>
      <c r="M153" s="8"/>
      <c r="N153" s="265"/>
    </row>
    <row r="154" spans="1:14" s="3" customFormat="1" ht="12.2" customHeight="1" x14ac:dyDescent="0.15">
      <c r="A154" s="1" t="s">
        <v>646</v>
      </c>
      <c r="B154" s="2" t="s">
        <v>324</v>
      </c>
      <c r="C154" s="6">
        <v>7</v>
      </c>
      <c r="D154" s="2" t="s">
        <v>430</v>
      </c>
      <c r="E154" s="6">
        <v>4520</v>
      </c>
      <c r="F154" s="24" t="s">
        <v>288</v>
      </c>
      <c r="G154" s="24" t="s">
        <v>288</v>
      </c>
      <c r="H154" s="18">
        <f>12029.87+37160.89</f>
        <v>49190.76</v>
      </c>
      <c r="I154" s="24" t="s">
        <v>288</v>
      </c>
      <c r="J154" s="24" t="s">
        <v>288</v>
      </c>
      <c r="K154" s="24" t="s">
        <v>288</v>
      </c>
      <c r="L154" s="24" t="s">
        <v>288</v>
      </c>
      <c r="M154" s="8"/>
      <c r="N154" s="265"/>
    </row>
    <row r="155" spans="1:14" s="3" customFormat="1" ht="12.2" customHeight="1" x14ac:dyDescent="0.15">
      <c r="A155" s="1" t="s">
        <v>647</v>
      </c>
      <c r="B155" s="2" t="s">
        <v>324</v>
      </c>
      <c r="C155" s="6">
        <v>8</v>
      </c>
      <c r="D155" s="2" t="s">
        <v>430</v>
      </c>
      <c r="E155" s="6">
        <v>4530</v>
      </c>
      <c r="F155" s="24" t="s">
        <v>288</v>
      </c>
      <c r="G155" s="24" t="s">
        <v>288</v>
      </c>
      <c r="H155" s="18">
        <f>6284.35+2484.19</f>
        <v>8768.5400000000009</v>
      </c>
      <c r="I155" s="24" t="s">
        <v>288</v>
      </c>
      <c r="J155" s="24" t="s">
        <v>288</v>
      </c>
      <c r="K155" s="24" t="s">
        <v>288</v>
      </c>
      <c r="L155" s="24" t="s">
        <v>288</v>
      </c>
      <c r="M155" s="8"/>
      <c r="N155" s="265"/>
    </row>
    <row r="156" spans="1:14" s="3" customFormat="1" ht="12.2" customHeight="1" x14ac:dyDescent="0.15">
      <c r="A156" s="1" t="s">
        <v>488</v>
      </c>
      <c r="B156" s="2" t="s">
        <v>324</v>
      </c>
      <c r="C156" s="6">
        <v>9</v>
      </c>
      <c r="D156" s="2" t="s">
        <v>430</v>
      </c>
      <c r="E156" s="6">
        <v>4540</v>
      </c>
      <c r="F156" s="24" t="s">
        <v>288</v>
      </c>
      <c r="G156" s="24" t="s">
        <v>288</v>
      </c>
      <c r="H156" s="18"/>
      <c r="I156" s="24" t="s">
        <v>288</v>
      </c>
      <c r="J156" s="24" t="s">
        <v>288</v>
      </c>
      <c r="K156" s="24" t="s">
        <v>288</v>
      </c>
      <c r="L156" s="24" t="s">
        <v>288</v>
      </c>
      <c r="M156" s="8"/>
      <c r="N156" s="265"/>
    </row>
    <row r="157" spans="1:14" s="3" customFormat="1" ht="12.2" customHeight="1" x14ac:dyDescent="0.15">
      <c r="A157" s="1" t="s">
        <v>489</v>
      </c>
      <c r="B157" s="2" t="s">
        <v>324</v>
      </c>
      <c r="C157" s="6">
        <v>10</v>
      </c>
      <c r="D157" s="2" t="s">
        <v>430</v>
      </c>
      <c r="E157" s="6">
        <v>4550</v>
      </c>
      <c r="F157" s="18"/>
      <c r="G157" s="24" t="s">
        <v>288</v>
      </c>
      <c r="H157" s="18"/>
      <c r="I157" s="24" t="s">
        <v>288</v>
      </c>
      <c r="J157" s="24" t="s">
        <v>288</v>
      </c>
      <c r="K157" s="24" t="s">
        <v>288</v>
      </c>
      <c r="L157" s="24" t="s">
        <v>288</v>
      </c>
      <c r="M157" s="8"/>
      <c r="N157" s="265"/>
    </row>
    <row r="158" spans="1:14" s="3" customFormat="1" ht="12.2" customHeight="1" x14ac:dyDescent="0.15">
      <c r="A158" s="1" t="s">
        <v>490</v>
      </c>
      <c r="B158" s="2" t="s">
        <v>324</v>
      </c>
      <c r="C158" s="6">
        <v>11</v>
      </c>
      <c r="D158" s="2" t="s">
        <v>430</v>
      </c>
      <c r="E158" s="6">
        <v>4560</v>
      </c>
      <c r="F158" s="24" t="s">
        <v>288</v>
      </c>
      <c r="G158" s="18">
        <v>277440.63</v>
      </c>
      <c r="H158" s="24" t="s">
        <v>288</v>
      </c>
      <c r="I158" s="24" t="s">
        <v>288</v>
      </c>
      <c r="J158" s="24" t="s">
        <v>288</v>
      </c>
      <c r="K158" s="24" t="s">
        <v>288</v>
      </c>
      <c r="L158" s="24" t="s">
        <v>288</v>
      </c>
      <c r="M158" s="8"/>
      <c r="N158" s="265"/>
    </row>
    <row r="159" spans="1:14" s="3" customFormat="1" ht="12.2" customHeight="1" x14ac:dyDescent="0.15">
      <c r="A159" s="1" t="s">
        <v>486</v>
      </c>
      <c r="B159" s="2" t="s">
        <v>324</v>
      </c>
      <c r="C159" s="6">
        <v>12</v>
      </c>
      <c r="D159" s="2" t="s">
        <v>430</v>
      </c>
      <c r="E159" s="6">
        <v>4570</v>
      </c>
      <c r="F159" s="24" t="s">
        <v>288</v>
      </c>
      <c r="G159" s="24" t="s">
        <v>288</v>
      </c>
      <c r="H159" s="18">
        <f>1572.07+18770.2+83107.85+14378.74+5904.51+5196.34</f>
        <v>128929.71</v>
      </c>
      <c r="I159" s="24" t="s">
        <v>288</v>
      </c>
      <c r="J159" s="24" t="s">
        <v>288</v>
      </c>
      <c r="K159" s="24" t="s">
        <v>288</v>
      </c>
      <c r="L159" s="24" t="s">
        <v>288</v>
      </c>
      <c r="M159" s="8"/>
      <c r="N159" s="265"/>
    </row>
    <row r="160" spans="1:14" s="3" customFormat="1" ht="12.2" customHeight="1" x14ac:dyDescent="0.15">
      <c r="A160" s="1" t="s">
        <v>491</v>
      </c>
      <c r="B160" s="2" t="s">
        <v>324</v>
      </c>
      <c r="C160" s="6">
        <v>13</v>
      </c>
      <c r="D160" s="2" t="s">
        <v>430</v>
      </c>
      <c r="E160" s="6">
        <v>4580</v>
      </c>
      <c r="F160" s="18">
        <v>2913.13</v>
      </c>
      <c r="G160" s="24" t="s">
        <v>288</v>
      </c>
      <c r="H160" s="18"/>
      <c r="I160" s="24" t="s">
        <v>288</v>
      </c>
      <c r="J160" s="24" t="s">
        <v>288</v>
      </c>
      <c r="K160" s="24" t="s">
        <v>288</v>
      </c>
      <c r="L160" s="24" t="s">
        <v>288</v>
      </c>
      <c r="M160" s="8"/>
      <c r="N160" s="265"/>
    </row>
    <row r="161" spans="1:14" s="3" customFormat="1" ht="12.2" customHeight="1" x14ac:dyDescent="0.15">
      <c r="A161" s="1" t="s">
        <v>492</v>
      </c>
      <c r="B161" s="2" t="s">
        <v>324</v>
      </c>
      <c r="C161" s="6">
        <v>14</v>
      </c>
      <c r="D161" s="2" t="s">
        <v>430</v>
      </c>
      <c r="E161" s="6">
        <v>4590</v>
      </c>
      <c r="F161" s="18"/>
      <c r="G161" s="18"/>
      <c r="H161" s="18"/>
      <c r="I161" s="18"/>
      <c r="J161" s="24" t="s">
        <v>288</v>
      </c>
      <c r="K161" s="24" t="s">
        <v>288</v>
      </c>
      <c r="L161" s="24" t="s">
        <v>288</v>
      </c>
      <c r="M161" s="8"/>
      <c r="N161" s="265"/>
    </row>
    <row r="162" spans="1:14" s="3" customFormat="1" ht="12.2" customHeight="1" thickBot="1" x14ac:dyDescent="0.2">
      <c r="A162" s="322" t="s">
        <v>1596</v>
      </c>
      <c r="B162" s="320">
        <v>5</v>
      </c>
      <c r="C162" s="320">
        <v>15</v>
      </c>
      <c r="D162" s="321"/>
      <c r="E162" s="320">
        <v>4595</v>
      </c>
      <c r="F162" s="18"/>
      <c r="G162" s="18"/>
      <c r="H162" s="18">
        <f>11799.36+49544.03+74337.74</f>
        <v>135681.13</v>
      </c>
      <c r="I162" s="24" t="s">
        <v>288</v>
      </c>
      <c r="J162" s="24"/>
      <c r="K162" s="24"/>
      <c r="L162" s="24"/>
      <c r="M162" s="8"/>
      <c r="N162" s="265"/>
    </row>
    <row r="163" spans="1:14" s="3" customFormat="1" ht="12.2" customHeight="1" thickTop="1" x14ac:dyDescent="0.15">
      <c r="A163" s="38" t="s">
        <v>436</v>
      </c>
      <c r="B163" s="39" t="s">
        <v>324</v>
      </c>
      <c r="C163" s="40">
        <v>16</v>
      </c>
      <c r="D163" s="39" t="s">
        <v>430</v>
      </c>
      <c r="E163" s="40"/>
      <c r="F163" s="41">
        <f>SUM(F150:F162)</f>
        <v>2913.13</v>
      </c>
      <c r="G163" s="41">
        <f>SUM(G150:G162)</f>
        <v>277440.63</v>
      </c>
      <c r="H163" s="41">
        <f>SUM(H150:H162)</f>
        <v>336613.89</v>
      </c>
      <c r="I163" s="41">
        <f>SUM(I150:I162)</f>
        <v>0</v>
      </c>
      <c r="J163" s="45" t="s">
        <v>288</v>
      </c>
      <c r="K163" s="45" t="s">
        <v>288</v>
      </c>
      <c r="L163" s="45" t="s">
        <v>288</v>
      </c>
      <c r="M163" s="8"/>
      <c r="N163" s="265"/>
    </row>
    <row r="164" spans="1:14" s="3" customFormat="1" ht="12.2" customHeight="1" x14ac:dyDescent="0.15">
      <c r="A164" s="3" t="s">
        <v>679</v>
      </c>
      <c r="B164" s="2" t="s">
        <v>324</v>
      </c>
      <c r="C164" s="6">
        <v>17</v>
      </c>
      <c r="D164" s="2" t="s">
        <v>430</v>
      </c>
      <c r="E164" s="6">
        <v>4700</v>
      </c>
      <c r="F164" s="18"/>
      <c r="G164" s="18"/>
      <c r="H164" s="18"/>
      <c r="I164" s="18"/>
      <c r="J164" s="24" t="s">
        <v>288</v>
      </c>
      <c r="K164" s="24" t="s">
        <v>288</v>
      </c>
      <c r="L164" s="24" t="s">
        <v>288</v>
      </c>
      <c r="M164" s="8"/>
      <c r="N164" s="265"/>
    </row>
    <row r="165" spans="1:14" s="3" customFormat="1" ht="12.2" customHeight="1" x14ac:dyDescent="0.15">
      <c r="A165" s="30" t="s">
        <v>328</v>
      </c>
      <c r="E165" s="6"/>
      <c r="F165" s="24" t="s">
        <v>288</v>
      </c>
      <c r="G165" s="24" t="s">
        <v>288</v>
      </c>
      <c r="H165" s="24" t="s">
        <v>288</v>
      </c>
      <c r="I165" s="24" t="s">
        <v>288</v>
      </c>
      <c r="J165" s="24" t="s">
        <v>288</v>
      </c>
      <c r="K165" s="24" t="s">
        <v>288</v>
      </c>
      <c r="L165" s="24" t="s">
        <v>288</v>
      </c>
      <c r="M165" s="8"/>
      <c r="N165" s="265"/>
    </row>
    <row r="166" spans="1:14" s="3" customFormat="1" ht="12.2" customHeight="1" x14ac:dyDescent="0.15">
      <c r="A166" s="1" t="s">
        <v>493</v>
      </c>
      <c r="B166" s="2" t="s">
        <v>324</v>
      </c>
      <c r="C166" s="6">
        <v>18</v>
      </c>
      <c r="D166" s="2" t="s">
        <v>430</v>
      </c>
      <c r="E166" s="6">
        <v>4810</v>
      </c>
      <c r="F166" s="18"/>
      <c r="G166" s="24" t="s">
        <v>288</v>
      </c>
      <c r="H166" s="24" t="s">
        <v>288</v>
      </c>
      <c r="I166" s="24" t="s">
        <v>288</v>
      </c>
      <c r="J166" s="24" t="s">
        <v>288</v>
      </c>
      <c r="K166" s="24" t="s">
        <v>288</v>
      </c>
      <c r="L166" s="24" t="s">
        <v>288</v>
      </c>
      <c r="M166" s="8"/>
      <c r="N166" s="265"/>
    </row>
    <row r="167" spans="1:14" s="3" customFormat="1" ht="12.2" customHeight="1" x14ac:dyDescent="0.15">
      <c r="A167" s="1" t="s">
        <v>494</v>
      </c>
      <c r="B167" s="2" t="s">
        <v>324</v>
      </c>
      <c r="C167" s="6">
        <v>19</v>
      </c>
      <c r="D167" s="2" t="s">
        <v>430</v>
      </c>
      <c r="E167" s="6">
        <v>4890</v>
      </c>
      <c r="F167" s="18"/>
      <c r="G167" s="24" t="s">
        <v>288</v>
      </c>
      <c r="H167" s="24" t="s">
        <v>288</v>
      </c>
      <c r="I167" s="24" t="s">
        <v>288</v>
      </c>
      <c r="J167" s="24" t="s">
        <v>288</v>
      </c>
      <c r="K167" s="24" t="s">
        <v>288</v>
      </c>
      <c r="L167" s="24" t="s">
        <v>288</v>
      </c>
      <c r="M167" s="8"/>
      <c r="N167" s="265"/>
    </row>
    <row r="168" spans="1:14" s="3" customFormat="1" ht="12.2" customHeight="1" x14ac:dyDescent="0.15">
      <c r="A168" s="30" t="s">
        <v>682</v>
      </c>
      <c r="B168" s="2"/>
      <c r="C168" s="6"/>
      <c r="D168" s="2"/>
      <c r="E168" s="6"/>
      <c r="F168" s="24" t="s">
        <v>288</v>
      </c>
      <c r="G168" s="24" t="s">
        <v>288</v>
      </c>
      <c r="H168" s="24" t="s">
        <v>288</v>
      </c>
      <c r="I168" s="24" t="s">
        <v>288</v>
      </c>
      <c r="J168" s="24" t="s">
        <v>288</v>
      </c>
      <c r="K168" s="24" t="s">
        <v>288</v>
      </c>
      <c r="L168" s="24" t="s">
        <v>288</v>
      </c>
      <c r="M168" s="8"/>
      <c r="N168" s="265"/>
    </row>
    <row r="169" spans="1:14" s="3" customFormat="1" ht="12.2" customHeight="1" thickBot="1" x14ac:dyDescent="0.2">
      <c r="A169" s="1" t="s">
        <v>495</v>
      </c>
      <c r="B169" s="2" t="s">
        <v>324</v>
      </c>
      <c r="C169" s="6">
        <v>20</v>
      </c>
      <c r="D169" s="2" t="s">
        <v>430</v>
      </c>
      <c r="E169" s="6">
        <v>4900</v>
      </c>
      <c r="F169" s="18"/>
      <c r="G169" s="18"/>
      <c r="H169" s="18"/>
      <c r="I169" s="24" t="s">
        <v>288</v>
      </c>
      <c r="J169" s="24" t="s">
        <v>288</v>
      </c>
      <c r="K169" s="24" t="s">
        <v>288</v>
      </c>
      <c r="L169" s="24" t="s">
        <v>288</v>
      </c>
      <c r="M169" s="8"/>
      <c r="N169" s="265"/>
    </row>
    <row r="170" spans="1:14" s="3" customFormat="1" ht="12.2" customHeight="1" thickTop="1" x14ac:dyDescent="0.15">
      <c r="A170" s="38" t="s">
        <v>458</v>
      </c>
      <c r="B170" s="39" t="s">
        <v>324</v>
      </c>
      <c r="C170" s="40">
        <v>21</v>
      </c>
      <c r="D170" s="39" t="s">
        <v>430</v>
      </c>
      <c r="E170" s="44">
        <v>4000</v>
      </c>
      <c r="F170" s="41">
        <f>F147+F163+SUM(F164:F169)</f>
        <v>2913.13</v>
      </c>
      <c r="G170" s="41">
        <f>G147+G163+SUM(G164:G169)</f>
        <v>277440.63</v>
      </c>
      <c r="H170" s="41">
        <f>H147+H163+SUM(H164:H169)</f>
        <v>336613.89</v>
      </c>
      <c r="I170" s="41">
        <f>I147+I163+SUM(I164:I169)</f>
        <v>0</v>
      </c>
      <c r="J170" s="45" t="s">
        <v>288</v>
      </c>
      <c r="K170" s="45" t="s">
        <v>288</v>
      </c>
      <c r="L170" s="45" t="s">
        <v>288</v>
      </c>
      <c r="M170" s="8"/>
      <c r="N170" s="265"/>
    </row>
    <row r="171" spans="1:14" s="3" customFormat="1" ht="12.2" customHeight="1" x14ac:dyDescent="0.2">
      <c r="A171" s="70"/>
      <c r="B171" s="36"/>
      <c r="C171" s="75"/>
      <c r="D171" s="75"/>
      <c r="E171" s="75"/>
      <c r="F171" s="23" t="s">
        <v>273</v>
      </c>
      <c r="G171" s="23" t="s">
        <v>274</v>
      </c>
      <c r="H171" s="23" t="s">
        <v>275</v>
      </c>
      <c r="I171" s="23" t="s">
        <v>276</v>
      </c>
      <c r="J171" s="23" t="s">
        <v>277</v>
      </c>
      <c r="K171" s="20"/>
      <c r="L171" s="20"/>
      <c r="M171" s="8"/>
      <c r="N171" s="265"/>
    </row>
    <row r="172" spans="1:14" s="3" customFormat="1" ht="12.2" customHeight="1" x14ac:dyDescent="0.2">
      <c r="A172" s="29" t="s">
        <v>680</v>
      </c>
      <c r="F172" s="23"/>
      <c r="G172" s="23"/>
      <c r="H172" s="16" t="s">
        <v>282</v>
      </c>
      <c r="I172" s="23"/>
      <c r="J172" s="23"/>
      <c r="K172" s="20"/>
      <c r="L172" s="20"/>
      <c r="M172" s="8"/>
      <c r="N172" s="265"/>
    </row>
    <row r="173" spans="1:14" s="3" customFormat="1" ht="12.2" customHeight="1" x14ac:dyDescent="0.2">
      <c r="A173" s="27" t="s">
        <v>329</v>
      </c>
      <c r="B173" s="7"/>
      <c r="C173" s="7"/>
      <c r="D173" s="7"/>
      <c r="E173" s="7"/>
      <c r="F173" s="16" t="s">
        <v>280</v>
      </c>
      <c r="G173" s="16" t="s">
        <v>281</v>
      </c>
      <c r="H173" s="223" t="s">
        <v>768</v>
      </c>
      <c r="I173" s="16" t="s">
        <v>283</v>
      </c>
      <c r="J173" s="16" t="s">
        <v>284</v>
      </c>
      <c r="K173" s="20"/>
      <c r="L173" s="20"/>
      <c r="M173" s="8"/>
      <c r="N173" s="265"/>
    </row>
    <row r="174" spans="1:14" s="3" customFormat="1" ht="12.2" customHeight="1" x14ac:dyDescent="0.15">
      <c r="A174" s="1" t="s">
        <v>520</v>
      </c>
      <c r="B174" s="2" t="s">
        <v>330</v>
      </c>
      <c r="C174" s="6">
        <v>1</v>
      </c>
      <c r="D174" s="2" t="s">
        <v>430</v>
      </c>
      <c r="E174" s="6">
        <v>5110</v>
      </c>
      <c r="F174" s="18"/>
      <c r="G174" s="24" t="s">
        <v>288</v>
      </c>
      <c r="H174" s="24" t="s">
        <v>288</v>
      </c>
      <c r="I174" s="18"/>
      <c r="J174" s="24" t="s">
        <v>288</v>
      </c>
      <c r="K174" s="24" t="s">
        <v>288</v>
      </c>
      <c r="L174" s="24" t="s">
        <v>288</v>
      </c>
      <c r="M174" s="8"/>
      <c r="N174" s="265"/>
    </row>
    <row r="175" spans="1:14" s="3" customFormat="1" ht="12.2" customHeight="1" x14ac:dyDescent="0.15">
      <c r="A175" s="1" t="s">
        <v>521</v>
      </c>
      <c r="B175" s="6">
        <v>6</v>
      </c>
      <c r="C175" s="6">
        <v>2</v>
      </c>
      <c r="D175" s="2" t="s">
        <v>430</v>
      </c>
      <c r="E175" s="6">
        <v>5120</v>
      </c>
      <c r="F175" s="18"/>
      <c r="G175" s="24" t="s">
        <v>288</v>
      </c>
      <c r="H175" s="24" t="s">
        <v>288</v>
      </c>
      <c r="I175" s="18"/>
      <c r="J175" s="24" t="s">
        <v>288</v>
      </c>
      <c r="K175" s="24" t="s">
        <v>288</v>
      </c>
      <c r="L175" s="24" t="s">
        <v>288</v>
      </c>
      <c r="M175" s="8"/>
      <c r="N175" s="265"/>
    </row>
    <row r="176" spans="1:14" s="3" customFormat="1" ht="12.2" customHeight="1" x14ac:dyDescent="0.15">
      <c r="A176" s="1" t="s">
        <v>523</v>
      </c>
      <c r="B176" s="2" t="s">
        <v>330</v>
      </c>
      <c r="C176" s="6">
        <v>3</v>
      </c>
      <c r="D176" s="2" t="s">
        <v>430</v>
      </c>
      <c r="E176" s="6">
        <v>5130</v>
      </c>
      <c r="F176" s="18"/>
      <c r="G176" s="24" t="s">
        <v>288</v>
      </c>
      <c r="H176" s="24" t="s">
        <v>288</v>
      </c>
      <c r="I176" s="18"/>
      <c r="J176" s="24" t="s">
        <v>288</v>
      </c>
      <c r="K176" s="24" t="s">
        <v>288</v>
      </c>
      <c r="L176" s="24" t="s">
        <v>288</v>
      </c>
      <c r="M176" s="8"/>
      <c r="N176" s="265"/>
    </row>
    <row r="177" spans="1:14" s="3" customFormat="1" ht="12.2" customHeight="1" thickBot="1" x14ac:dyDescent="0.2">
      <c r="A177" s="1" t="s">
        <v>522</v>
      </c>
      <c r="B177" s="2" t="s">
        <v>330</v>
      </c>
      <c r="C177" s="6">
        <v>4</v>
      </c>
      <c r="D177" s="2" t="s">
        <v>430</v>
      </c>
      <c r="E177" s="6">
        <v>5140</v>
      </c>
      <c r="F177" s="18"/>
      <c r="G177" s="24" t="s">
        <v>288</v>
      </c>
      <c r="H177" s="24" t="s">
        <v>288</v>
      </c>
      <c r="I177" s="18"/>
      <c r="J177" s="24" t="s">
        <v>288</v>
      </c>
      <c r="K177" s="24" t="s">
        <v>288</v>
      </c>
      <c r="L177" s="24" t="s">
        <v>288</v>
      </c>
      <c r="M177" s="8"/>
      <c r="N177" s="265"/>
    </row>
    <row r="178" spans="1:14" s="3" customFormat="1" ht="12.2" customHeight="1" thickTop="1" x14ac:dyDescent="0.15">
      <c r="A178" s="38" t="s">
        <v>437</v>
      </c>
      <c r="B178" s="39" t="s">
        <v>330</v>
      </c>
      <c r="C178" s="44">
        <v>5</v>
      </c>
      <c r="D178" s="39" t="s">
        <v>430</v>
      </c>
      <c r="E178" s="44">
        <v>5100</v>
      </c>
      <c r="F178" s="41">
        <f>SUM(F174:F177)</f>
        <v>0</v>
      </c>
      <c r="G178" s="41" t="s">
        <v>288</v>
      </c>
      <c r="H178" s="41" t="s">
        <v>288</v>
      </c>
      <c r="I178" s="41">
        <f>SUM(I174:I177)</f>
        <v>0</v>
      </c>
      <c r="J178" s="45" t="s">
        <v>288</v>
      </c>
      <c r="K178" s="45" t="s">
        <v>288</v>
      </c>
      <c r="L178" s="45" t="s">
        <v>288</v>
      </c>
      <c r="M178" s="8"/>
      <c r="N178" s="265"/>
    </row>
    <row r="179" spans="1:14" s="3" customFormat="1" ht="12.2" customHeight="1" x14ac:dyDescent="0.15">
      <c r="A179" s="30" t="s">
        <v>331</v>
      </c>
      <c r="B179" s="2"/>
      <c r="C179" s="2"/>
      <c r="D179" s="2"/>
      <c r="E179" s="2"/>
      <c r="F179" s="24" t="s">
        <v>288</v>
      </c>
      <c r="G179" s="24" t="s">
        <v>288</v>
      </c>
      <c r="H179" s="24" t="s">
        <v>288</v>
      </c>
      <c r="I179" s="24" t="s">
        <v>288</v>
      </c>
      <c r="J179" s="24" t="s">
        <v>288</v>
      </c>
      <c r="K179" s="24" t="s">
        <v>288</v>
      </c>
      <c r="L179" s="24" t="s">
        <v>288</v>
      </c>
      <c r="M179" s="8"/>
      <c r="N179" s="265"/>
    </row>
    <row r="180" spans="1:14" s="3" customFormat="1" ht="12.2" customHeight="1" x14ac:dyDescent="0.15">
      <c r="A180" s="1" t="s">
        <v>524</v>
      </c>
      <c r="B180" s="2" t="s">
        <v>330</v>
      </c>
      <c r="C180" s="6">
        <v>6</v>
      </c>
      <c r="D180" s="2" t="s">
        <v>430</v>
      </c>
      <c r="E180" s="6">
        <v>5210</v>
      </c>
      <c r="F180" s="24" t="s">
        <v>288</v>
      </c>
      <c r="G180" s="18"/>
      <c r="H180" s="18"/>
      <c r="I180" s="18"/>
      <c r="J180" s="18">
        <v>100000</v>
      </c>
      <c r="K180" s="24" t="s">
        <v>288</v>
      </c>
      <c r="L180" s="24" t="s">
        <v>288</v>
      </c>
      <c r="M180" s="8"/>
      <c r="N180" s="265"/>
    </row>
    <row r="181" spans="1:14" s="3" customFormat="1" ht="12.2" customHeight="1" x14ac:dyDescent="0.15">
      <c r="A181" s="1" t="s">
        <v>525</v>
      </c>
      <c r="B181" s="2" t="s">
        <v>330</v>
      </c>
      <c r="C181" s="6">
        <v>7</v>
      </c>
      <c r="D181" s="2" t="s">
        <v>430</v>
      </c>
      <c r="E181" s="6">
        <v>5221</v>
      </c>
      <c r="F181" s="18"/>
      <c r="G181" s="24" t="s">
        <v>288</v>
      </c>
      <c r="H181" s="18"/>
      <c r="I181" s="18"/>
      <c r="J181" s="18"/>
      <c r="K181" s="24" t="s">
        <v>288</v>
      </c>
      <c r="L181" s="24" t="s">
        <v>288</v>
      </c>
      <c r="M181" s="8"/>
      <c r="N181" s="265"/>
    </row>
    <row r="182" spans="1:14" s="3" customFormat="1" ht="12.2" customHeight="1" x14ac:dyDescent="0.15">
      <c r="A182" s="3" t="s">
        <v>526</v>
      </c>
      <c r="B182" s="2" t="s">
        <v>330</v>
      </c>
      <c r="C182" s="6">
        <v>8</v>
      </c>
      <c r="D182" s="2" t="s">
        <v>430</v>
      </c>
      <c r="E182" s="6">
        <v>5222</v>
      </c>
      <c r="F182" s="18"/>
      <c r="G182" s="18"/>
      <c r="H182" s="24" t="s">
        <v>288</v>
      </c>
      <c r="I182" s="18"/>
      <c r="J182" s="18"/>
      <c r="K182" s="24" t="s">
        <v>288</v>
      </c>
      <c r="L182" s="24" t="s">
        <v>288</v>
      </c>
      <c r="M182" s="8"/>
      <c r="N182" s="265"/>
    </row>
    <row r="183" spans="1:14" s="3" customFormat="1" ht="12.2" customHeight="1" thickBot="1" x14ac:dyDescent="0.2">
      <c r="A183" s="3" t="s">
        <v>527</v>
      </c>
      <c r="B183" s="2" t="s">
        <v>330</v>
      </c>
      <c r="C183" s="6">
        <v>9</v>
      </c>
      <c r="D183" s="2" t="s">
        <v>430</v>
      </c>
      <c r="E183" s="6">
        <v>5230</v>
      </c>
      <c r="F183" s="18"/>
      <c r="G183" s="18"/>
      <c r="H183" s="18"/>
      <c r="I183" s="24" t="s">
        <v>288</v>
      </c>
      <c r="J183" s="18"/>
      <c r="K183" s="24" t="s">
        <v>288</v>
      </c>
      <c r="L183" s="24" t="s">
        <v>288</v>
      </c>
      <c r="M183" s="8"/>
      <c r="N183" s="265"/>
    </row>
    <row r="184" spans="1:14" s="3" customFormat="1" ht="12.2" customHeight="1" thickTop="1" x14ac:dyDescent="0.15">
      <c r="A184" s="38" t="s">
        <v>416</v>
      </c>
      <c r="B184" s="39" t="s">
        <v>330</v>
      </c>
      <c r="C184" s="44">
        <v>10</v>
      </c>
      <c r="D184" s="39" t="s">
        <v>430</v>
      </c>
      <c r="E184" s="44">
        <v>5200</v>
      </c>
      <c r="F184" s="41">
        <f>SUM(F180:F183)</f>
        <v>0</v>
      </c>
      <c r="G184" s="41">
        <f>SUM(G180:G183)</f>
        <v>0</v>
      </c>
      <c r="H184" s="41">
        <f>SUM(H180:H183)</f>
        <v>0</v>
      </c>
      <c r="I184" s="41">
        <f>SUM(I180:I183)</f>
        <v>0</v>
      </c>
      <c r="J184" s="41">
        <f>SUM(J180:J183)</f>
        <v>100000</v>
      </c>
      <c r="K184" s="45" t="s">
        <v>288</v>
      </c>
      <c r="L184" s="45" t="s">
        <v>288</v>
      </c>
      <c r="M184" s="8"/>
      <c r="N184" s="265"/>
    </row>
    <row r="185" spans="1:14" s="3" customFormat="1" ht="12.2" customHeight="1" x14ac:dyDescent="0.15">
      <c r="A185" s="30" t="s">
        <v>332</v>
      </c>
      <c r="B185" s="2"/>
      <c r="C185" s="6"/>
      <c r="D185" s="6"/>
      <c r="E185" s="6"/>
      <c r="F185" s="24" t="s">
        <v>288</v>
      </c>
      <c r="G185" s="24" t="s">
        <v>288</v>
      </c>
      <c r="H185" s="24" t="s">
        <v>288</v>
      </c>
      <c r="I185" s="24" t="s">
        <v>288</v>
      </c>
      <c r="J185" s="24" t="s">
        <v>288</v>
      </c>
      <c r="K185" s="24" t="s">
        <v>288</v>
      </c>
      <c r="L185" s="24" t="s">
        <v>288</v>
      </c>
      <c r="M185" s="8"/>
      <c r="N185" s="265"/>
    </row>
    <row r="186" spans="1:14" s="3" customFormat="1" ht="12.2" customHeight="1" x14ac:dyDescent="0.15">
      <c r="A186" s="1" t="s">
        <v>528</v>
      </c>
      <c r="B186" s="2" t="s">
        <v>330</v>
      </c>
      <c r="C186" s="6">
        <v>11</v>
      </c>
      <c r="D186" s="2" t="s">
        <v>430</v>
      </c>
      <c r="E186" s="6">
        <v>5251</v>
      </c>
      <c r="F186" s="18"/>
      <c r="G186" s="18"/>
      <c r="H186" s="18"/>
      <c r="I186" s="18"/>
      <c r="J186" s="24" t="s">
        <v>288</v>
      </c>
      <c r="K186" s="24" t="s">
        <v>288</v>
      </c>
      <c r="L186" s="24" t="s">
        <v>288</v>
      </c>
      <c r="M186" s="8"/>
      <c r="N186" s="265"/>
    </row>
    <row r="187" spans="1:14" ht="12.2" customHeight="1" x14ac:dyDescent="0.2">
      <c r="A187" s="1" t="s">
        <v>529</v>
      </c>
      <c r="B187" s="2" t="s">
        <v>330</v>
      </c>
      <c r="C187" s="6">
        <v>12</v>
      </c>
      <c r="D187" s="2" t="s">
        <v>430</v>
      </c>
      <c r="E187" s="6">
        <v>5252</v>
      </c>
      <c r="F187" s="18"/>
      <c r="G187" s="18"/>
      <c r="H187" s="18"/>
      <c r="I187" s="18"/>
      <c r="J187" s="24" t="s">
        <v>288</v>
      </c>
      <c r="K187" s="24" t="s">
        <v>288</v>
      </c>
      <c r="L187" s="24" t="s">
        <v>288</v>
      </c>
      <c r="N187" s="263"/>
    </row>
    <row r="188" spans="1:14" ht="12.2" customHeight="1" thickBot="1" x14ac:dyDescent="0.25">
      <c r="A188" s="1" t="s">
        <v>530</v>
      </c>
      <c r="B188" s="2" t="s">
        <v>330</v>
      </c>
      <c r="C188" s="6">
        <v>13</v>
      </c>
      <c r="D188" s="2" t="s">
        <v>430</v>
      </c>
      <c r="E188" s="6">
        <v>5253</v>
      </c>
      <c r="F188" s="18"/>
      <c r="G188" s="18"/>
      <c r="H188" s="18"/>
      <c r="I188" s="18"/>
      <c r="J188" s="24" t="s">
        <v>288</v>
      </c>
      <c r="K188" s="24" t="s">
        <v>288</v>
      </c>
      <c r="L188" s="24" t="s">
        <v>288</v>
      </c>
      <c r="N188" s="263"/>
    </row>
    <row r="189" spans="1:14" s="3" customFormat="1" ht="12.2" customHeight="1" thickTop="1" x14ac:dyDescent="0.15">
      <c r="A189" s="38" t="s">
        <v>417</v>
      </c>
      <c r="B189" s="39" t="s">
        <v>330</v>
      </c>
      <c r="C189" s="40">
        <v>14</v>
      </c>
      <c r="D189" s="39" t="s">
        <v>430</v>
      </c>
      <c r="E189" s="44">
        <v>5250</v>
      </c>
      <c r="F189" s="41">
        <f>SUM(F186:F188)</f>
        <v>0</v>
      </c>
      <c r="G189" s="41">
        <f>SUM(G186:G188)</f>
        <v>0</v>
      </c>
      <c r="H189" s="41">
        <f>SUM(H186:H188)</f>
        <v>0</v>
      </c>
      <c r="I189" s="41">
        <f>SUM(I186:I188)</f>
        <v>0</v>
      </c>
      <c r="J189" s="45" t="s">
        <v>288</v>
      </c>
      <c r="K189" s="45" t="s">
        <v>288</v>
      </c>
      <c r="L189" s="45" t="s">
        <v>288</v>
      </c>
      <c r="M189" s="8"/>
      <c r="N189" s="265"/>
    </row>
    <row r="190" spans="1:14" s="3" customFormat="1" ht="12.2" customHeight="1" x14ac:dyDescent="0.15">
      <c r="A190" s="3" t="s">
        <v>333</v>
      </c>
      <c r="B190" s="2" t="s">
        <v>330</v>
      </c>
      <c r="C190" s="6">
        <v>15</v>
      </c>
      <c r="D190" s="2" t="s">
        <v>430</v>
      </c>
      <c r="E190" s="6">
        <v>5300</v>
      </c>
      <c r="F190" s="18"/>
      <c r="G190" s="18"/>
      <c r="H190" s="18"/>
      <c r="I190" s="18"/>
      <c r="J190" s="24" t="s">
        <v>288</v>
      </c>
      <c r="K190" s="24" t="s">
        <v>288</v>
      </c>
      <c r="L190" s="24" t="s">
        <v>288</v>
      </c>
      <c r="M190" s="8"/>
      <c r="N190" s="265"/>
    </row>
    <row r="191" spans="1:14" s="3" customFormat="1" ht="12.2" customHeight="1" x14ac:dyDescent="0.15">
      <c r="A191" s="3" t="s">
        <v>334</v>
      </c>
      <c r="B191" s="2" t="s">
        <v>330</v>
      </c>
      <c r="C191" s="6">
        <v>16</v>
      </c>
      <c r="D191" s="2" t="s">
        <v>430</v>
      </c>
      <c r="E191" s="6">
        <v>5500</v>
      </c>
      <c r="F191" s="18"/>
      <c r="G191" s="18"/>
      <c r="H191" s="18"/>
      <c r="I191" s="18"/>
      <c r="J191" s="24" t="s">
        <v>288</v>
      </c>
      <c r="K191" s="24" t="s">
        <v>288</v>
      </c>
      <c r="L191" s="24" t="s">
        <v>288</v>
      </c>
      <c r="M191" s="8"/>
      <c r="N191" s="265"/>
    </row>
    <row r="192" spans="1:14" s="3" customFormat="1" ht="12.2" customHeight="1" thickBot="1" x14ac:dyDescent="0.2">
      <c r="A192" s="1" t="s">
        <v>335</v>
      </c>
      <c r="B192" s="2" t="s">
        <v>330</v>
      </c>
      <c r="C192" s="6">
        <v>17</v>
      </c>
      <c r="D192" s="2" t="s">
        <v>430</v>
      </c>
      <c r="E192" s="6">
        <v>5600</v>
      </c>
      <c r="F192" s="18"/>
      <c r="G192" s="18"/>
      <c r="H192" s="18"/>
      <c r="I192" s="18"/>
      <c r="J192" s="24" t="s">
        <v>288</v>
      </c>
      <c r="K192" s="24" t="s">
        <v>288</v>
      </c>
      <c r="L192" s="24" t="s">
        <v>288</v>
      </c>
      <c r="M192" s="8"/>
      <c r="N192" s="265"/>
    </row>
    <row r="193" spans="1:14" s="3" customFormat="1" ht="12.2" customHeight="1" thickTop="1" thickBot="1" x14ac:dyDescent="0.25">
      <c r="A193" s="38" t="s">
        <v>418</v>
      </c>
      <c r="B193" s="39" t="s">
        <v>330</v>
      </c>
      <c r="C193" s="40">
        <v>18</v>
      </c>
      <c r="D193" s="156" t="s">
        <v>430</v>
      </c>
      <c r="E193" s="51">
        <v>5000</v>
      </c>
      <c r="F193" s="41">
        <f>F178+F184+SUM(F189:F192)</f>
        <v>0</v>
      </c>
      <c r="G193" s="41">
        <f>G184+SUM(G189:G192)</f>
        <v>0</v>
      </c>
      <c r="H193" s="41">
        <f>+H184+SUM(H189:H192)</f>
        <v>0</v>
      </c>
      <c r="I193" s="41">
        <f>I178+I184+SUM(I189:I192)</f>
        <v>0</v>
      </c>
      <c r="J193" s="41">
        <f>J184</f>
        <v>100000</v>
      </c>
      <c r="K193" s="45" t="s">
        <v>288</v>
      </c>
      <c r="L193" s="45" t="s">
        <v>288</v>
      </c>
      <c r="M193" s="8"/>
      <c r="N193" s="265"/>
    </row>
    <row r="194" spans="1:14" s="3" customFormat="1" ht="12.2" customHeight="1" thickTop="1" x14ac:dyDescent="0.2">
      <c r="A194" s="46" t="s">
        <v>457</v>
      </c>
      <c r="B194" s="39" t="s">
        <v>330</v>
      </c>
      <c r="C194" s="40">
        <v>19</v>
      </c>
      <c r="D194" s="157" t="s">
        <v>430</v>
      </c>
      <c r="E194" s="44"/>
      <c r="F194" s="47">
        <f>F112+F140+F170+F193</f>
        <v>11300840.270000001</v>
      </c>
      <c r="G194" s="47">
        <f>G112+G140+G170+G193</f>
        <v>287785.45</v>
      </c>
      <c r="H194" s="47">
        <f>H112+H140+H170+H193</f>
        <v>341390.89</v>
      </c>
      <c r="I194" s="47">
        <f>I112+I140+I170+I193</f>
        <v>0</v>
      </c>
      <c r="J194" s="47">
        <f>J112+J140+J193</f>
        <v>101007.85</v>
      </c>
      <c r="K194" s="45" t="s">
        <v>288</v>
      </c>
      <c r="L194" s="45" t="s">
        <v>288</v>
      </c>
      <c r="M194" s="8"/>
      <c r="N194" s="265"/>
    </row>
    <row r="195" spans="1:14" s="3" customFormat="1" ht="12.2" customHeight="1" x14ac:dyDescent="0.15">
      <c r="A195" s="55" t="s">
        <v>465</v>
      </c>
      <c r="B195" s="36"/>
      <c r="C195" s="58"/>
      <c r="D195" s="58"/>
      <c r="E195" s="58"/>
      <c r="F195" s="176" t="s">
        <v>689</v>
      </c>
      <c r="G195" s="176" t="s">
        <v>690</v>
      </c>
      <c r="H195" s="176" t="s">
        <v>691</v>
      </c>
      <c r="I195" s="176" t="s">
        <v>692</v>
      </c>
      <c r="J195" s="176" t="s">
        <v>693</v>
      </c>
      <c r="K195" s="176" t="s">
        <v>694</v>
      </c>
      <c r="L195" s="56"/>
      <c r="M195" s="8"/>
      <c r="N195" s="265"/>
    </row>
    <row r="196" spans="1:14" s="3" customFormat="1" ht="12.2" customHeight="1" x14ac:dyDescent="0.15">
      <c r="A196" s="29" t="s">
        <v>451</v>
      </c>
      <c r="F196" s="103" t="s">
        <v>54</v>
      </c>
      <c r="G196" s="103" t="s">
        <v>55</v>
      </c>
      <c r="H196" s="103" t="s">
        <v>56</v>
      </c>
      <c r="I196" s="103" t="s">
        <v>57</v>
      </c>
      <c r="J196" s="103" t="s">
        <v>58</v>
      </c>
      <c r="K196" s="103" t="s">
        <v>59</v>
      </c>
      <c r="L196" s="103" t="s">
        <v>5</v>
      </c>
      <c r="M196" s="8"/>
      <c r="N196" s="265"/>
    </row>
    <row r="197" spans="1:14" s="3" customFormat="1" ht="12.2" customHeight="1" x14ac:dyDescent="0.15">
      <c r="A197" s="30" t="s">
        <v>531</v>
      </c>
      <c r="F197" s="24" t="s">
        <v>288</v>
      </c>
      <c r="G197" s="24" t="s">
        <v>288</v>
      </c>
      <c r="H197" s="24" t="s">
        <v>288</v>
      </c>
      <c r="I197" s="24" t="s">
        <v>288</v>
      </c>
      <c r="J197" s="24" t="s">
        <v>288</v>
      </c>
      <c r="K197" s="24" t="s">
        <v>288</v>
      </c>
      <c r="L197" s="24" t="s">
        <v>288</v>
      </c>
      <c r="M197" s="8"/>
      <c r="N197" s="265"/>
    </row>
    <row r="198" spans="1:14" s="3" customFormat="1" ht="12.2" customHeight="1" x14ac:dyDescent="0.15">
      <c r="A198" s="1" t="s">
        <v>438</v>
      </c>
      <c r="B198" s="2" t="s">
        <v>341</v>
      </c>
      <c r="C198" s="2" t="s">
        <v>290</v>
      </c>
      <c r="D198" s="2" t="s">
        <v>431</v>
      </c>
      <c r="E198" s="6">
        <v>1100</v>
      </c>
      <c r="F198" s="18">
        <f>1841991.01</f>
        <v>1841991.01</v>
      </c>
      <c r="G198" s="18">
        <v>1081383.43</v>
      </c>
      <c r="H198" s="18"/>
      <c r="I198" s="18">
        <f>62690.31</f>
        <v>62690.31</v>
      </c>
      <c r="J198" s="18">
        <v>2269.96</v>
      </c>
      <c r="K198" s="18"/>
      <c r="L198" s="19">
        <f>SUM(F198:K198)</f>
        <v>2988334.71</v>
      </c>
      <c r="M198" s="8"/>
      <c r="N198" s="265"/>
    </row>
    <row r="199" spans="1:14" s="3" customFormat="1" ht="12.2" customHeight="1" x14ac:dyDescent="0.15">
      <c r="A199" s="1" t="s">
        <v>439</v>
      </c>
      <c r="B199" s="2" t="s">
        <v>341</v>
      </c>
      <c r="C199" s="2" t="s">
        <v>291</v>
      </c>
      <c r="D199" s="2" t="s">
        <v>431</v>
      </c>
      <c r="E199" s="6">
        <v>1200</v>
      </c>
      <c r="F199" s="18">
        <f>654010.47</f>
        <v>654010.47</v>
      </c>
      <c r="G199" s="18">
        <v>259467.13</v>
      </c>
      <c r="H199" s="18">
        <f>80047.46+115633.24+660.94</f>
        <v>196341.64</v>
      </c>
      <c r="I199" s="18">
        <f>3147.45</f>
        <v>3147.45</v>
      </c>
      <c r="J199" s="18">
        <v>3594</v>
      </c>
      <c r="K199" s="18"/>
      <c r="L199" s="19">
        <f>SUM(F199:K199)</f>
        <v>1116560.69</v>
      </c>
      <c r="M199" s="8"/>
      <c r="N199" s="265"/>
    </row>
    <row r="200" spans="1:14" s="3" customFormat="1" ht="12.2" customHeight="1" x14ac:dyDescent="0.15">
      <c r="A200" s="1" t="s">
        <v>440</v>
      </c>
      <c r="B200" s="2" t="s">
        <v>341</v>
      </c>
      <c r="C200" s="2" t="s">
        <v>292</v>
      </c>
      <c r="D200" s="2" t="s">
        <v>431</v>
      </c>
      <c r="E200" s="6">
        <v>1300</v>
      </c>
      <c r="F200" s="18"/>
      <c r="G200" s="18"/>
      <c r="H200" s="18"/>
      <c r="I200" s="18"/>
      <c r="J200" s="18"/>
      <c r="K200" s="18"/>
      <c r="L200" s="19">
        <f>SUM(F200:K200)</f>
        <v>0</v>
      </c>
      <c r="M200" s="8"/>
      <c r="N200" s="265"/>
    </row>
    <row r="201" spans="1:14" s="3" customFormat="1" ht="12.2" customHeight="1" x14ac:dyDescent="0.15">
      <c r="A201" s="1" t="s">
        <v>441</v>
      </c>
      <c r="B201" s="2" t="s">
        <v>341</v>
      </c>
      <c r="C201" s="2" t="s">
        <v>293</v>
      </c>
      <c r="D201" s="2" t="s">
        <v>431</v>
      </c>
      <c r="E201" s="6">
        <v>1400</v>
      </c>
      <c r="F201" s="18">
        <v>30530</v>
      </c>
      <c r="G201" s="18">
        <v>5715.78</v>
      </c>
      <c r="H201" s="18">
        <v>3971</v>
      </c>
      <c r="I201" s="18">
        <v>2001.31</v>
      </c>
      <c r="J201" s="18">
        <v>661.11</v>
      </c>
      <c r="K201" s="18">
        <v>197</v>
      </c>
      <c r="L201" s="19">
        <f>SUM(F201:K201)</f>
        <v>43076.2</v>
      </c>
      <c r="M201" s="8"/>
      <c r="N201" s="265"/>
    </row>
    <row r="202" spans="1:14" s="3" customFormat="1" ht="12.2" customHeight="1" x14ac:dyDescent="0.15">
      <c r="A202" s="30" t="s">
        <v>342</v>
      </c>
      <c r="E202" s="6"/>
      <c r="F202" s="24" t="s">
        <v>288</v>
      </c>
      <c r="G202" s="24" t="s">
        <v>288</v>
      </c>
      <c r="H202" s="24" t="s">
        <v>288</v>
      </c>
      <c r="I202" s="24" t="s">
        <v>288</v>
      </c>
      <c r="J202" s="24" t="s">
        <v>288</v>
      </c>
      <c r="K202" s="24" t="s">
        <v>288</v>
      </c>
      <c r="L202" s="24" t="s">
        <v>288</v>
      </c>
      <c r="M202" s="8"/>
      <c r="N202" s="265"/>
    </row>
    <row r="203" spans="1:14" s="3" customFormat="1" ht="12.2" customHeight="1" x14ac:dyDescent="0.15">
      <c r="A203" s="1" t="s">
        <v>442</v>
      </c>
      <c r="B203" s="2" t="s">
        <v>341</v>
      </c>
      <c r="C203" s="2" t="s">
        <v>294</v>
      </c>
      <c r="D203" s="2" t="s">
        <v>431</v>
      </c>
      <c r="E203" s="6">
        <v>2100</v>
      </c>
      <c r="F203" s="18">
        <f>49852+71288.25+47250.8+143203.15+47250+90500</f>
        <v>449344.19999999995</v>
      </c>
      <c r="G203" s="18">
        <f>15666.08+7494.37+33059.13+70504.27+3850.48+43986.85</f>
        <v>174561.18</v>
      </c>
      <c r="H203" s="18">
        <f>45.85+44337.05+5210+2898.67+3880.75</f>
        <v>56372.32</v>
      </c>
      <c r="I203" s="18">
        <f>1437.11+2858.99+416.46+2213.2+354.99+135.5</f>
        <v>7416.2499999999991</v>
      </c>
      <c r="J203" s="18">
        <f>5510.61+1053</f>
        <v>6563.61</v>
      </c>
      <c r="K203" s="18">
        <f>100+45</f>
        <v>145</v>
      </c>
      <c r="L203" s="19">
        <f t="shared" ref="L203:L209" si="0">SUM(F203:K203)</f>
        <v>694402.55999999982</v>
      </c>
      <c r="M203" s="8"/>
      <c r="N203" s="265"/>
    </row>
    <row r="204" spans="1:14" s="3" customFormat="1" ht="12.2" customHeight="1" x14ac:dyDescent="0.15">
      <c r="A204" s="1" t="s">
        <v>443</v>
      </c>
      <c r="B204" s="2" t="s">
        <v>341</v>
      </c>
      <c r="C204" s="2" t="s">
        <v>295</v>
      </c>
      <c r="D204" s="2" t="s">
        <v>431</v>
      </c>
      <c r="E204" s="6">
        <v>2200</v>
      </c>
      <c r="F204" s="18">
        <f>75400</f>
        <v>75400</v>
      </c>
      <c r="G204" s="18">
        <f>5700+27902.12</f>
        <v>33602.119999999995</v>
      </c>
      <c r="H204" s="18">
        <f>25.64+4379.65</f>
        <v>4405.29</v>
      </c>
      <c r="I204" s="18">
        <f>171.33+3763.8+13710.27</f>
        <v>17645.400000000001</v>
      </c>
      <c r="J204" s="18">
        <f>18612.7</f>
        <v>18612.7</v>
      </c>
      <c r="K204" s="18">
        <f>786.6</f>
        <v>786.6</v>
      </c>
      <c r="L204" s="19">
        <f t="shared" si="0"/>
        <v>150452.11000000002</v>
      </c>
      <c r="M204" s="8"/>
      <c r="N204" s="265"/>
    </row>
    <row r="205" spans="1:14" s="3" customFormat="1" ht="12.2" customHeight="1" x14ac:dyDescent="0.15">
      <c r="A205" s="1" t="s">
        <v>444</v>
      </c>
      <c r="B205" s="2" t="s">
        <v>341</v>
      </c>
      <c r="C205" s="2" t="s">
        <v>296</v>
      </c>
      <c r="D205" s="2" t="s">
        <v>431</v>
      </c>
      <c r="E205" s="6">
        <v>2300</v>
      </c>
      <c r="F205" s="18">
        <f>9900+259828.27+153700</f>
        <v>423428.27</v>
      </c>
      <c r="G205" s="18">
        <f>757.34+76468.86+63044.66</f>
        <v>140270.85999999999</v>
      </c>
      <c r="H205" s="18">
        <f>43870.32+38842.31+5605.31</f>
        <v>88317.94</v>
      </c>
      <c r="I205" s="18">
        <f>3284.41+520.45</f>
        <v>3804.8599999999997</v>
      </c>
      <c r="J205" s="18"/>
      <c r="K205" s="18">
        <f>8523.25+4034.9+1551.48</f>
        <v>14109.63</v>
      </c>
      <c r="L205" s="19">
        <f t="shared" si="0"/>
        <v>669931.56000000006</v>
      </c>
      <c r="M205" s="8"/>
      <c r="N205" s="265"/>
    </row>
    <row r="206" spans="1:14" s="3" customFormat="1" ht="12.2" customHeight="1" x14ac:dyDescent="0.15">
      <c r="A206" s="1" t="s">
        <v>445</v>
      </c>
      <c r="B206" s="2" t="s">
        <v>341</v>
      </c>
      <c r="C206" s="2" t="s">
        <v>297</v>
      </c>
      <c r="D206" s="2" t="s">
        <v>431</v>
      </c>
      <c r="E206" s="6">
        <v>2400</v>
      </c>
      <c r="F206" s="18">
        <v>227804.6</v>
      </c>
      <c r="G206" s="18">
        <f>134818.07</f>
        <v>134818.07</v>
      </c>
      <c r="H206" s="18">
        <f>45314.49-13658.56-857.14</f>
        <v>30798.79</v>
      </c>
      <c r="I206" s="18">
        <f>13864.38</f>
        <v>13864.38</v>
      </c>
      <c r="J206" s="18"/>
      <c r="K206" s="18">
        <f>2885.94</f>
        <v>2885.94</v>
      </c>
      <c r="L206" s="19">
        <f t="shared" si="0"/>
        <v>410171.78</v>
      </c>
      <c r="M206" s="8"/>
      <c r="N206" s="265"/>
    </row>
    <row r="207" spans="1:14" s="3" customFormat="1" ht="12.2" customHeight="1" x14ac:dyDescent="0.15">
      <c r="A207" s="1" t="s">
        <v>446</v>
      </c>
      <c r="B207" s="2" t="s">
        <v>341</v>
      </c>
      <c r="C207" s="2" t="s">
        <v>298</v>
      </c>
      <c r="D207" s="2" t="s">
        <v>431</v>
      </c>
      <c r="E207" s="6">
        <v>2500</v>
      </c>
      <c r="F207" s="18"/>
      <c r="G207" s="18"/>
      <c r="H207" s="18"/>
      <c r="I207" s="18"/>
      <c r="J207" s="18"/>
      <c r="K207" s="18"/>
      <c r="L207" s="19">
        <f t="shared" si="0"/>
        <v>0</v>
      </c>
      <c r="M207" s="8"/>
      <c r="N207" s="265"/>
    </row>
    <row r="208" spans="1:14" s="3" customFormat="1" ht="12.2" customHeight="1" x14ac:dyDescent="0.15">
      <c r="A208" s="1" t="s">
        <v>447</v>
      </c>
      <c r="B208" s="2" t="s">
        <v>341</v>
      </c>
      <c r="C208" s="2" t="s">
        <v>299</v>
      </c>
      <c r="D208" s="2" t="s">
        <v>431</v>
      </c>
      <c r="E208" s="6">
        <v>2600</v>
      </c>
      <c r="F208" s="18">
        <v>183150.15</v>
      </c>
      <c r="G208" s="18">
        <v>42946.48</v>
      </c>
      <c r="H208" s="18">
        <f>84352</f>
        <v>84352</v>
      </c>
      <c r="I208" s="18">
        <v>118468.54</v>
      </c>
      <c r="J208" s="18"/>
      <c r="K208" s="18">
        <v>40705</v>
      </c>
      <c r="L208" s="19">
        <f t="shared" si="0"/>
        <v>469622.17</v>
      </c>
      <c r="M208" s="8"/>
      <c r="N208" s="265"/>
    </row>
    <row r="209" spans="1:14" s="3" customFormat="1" ht="12.2" customHeight="1" x14ac:dyDescent="0.15">
      <c r="A209" s="1" t="s">
        <v>448</v>
      </c>
      <c r="B209" s="2" t="s">
        <v>341</v>
      </c>
      <c r="C209" s="2" t="s">
        <v>300</v>
      </c>
      <c r="D209" s="2" t="s">
        <v>431</v>
      </c>
      <c r="E209" s="6">
        <v>2700</v>
      </c>
      <c r="F209" s="18"/>
      <c r="G209" s="18"/>
      <c r="H209" s="18">
        <f>345640.03+91013+3972.22+3747.57+725.27</f>
        <v>445098.09</v>
      </c>
      <c r="I209" s="18"/>
      <c r="J209" s="18"/>
      <c r="K209" s="18"/>
      <c r="L209" s="19">
        <f t="shared" si="0"/>
        <v>445098.09</v>
      </c>
      <c r="M209" s="8"/>
      <c r="N209" s="265"/>
    </row>
    <row r="210" spans="1:14" s="3" customFormat="1" ht="12.2" customHeight="1" x14ac:dyDescent="0.15">
      <c r="A210" s="1" t="s">
        <v>449</v>
      </c>
      <c r="B210" s="2" t="s">
        <v>341</v>
      </c>
      <c r="C210" s="2" t="s">
        <v>343</v>
      </c>
      <c r="D210" s="2" t="s">
        <v>431</v>
      </c>
      <c r="E210" s="6">
        <v>2800</v>
      </c>
      <c r="F210" s="18"/>
      <c r="G210" s="18"/>
      <c r="H210" s="18"/>
      <c r="I210" s="18"/>
      <c r="J210" s="18"/>
      <c r="K210" s="18"/>
      <c r="L210" s="19">
        <f>SUM(F210:K210)</f>
        <v>0</v>
      </c>
      <c r="M210" s="8"/>
      <c r="N210" s="265"/>
    </row>
    <row r="211" spans="1:14" s="3" customFormat="1" ht="12.2" customHeight="1" thickBot="1" x14ac:dyDescent="0.2">
      <c r="A211" s="1" t="s">
        <v>450</v>
      </c>
      <c r="B211" s="2" t="s">
        <v>341</v>
      </c>
      <c r="C211" s="2" t="s">
        <v>344</v>
      </c>
      <c r="D211" s="2" t="s">
        <v>431</v>
      </c>
      <c r="E211" s="6">
        <v>2900</v>
      </c>
      <c r="F211" s="24" t="s">
        <v>288</v>
      </c>
      <c r="G211" s="24" t="s">
        <v>288</v>
      </c>
      <c r="H211" s="24" t="s">
        <v>288</v>
      </c>
      <c r="I211" s="24" t="s">
        <v>288</v>
      </c>
      <c r="J211" s="24" t="s">
        <v>288</v>
      </c>
      <c r="K211" s="24" t="s">
        <v>288</v>
      </c>
      <c r="L211" s="24" t="s">
        <v>288</v>
      </c>
      <c r="M211" s="8"/>
      <c r="N211" s="265"/>
    </row>
    <row r="212" spans="1:14" s="3" customFormat="1" ht="12.2" customHeight="1" thickTop="1" x14ac:dyDescent="0.15">
      <c r="A212" s="38" t="s">
        <v>419</v>
      </c>
      <c r="B212" s="39" t="s">
        <v>341</v>
      </c>
      <c r="C212" s="39" t="s">
        <v>345</v>
      </c>
      <c r="D212" s="39" t="s">
        <v>431</v>
      </c>
      <c r="E212" s="39"/>
      <c r="F212" s="41">
        <f t="shared" ref="F212:L212" si="1">SUM(F198:F211)</f>
        <v>3885658.6999999997</v>
      </c>
      <c r="G212" s="41">
        <f t="shared" si="1"/>
        <v>1872765.05</v>
      </c>
      <c r="H212" s="41">
        <f t="shared" si="1"/>
        <v>909657.07000000007</v>
      </c>
      <c r="I212" s="41">
        <f t="shared" si="1"/>
        <v>229038.5</v>
      </c>
      <c r="J212" s="41">
        <f t="shared" si="1"/>
        <v>31701.38</v>
      </c>
      <c r="K212" s="41">
        <f t="shared" si="1"/>
        <v>58829.17</v>
      </c>
      <c r="L212" s="41">
        <f t="shared" si="1"/>
        <v>6987649.8700000001</v>
      </c>
      <c r="M212" s="8"/>
      <c r="N212" s="265"/>
    </row>
    <row r="213" spans="1:14" s="3" customFormat="1" ht="12.2" customHeight="1" x14ac:dyDescent="0.15">
      <c r="A213" s="55" t="s">
        <v>465</v>
      </c>
      <c r="B213" s="36"/>
      <c r="C213" s="36"/>
      <c r="D213" s="36"/>
      <c r="E213" s="36"/>
      <c r="F213" s="176" t="s">
        <v>689</v>
      </c>
      <c r="G213" s="176" t="s">
        <v>690</v>
      </c>
      <c r="H213" s="176" t="s">
        <v>691</v>
      </c>
      <c r="I213" s="176" t="s">
        <v>692</v>
      </c>
      <c r="J213" s="176" t="s">
        <v>693</v>
      </c>
      <c r="K213" s="176" t="s">
        <v>694</v>
      </c>
      <c r="L213" s="67"/>
      <c r="M213" s="8"/>
      <c r="N213" s="265"/>
    </row>
    <row r="214" spans="1:14" s="3" customFormat="1" ht="12.2" customHeight="1" x14ac:dyDescent="0.15">
      <c r="A214" s="29" t="s">
        <v>452</v>
      </c>
      <c r="B214" s="7"/>
      <c r="C214" s="7"/>
      <c r="D214" s="7"/>
      <c r="E214" s="7"/>
      <c r="F214" s="103" t="s">
        <v>54</v>
      </c>
      <c r="G214" s="103" t="s">
        <v>55</v>
      </c>
      <c r="H214" s="103" t="s">
        <v>56</v>
      </c>
      <c r="I214" s="103" t="s">
        <v>57</v>
      </c>
      <c r="J214" s="103" t="s">
        <v>58</v>
      </c>
      <c r="K214" s="103" t="s">
        <v>59</v>
      </c>
      <c r="L214" s="103" t="s">
        <v>5</v>
      </c>
      <c r="M214" s="8"/>
      <c r="N214" s="265"/>
    </row>
    <row r="215" spans="1:14" s="3" customFormat="1" ht="12.2" customHeight="1" x14ac:dyDescent="0.15">
      <c r="A215" s="30" t="s">
        <v>531</v>
      </c>
      <c r="F215" s="24" t="s">
        <v>288</v>
      </c>
      <c r="G215" s="24" t="s">
        <v>288</v>
      </c>
      <c r="H215" s="24" t="s">
        <v>288</v>
      </c>
      <c r="I215" s="24" t="s">
        <v>288</v>
      </c>
      <c r="J215" s="24" t="s">
        <v>288</v>
      </c>
      <c r="K215" s="24" t="s">
        <v>288</v>
      </c>
      <c r="L215" s="24" t="s">
        <v>288</v>
      </c>
      <c r="M215" s="8"/>
      <c r="N215" s="265"/>
    </row>
    <row r="216" spans="1:14" s="3" customFormat="1" ht="12.2" customHeight="1" x14ac:dyDescent="0.15">
      <c r="A216" s="1" t="s">
        <v>438</v>
      </c>
      <c r="B216" s="2" t="s">
        <v>346</v>
      </c>
      <c r="C216" s="2" t="s">
        <v>290</v>
      </c>
      <c r="D216" s="2" t="s">
        <v>431</v>
      </c>
      <c r="E216" s="6">
        <v>1100</v>
      </c>
      <c r="F216" s="18"/>
      <c r="G216" s="18"/>
      <c r="H216" s="18"/>
      <c r="I216" s="18"/>
      <c r="J216" s="18"/>
      <c r="K216" s="18"/>
      <c r="L216" s="19">
        <f>SUM(F216:K216)</f>
        <v>0</v>
      </c>
      <c r="M216" s="8"/>
      <c r="N216" s="265"/>
    </row>
    <row r="217" spans="1:14" s="3" customFormat="1" ht="12.2" customHeight="1" x14ac:dyDescent="0.15">
      <c r="A217" s="1" t="s">
        <v>439</v>
      </c>
      <c r="B217" s="2" t="s">
        <v>346</v>
      </c>
      <c r="C217" s="2" t="s">
        <v>291</v>
      </c>
      <c r="D217" s="2" t="s">
        <v>431</v>
      </c>
      <c r="E217" s="6">
        <v>1200</v>
      </c>
      <c r="F217" s="18"/>
      <c r="G217" s="18"/>
      <c r="H217" s="18"/>
      <c r="I217" s="18"/>
      <c r="J217" s="18"/>
      <c r="K217" s="18"/>
      <c r="L217" s="19">
        <f>SUM(F217:K217)</f>
        <v>0</v>
      </c>
      <c r="M217" s="8"/>
      <c r="N217" s="265"/>
    </row>
    <row r="218" spans="1:14" s="3" customFormat="1" ht="12.2" customHeight="1" x14ac:dyDescent="0.15">
      <c r="A218" s="1" t="s">
        <v>440</v>
      </c>
      <c r="B218" s="2" t="s">
        <v>346</v>
      </c>
      <c r="C218" s="2" t="s">
        <v>292</v>
      </c>
      <c r="D218" s="2" t="s">
        <v>431</v>
      </c>
      <c r="E218" s="6">
        <v>1300</v>
      </c>
      <c r="F218" s="18"/>
      <c r="G218" s="18"/>
      <c r="H218" s="18"/>
      <c r="I218" s="18"/>
      <c r="J218" s="18"/>
      <c r="K218" s="18"/>
      <c r="L218" s="19">
        <f>SUM(F218:K218)</f>
        <v>0</v>
      </c>
      <c r="M218" s="8"/>
      <c r="N218" s="265"/>
    </row>
    <row r="219" spans="1:14" s="3" customFormat="1" ht="12.2" customHeight="1" x14ac:dyDescent="0.15">
      <c r="A219" s="1" t="s">
        <v>441</v>
      </c>
      <c r="B219" s="2" t="s">
        <v>346</v>
      </c>
      <c r="C219" s="2" t="s">
        <v>293</v>
      </c>
      <c r="D219" s="2" t="s">
        <v>431</v>
      </c>
      <c r="E219" s="6">
        <v>1400</v>
      </c>
      <c r="F219" s="18"/>
      <c r="G219" s="18"/>
      <c r="H219" s="18"/>
      <c r="I219" s="18"/>
      <c r="J219" s="18"/>
      <c r="K219" s="18"/>
      <c r="L219" s="19">
        <f>SUM(F219:K219)</f>
        <v>0</v>
      </c>
      <c r="M219" s="8"/>
      <c r="N219" s="265"/>
    </row>
    <row r="220" spans="1:14" s="3" customFormat="1" ht="12.2" customHeight="1" x14ac:dyDescent="0.15">
      <c r="A220" s="30" t="s">
        <v>342</v>
      </c>
      <c r="B220" s="1" t="s">
        <v>301</v>
      </c>
      <c r="E220" s="6"/>
      <c r="F220" s="24" t="s">
        <v>288</v>
      </c>
      <c r="G220" s="24" t="s">
        <v>288</v>
      </c>
      <c r="H220" s="24" t="s">
        <v>288</v>
      </c>
      <c r="I220" s="24" t="s">
        <v>288</v>
      </c>
      <c r="J220" s="24" t="s">
        <v>288</v>
      </c>
      <c r="K220" s="24" t="s">
        <v>288</v>
      </c>
      <c r="L220" s="24" t="s">
        <v>288</v>
      </c>
      <c r="M220" s="8"/>
      <c r="N220" s="265"/>
    </row>
    <row r="221" spans="1:14" s="3" customFormat="1" ht="12.2" customHeight="1" x14ac:dyDescent="0.15">
      <c r="A221" s="1" t="s">
        <v>442</v>
      </c>
      <c r="B221" s="2" t="s">
        <v>346</v>
      </c>
      <c r="C221" s="2" t="s">
        <v>294</v>
      </c>
      <c r="D221" s="2" t="s">
        <v>431</v>
      </c>
      <c r="E221" s="6">
        <v>2100</v>
      </c>
      <c r="F221" s="18"/>
      <c r="G221" s="18"/>
      <c r="H221" s="18"/>
      <c r="I221" s="18"/>
      <c r="J221" s="18"/>
      <c r="K221" s="18"/>
      <c r="L221" s="19">
        <f t="shared" ref="L221:L227" si="2">SUM(F221:K221)</f>
        <v>0</v>
      </c>
      <c r="M221" s="8"/>
      <c r="N221" s="265"/>
    </row>
    <row r="222" spans="1:14" s="3" customFormat="1" ht="12.2" customHeight="1" x14ac:dyDescent="0.15">
      <c r="A222" s="1" t="s">
        <v>443</v>
      </c>
      <c r="B222" s="2" t="s">
        <v>346</v>
      </c>
      <c r="C222" s="2" t="s">
        <v>295</v>
      </c>
      <c r="D222" s="2" t="s">
        <v>431</v>
      </c>
      <c r="E222" s="6">
        <v>2200</v>
      </c>
      <c r="F222" s="18"/>
      <c r="G222" s="18"/>
      <c r="H222" s="18"/>
      <c r="I222" s="18"/>
      <c r="J222" s="18"/>
      <c r="K222" s="18"/>
      <c r="L222" s="19">
        <f t="shared" si="2"/>
        <v>0</v>
      </c>
      <c r="M222" s="8"/>
      <c r="N222" s="265"/>
    </row>
    <row r="223" spans="1:14" s="3" customFormat="1" ht="12.2" customHeight="1" x14ac:dyDescent="0.15">
      <c r="A223" s="1" t="s">
        <v>444</v>
      </c>
      <c r="B223" s="2" t="s">
        <v>346</v>
      </c>
      <c r="C223" s="2" t="s">
        <v>296</v>
      </c>
      <c r="D223" s="2" t="s">
        <v>431</v>
      </c>
      <c r="E223" s="6">
        <v>2300</v>
      </c>
      <c r="F223" s="18"/>
      <c r="G223" s="18"/>
      <c r="H223" s="18"/>
      <c r="I223" s="18"/>
      <c r="J223" s="18"/>
      <c r="K223" s="18"/>
      <c r="L223" s="19">
        <f t="shared" si="2"/>
        <v>0</v>
      </c>
      <c r="M223" s="8"/>
      <c r="N223" s="265"/>
    </row>
    <row r="224" spans="1:14" s="3" customFormat="1" ht="12.2" customHeight="1" x14ac:dyDescent="0.15">
      <c r="A224" s="1" t="s">
        <v>445</v>
      </c>
      <c r="B224" s="2" t="s">
        <v>346</v>
      </c>
      <c r="C224" s="2" t="s">
        <v>297</v>
      </c>
      <c r="D224" s="2" t="s">
        <v>431</v>
      </c>
      <c r="E224" s="6">
        <v>2400</v>
      </c>
      <c r="F224" s="18"/>
      <c r="G224" s="18"/>
      <c r="H224" s="18"/>
      <c r="I224" s="18"/>
      <c r="J224" s="18"/>
      <c r="K224" s="18"/>
      <c r="L224" s="19">
        <f t="shared" si="2"/>
        <v>0</v>
      </c>
      <c r="M224" s="8"/>
      <c r="N224" s="265"/>
    </row>
    <row r="225" spans="1:14" s="3" customFormat="1" ht="12.2" customHeight="1" x14ac:dyDescent="0.15">
      <c r="A225" s="1" t="s">
        <v>446</v>
      </c>
      <c r="B225" s="2" t="s">
        <v>346</v>
      </c>
      <c r="C225" s="2" t="s">
        <v>298</v>
      </c>
      <c r="D225" s="2" t="s">
        <v>431</v>
      </c>
      <c r="E225" s="6">
        <v>2500</v>
      </c>
      <c r="F225" s="18"/>
      <c r="G225" s="18"/>
      <c r="H225" s="18"/>
      <c r="I225" s="18"/>
      <c r="J225" s="18"/>
      <c r="K225" s="18"/>
      <c r="L225" s="19">
        <f t="shared" si="2"/>
        <v>0</v>
      </c>
      <c r="M225" s="8"/>
      <c r="N225" s="265"/>
    </row>
    <row r="226" spans="1:14" s="3" customFormat="1" ht="12.2" customHeight="1" x14ac:dyDescent="0.15">
      <c r="A226" s="1" t="s">
        <v>447</v>
      </c>
      <c r="B226" s="2" t="s">
        <v>346</v>
      </c>
      <c r="C226" s="2" t="s">
        <v>299</v>
      </c>
      <c r="D226" s="2" t="s">
        <v>431</v>
      </c>
      <c r="E226" s="6">
        <v>2600</v>
      </c>
      <c r="F226" s="18"/>
      <c r="G226" s="18"/>
      <c r="H226" s="18"/>
      <c r="I226" s="18"/>
      <c r="J226" s="18"/>
      <c r="K226" s="18"/>
      <c r="L226" s="19">
        <f t="shared" si="2"/>
        <v>0</v>
      </c>
      <c r="M226" s="8"/>
      <c r="N226" s="265"/>
    </row>
    <row r="227" spans="1:14" s="3" customFormat="1" ht="12.2" customHeight="1" x14ac:dyDescent="0.15">
      <c r="A227" s="1" t="s">
        <v>448</v>
      </c>
      <c r="B227" s="2" t="s">
        <v>346</v>
      </c>
      <c r="C227" s="2" t="s">
        <v>300</v>
      </c>
      <c r="D227" s="2" t="s">
        <v>431</v>
      </c>
      <c r="E227" s="6">
        <v>2700</v>
      </c>
      <c r="F227" s="18"/>
      <c r="G227" s="18"/>
      <c r="H227" s="18"/>
      <c r="I227" s="18"/>
      <c r="J227" s="18"/>
      <c r="K227" s="18"/>
      <c r="L227" s="19">
        <f t="shared" si="2"/>
        <v>0</v>
      </c>
      <c r="M227" s="8"/>
      <c r="N227" s="265"/>
    </row>
    <row r="228" spans="1:14" s="3" customFormat="1" ht="12.2" customHeight="1" x14ac:dyDescent="0.15">
      <c r="A228" s="1" t="s">
        <v>449</v>
      </c>
      <c r="B228" s="2" t="s">
        <v>346</v>
      </c>
      <c r="C228" s="2" t="s">
        <v>343</v>
      </c>
      <c r="D228" s="2" t="s">
        <v>431</v>
      </c>
      <c r="E228" s="6">
        <v>2800</v>
      </c>
      <c r="F228" s="18"/>
      <c r="G228" s="18"/>
      <c r="H228" s="18"/>
      <c r="I228" s="18"/>
      <c r="J228" s="18"/>
      <c r="K228" s="18"/>
      <c r="L228" s="19">
        <f>SUM(F228:K228)</f>
        <v>0</v>
      </c>
      <c r="M228" s="8"/>
      <c r="N228" s="265"/>
    </row>
    <row r="229" spans="1:14" s="3" customFormat="1" ht="12.2" customHeight="1" thickBot="1" x14ac:dyDescent="0.2">
      <c r="A229" s="1" t="s">
        <v>450</v>
      </c>
      <c r="B229" s="2" t="s">
        <v>346</v>
      </c>
      <c r="C229" s="2" t="s">
        <v>344</v>
      </c>
      <c r="D229" s="2" t="s">
        <v>431</v>
      </c>
      <c r="E229" s="6">
        <v>2900</v>
      </c>
      <c r="F229" s="24" t="s">
        <v>288</v>
      </c>
      <c r="G229" s="24" t="s">
        <v>288</v>
      </c>
      <c r="H229" s="24" t="s">
        <v>288</v>
      </c>
      <c r="I229" s="24" t="s">
        <v>288</v>
      </c>
      <c r="J229" s="24" t="s">
        <v>288</v>
      </c>
      <c r="K229" s="24" t="s">
        <v>288</v>
      </c>
      <c r="L229" s="24" t="s">
        <v>288</v>
      </c>
      <c r="M229" s="8"/>
      <c r="N229" s="265"/>
    </row>
    <row r="230" spans="1:14" s="3" customFormat="1" ht="12.2" customHeight="1" thickTop="1" x14ac:dyDescent="0.15">
      <c r="A230" s="38" t="s">
        <v>459</v>
      </c>
      <c r="B230" s="39" t="s">
        <v>346</v>
      </c>
      <c r="C230" s="39" t="s">
        <v>345</v>
      </c>
      <c r="D230" s="39" t="s">
        <v>431</v>
      </c>
      <c r="E230" s="44"/>
      <c r="F230" s="41">
        <f t="shared" ref="F230:L230" si="3">SUM(F216:F229)</f>
        <v>0</v>
      </c>
      <c r="G230" s="41">
        <f>SUM(G216:G229)</f>
        <v>0</v>
      </c>
      <c r="H230" s="41">
        <f>SUM(H216:H229)</f>
        <v>0</v>
      </c>
      <c r="I230" s="41">
        <f>SUM(I216:I229)</f>
        <v>0</v>
      </c>
      <c r="J230" s="41">
        <f>SUM(J216:J229)</f>
        <v>0</v>
      </c>
      <c r="K230" s="41">
        <f t="shared" si="3"/>
        <v>0</v>
      </c>
      <c r="L230" s="41">
        <f t="shared" si="3"/>
        <v>0</v>
      </c>
      <c r="M230" s="8"/>
      <c r="N230" s="265"/>
    </row>
    <row r="231" spans="1:14" s="3" customFormat="1" ht="12.2" customHeight="1" x14ac:dyDescent="0.15">
      <c r="A231" s="55" t="s">
        <v>465</v>
      </c>
      <c r="B231" s="36"/>
      <c r="C231" s="75"/>
      <c r="D231" s="75"/>
      <c r="E231" s="75"/>
      <c r="F231" s="176" t="s">
        <v>689</v>
      </c>
      <c r="G231" s="176" t="s">
        <v>690</v>
      </c>
      <c r="H231" s="176" t="s">
        <v>691</v>
      </c>
      <c r="I231" s="176" t="s">
        <v>692</v>
      </c>
      <c r="J231" s="176" t="s">
        <v>693</v>
      </c>
      <c r="K231" s="176" t="s">
        <v>694</v>
      </c>
      <c r="L231" s="67"/>
      <c r="M231" s="8"/>
      <c r="N231" s="265"/>
    </row>
    <row r="232" spans="1:14" s="3" customFormat="1" ht="12.2" customHeight="1" x14ac:dyDescent="0.15">
      <c r="A232" s="29" t="s">
        <v>453</v>
      </c>
      <c r="F232" s="103" t="s">
        <v>54</v>
      </c>
      <c r="G232" s="103" t="s">
        <v>55</v>
      </c>
      <c r="H232" s="103" t="s">
        <v>56</v>
      </c>
      <c r="I232" s="103" t="s">
        <v>57</v>
      </c>
      <c r="J232" s="103" t="s">
        <v>58</v>
      </c>
      <c r="K232" s="103" t="s">
        <v>59</v>
      </c>
      <c r="L232" s="103" t="s">
        <v>5</v>
      </c>
      <c r="M232" s="8"/>
      <c r="N232" s="265"/>
    </row>
    <row r="233" spans="1:14" s="3" customFormat="1" ht="12.2" customHeight="1" x14ac:dyDescent="0.15">
      <c r="A233" s="30" t="s">
        <v>195</v>
      </c>
      <c r="F233" s="24" t="s">
        <v>288</v>
      </c>
      <c r="G233" s="24" t="s">
        <v>288</v>
      </c>
      <c r="H233" s="24" t="s">
        <v>288</v>
      </c>
      <c r="I233" s="24" t="s">
        <v>288</v>
      </c>
      <c r="J233" s="24" t="s">
        <v>288</v>
      </c>
      <c r="K233" s="24" t="s">
        <v>288</v>
      </c>
      <c r="L233" s="24" t="s">
        <v>288</v>
      </c>
      <c r="M233" s="8"/>
      <c r="N233" s="265"/>
    </row>
    <row r="234" spans="1:14" s="3" customFormat="1" ht="12.2" customHeight="1" x14ac:dyDescent="0.15">
      <c r="A234" s="1" t="s">
        <v>438</v>
      </c>
      <c r="B234" s="2" t="s">
        <v>350</v>
      </c>
      <c r="C234" s="2" t="s">
        <v>290</v>
      </c>
      <c r="D234" s="2" t="s">
        <v>431</v>
      </c>
      <c r="E234" s="6">
        <v>1100</v>
      </c>
      <c r="F234" s="18"/>
      <c r="G234" s="18"/>
      <c r="H234" s="18">
        <v>3538062.55</v>
      </c>
      <c r="I234" s="18"/>
      <c r="J234" s="18"/>
      <c r="K234" s="18"/>
      <c r="L234" s="19">
        <f>SUM(F234:K234)</f>
        <v>3538062.55</v>
      </c>
      <c r="M234" s="8"/>
      <c r="N234" s="265"/>
    </row>
    <row r="235" spans="1:14" s="3" customFormat="1" ht="12.2" customHeight="1" x14ac:dyDescent="0.15">
      <c r="A235" s="1" t="s">
        <v>439</v>
      </c>
      <c r="B235" s="2" t="s">
        <v>350</v>
      </c>
      <c r="C235" s="2" t="s">
        <v>291</v>
      </c>
      <c r="D235" s="2" t="s">
        <v>431</v>
      </c>
      <c r="E235" s="6">
        <v>1200</v>
      </c>
      <c r="F235" s="18"/>
      <c r="G235" s="18"/>
      <c r="H235" s="18">
        <f>44539.39+307483.16+288332.28</f>
        <v>640354.83000000007</v>
      </c>
      <c r="I235" s="18"/>
      <c r="J235" s="18"/>
      <c r="K235" s="18"/>
      <c r="L235" s="19">
        <f>SUM(F235:K235)</f>
        <v>640354.83000000007</v>
      </c>
      <c r="M235" s="8"/>
      <c r="N235" s="265"/>
    </row>
    <row r="236" spans="1:14" s="3" customFormat="1" ht="12.2" customHeight="1" x14ac:dyDescent="0.15">
      <c r="A236" s="1" t="s">
        <v>440</v>
      </c>
      <c r="B236" s="2" t="s">
        <v>350</v>
      </c>
      <c r="C236" s="2" t="s">
        <v>292</v>
      </c>
      <c r="D236" s="2" t="s">
        <v>431</v>
      </c>
      <c r="E236" s="6">
        <v>1300</v>
      </c>
      <c r="F236" s="18"/>
      <c r="G236" s="18"/>
      <c r="H236" s="18"/>
      <c r="I236" s="18"/>
      <c r="J236" s="18"/>
      <c r="K236" s="18"/>
      <c r="L236" s="19">
        <f>SUM(F236:K236)</f>
        <v>0</v>
      </c>
      <c r="M236" s="8"/>
      <c r="N236" s="265"/>
    </row>
    <row r="237" spans="1:14" s="3" customFormat="1" ht="12.2" customHeight="1" x14ac:dyDescent="0.15">
      <c r="A237" s="1" t="s">
        <v>441</v>
      </c>
      <c r="B237" s="2" t="s">
        <v>350</v>
      </c>
      <c r="C237" s="2" t="s">
        <v>293</v>
      </c>
      <c r="D237" s="2" t="s">
        <v>431</v>
      </c>
      <c r="E237" s="6">
        <v>1400</v>
      </c>
      <c r="F237" s="18"/>
      <c r="G237" s="18"/>
      <c r="H237" s="18"/>
      <c r="I237" s="18"/>
      <c r="J237" s="18"/>
      <c r="K237" s="18"/>
      <c r="L237" s="19">
        <f>SUM(F237:K237)</f>
        <v>0</v>
      </c>
      <c r="M237" s="8"/>
      <c r="N237" s="265"/>
    </row>
    <row r="238" spans="1:14" s="3" customFormat="1" ht="12.2" customHeight="1" x14ac:dyDescent="0.15">
      <c r="A238" s="30" t="s">
        <v>342</v>
      </c>
      <c r="C238" s="23"/>
      <c r="E238" s="6"/>
      <c r="F238" s="24" t="s">
        <v>288</v>
      </c>
      <c r="G238" s="24" t="s">
        <v>288</v>
      </c>
      <c r="H238" s="24" t="s">
        <v>288</v>
      </c>
      <c r="I238" s="24" t="s">
        <v>288</v>
      </c>
      <c r="J238" s="24" t="s">
        <v>288</v>
      </c>
      <c r="K238" s="24" t="s">
        <v>288</v>
      </c>
      <c r="L238" s="24" t="s">
        <v>288</v>
      </c>
      <c r="M238" s="8"/>
      <c r="N238" s="265"/>
    </row>
    <row r="239" spans="1:14" s="3" customFormat="1" ht="12.2" customHeight="1" x14ac:dyDescent="0.15">
      <c r="A239" s="1" t="s">
        <v>442</v>
      </c>
      <c r="B239" s="2" t="s">
        <v>350</v>
      </c>
      <c r="C239" s="2" t="s">
        <v>294</v>
      </c>
      <c r="D239" s="2" t="s">
        <v>431</v>
      </c>
      <c r="E239" s="6">
        <v>2100</v>
      </c>
      <c r="F239" s="18"/>
      <c r="G239" s="18"/>
      <c r="H239" s="18">
        <f>3555+10214.59</f>
        <v>13769.59</v>
      </c>
      <c r="I239" s="18"/>
      <c r="J239" s="18"/>
      <c r="K239" s="18"/>
      <c r="L239" s="19">
        <f t="shared" ref="L239:L245" si="4">SUM(F239:K239)</f>
        <v>13769.59</v>
      </c>
      <c r="M239" s="8"/>
      <c r="N239" s="265"/>
    </row>
    <row r="240" spans="1:14" s="3" customFormat="1" ht="12.2" customHeight="1" x14ac:dyDescent="0.15">
      <c r="A240" s="1" t="s">
        <v>443</v>
      </c>
      <c r="B240" s="2" t="s">
        <v>350</v>
      </c>
      <c r="C240" s="2" t="s">
        <v>295</v>
      </c>
      <c r="D240" s="2" t="s">
        <v>431</v>
      </c>
      <c r="E240" s="6">
        <v>2200</v>
      </c>
      <c r="F240" s="18"/>
      <c r="G240" s="18"/>
      <c r="H240" s="18"/>
      <c r="I240" s="18"/>
      <c r="J240" s="18"/>
      <c r="K240" s="18"/>
      <c r="L240" s="19">
        <f t="shared" si="4"/>
        <v>0</v>
      </c>
      <c r="M240" s="8"/>
      <c r="N240" s="265"/>
    </row>
    <row r="241" spans="1:14" s="3" customFormat="1" ht="12.2" customHeight="1" x14ac:dyDescent="0.15">
      <c r="A241" s="1" t="s">
        <v>444</v>
      </c>
      <c r="B241" s="2" t="s">
        <v>350</v>
      </c>
      <c r="C241" s="2" t="s">
        <v>296</v>
      </c>
      <c r="D241" s="2" t="s">
        <v>431</v>
      </c>
      <c r="E241" s="6">
        <v>2300</v>
      </c>
      <c r="F241" s="18"/>
      <c r="G241" s="18"/>
      <c r="H241" s="18"/>
      <c r="I241" s="18"/>
      <c r="J241" s="18"/>
      <c r="K241" s="18"/>
      <c r="L241" s="19">
        <f t="shared" si="4"/>
        <v>0</v>
      </c>
      <c r="M241" s="8"/>
      <c r="N241" s="265"/>
    </row>
    <row r="242" spans="1:14" s="3" customFormat="1" ht="12.2" customHeight="1" x14ac:dyDescent="0.15">
      <c r="A242" s="1" t="s">
        <v>445</v>
      </c>
      <c r="B242" s="2" t="s">
        <v>350</v>
      </c>
      <c r="C242" s="2" t="s">
        <v>297</v>
      </c>
      <c r="D242" s="2" t="s">
        <v>431</v>
      </c>
      <c r="E242" s="6">
        <v>2400</v>
      </c>
      <c r="F242" s="18"/>
      <c r="G242" s="18"/>
      <c r="H242" s="18"/>
      <c r="I242" s="18"/>
      <c r="J242" s="18"/>
      <c r="K242" s="18"/>
      <c r="L242" s="19">
        <f t="shared" si="4"/>
        <v>0</v>
      </c>
      <c r="M242" s="8"/>
      <c r="N242" s="265"/>
    </row>
    <row r="243" spans="1:14" s="3" customFormat="1" ht="12.2" customHeight="1" x14ac:dyDescent="0.15">
      <c r="A243" s="1" t="s">
        <v>446</v>
      </c>
      <c r="B243" s="2" t="s">
        <v>350</v>
      </c>
      <c r="C243" s="2" t="s">
        <v>298</v>
      </c>
      <c r="D243" s="2" t="s">
        <v>431</v>
      </c>
      <c r="E243" s="6">
        <v>2500</v>
      </c>
      <c r="F243" s="18"/>
      <c r="G243" s="18"/>
      <c r="H243" s="18"/>
      <c r="I243" s="18"/>
      <c r="J243" s="18"/>
      <c r="K243" s="18"/>
      <c r="L243" s="19">
        <f t="shared" si="4"/>
        <v>0</v>
      </c>
      <c r="M243" s="8"/>
      <c r="N243" s="265"/>
    </row>
    <row r="244" spans="1:14" s="3" customFormat="1" ht="12.2" customHeight="1" x14ac:dyDescent="0.15">
      <c r="A244" s="1" t="s">
        <v>447</v>
      </c>
      <c r="B244" s="2" t="s">
        <v>350</v>
      </c>
      <c r="C244" s="2" t="s">
        <v>299</v>
      </c>
      <c r="D244" s="2" t="s">
        <v>431</v>
      </c>
      <c r="E244" s="6">
        <v>2600</v>
      </c>
      <c r="F244" s="18"/>
      <c r="G244" s="18"/>
      <c r="H244" s="18"/>
      <c r="I244" s="18"/>
      <c r="J244" s="18"/>
      <c r="K244" s="18"/>
      <c r="L244" s="19">
        <f t="shared" si="4"/>
        <v>0</v>
      </c>
      <c r="M244" s="8"/>
      <c r="N244" s="265"/>
    </row>
    <row r="245" spans="1:14" s="3" customFormat="1" ht="12.2" customHeight="1" x14ac:dyDescent="0.15">
      <c r="A245" s="1" t="s">
        <v>448</v>
      </c>
      <c r="B245" s="2" t="s">
        <v>350</v>
      </c>
      <c r="C245" s="2" t="s">
        <v>300</v>
      </c>
      <c r="D245" s="2" t="s">
        <v>431</v>
      </c>
      <c r="E245" s="6">
        <v>2700</v>
      </c>
      <c r="F245" s="18"/>
      <c r="G245" s="18"/>
      <c r="H245" s="18">
        <f>115213.88+168206</f>
        <v>283419.88</v>
      </c>
      <c r="I245" s="18"/>
      <c r="J245" s="18"/>
      <c r="K245" s="18"/>
      <c r="L245" s="19">
        <f t="shared" si="4"/>
        <v>283419.88</v>
      </c>
      <c r="M245" s="8"/>
      <c r="N245" s="265"/>
    </row>
    <row r="246" spans="1:14" s="3" customFormat="1" ht="12.2" customHeight="1" x14ac:dyDescent="0.15">
      <c r="A246" s="1" t="s">
        <v>449</v>
      </c>
      <c r="B246" s="2" t="s">
        <v>350</v>
      </c>
      <c r="C246" s="2" t="s">
        <v>343</v>
      </c>
      <c r="D246" s="2" t="s">
        <v>431</v>
      </c>
      <c r="E246" s="6">
        <v>2800</v>
      </c>
      <c r="F246" s="18"/>
      <c r="G246" s="18"/>
      <c r="H246" s="18"/>
      <c r="I246" s="18"/>
      <c r="J246" s="18"/>
      <c r="K246" s="18"/>
      <c r="L246" s="19">
        <f>SUM(F246:K246)</f>
        <v>0</v>
      </c>
      <c r="M246" s="8"/>
      <c r="N246" s="265"/>
    </row>
    <row r="247" spans="1:14" s="3" customFormat="1" ht="12.2" customHeight="1" thickBot="1" x14ac:dyDescent="0.2">
      <c r="A247" s="1" t="s">
        <v>450</v>
      </c>
      <c r="B247" s="2" t="s">
        <v>350</v>
      </c>
      <c r="C247" s="2" t="s">
        <v>344</v>
      </c>
      <c r="D247" s="2" t="s">
        <v>431</v>
      </c>
      <c r="E247" s="6">
        <v>2900</v>
      </c>
      <c r="F247" s="24" t="s">
        <v>288</v>
      </c>
      <c r="G247" s="24" t="s">
        <v>288</v>
      </c>
      <c r="H247" s="24" t="s">
        <v>288</v>
      </c>
      <c r="I247" s="24" t="s">
        <v>288</v>
      </c>
      <c r="J247" s="24" t="s">
        <v>288</v>
      </c>
      <c r="K247" s="24" t="s">
        <v>288</v>
      </c>
      <c r="L247" s="24" t="s">
        <v>288</v>
      </c>
      <c r="M247" s="8"/>
      <c r="N247" s="265"/>
    </row>
    <row r="248" spans="1:14" s="3" customFormat="1" ht="12.2" customHeight="1" thickTop="1" x14ac:dyDescent="0.15">
      <c r="A248" s="38" t="s">
        <v>681</v>
      </c>
      <c r="B248" s="39" t="s">
        <v>350</v>
      </c>
      <c r="C248" s="40">
        <v>14</v>
      </c>
      <c r="D248" s="39" t="s">
        <v>431</v>
      </c>
      <c r="E248" s="40"/>
      <c r="F248" s="41">
        <f t="shared" ref="F248:L248" si="5">SUM(F234:F247)</f>
        <v>0</v>
      </c>
      <c r="G248" s="41">
        <f t="shared" si="5"/>
        <v>0</v>
      </c>
      <c r="H248" s="41">
        <f t="shared" si="5"/>
        <v>4475606.8499999996</v>
      </c>
      <c r="I248" s="41">
        <f t="shared" si="5"/>
        <v>0</v>
      </c>
      <c r="J248" s="41">
        <f t="shared" si="5"/>
        <v>0</v>
      </c>
      <c r="K248" s="41">
        <f t="shared" si="5"/>
        <v>0</v>
      </c>
      <c r="L248" s="41">
        <f t="shared" si="5"/>
        <v>4475606.8499999996</v>
      </c>
      <c r="M248" s="8"/>
      <c r="N248" s="265"/>
    </row>
    <row r="249" spans="1:14" s="3" customFormat="1" ht="12.2" customHeight="1" x14ac:dyDescent="0.15">
      <c r="A249" s="70"/>
      <c r="B249" s="36"/>
      <c r="C249" s="37"/>
      <c r="D249" s="37"/>
      <c r="E249" s="37"/>
      <c r="F249" s="176" t="s">
        <v>689</v>
      </c>
      <c r="G249" s="176" t="s">
        <v>690</v>
      </c>
      <c r="H249" s="176" t="s">
        <v>691</v>
      </c>
      <c r="I249" s="176" t="s">
        <v>692</v>
      </c>
      <c r="J249" s="176" t="s">
        <v>693</v>
      </c>
      <c r="K249" s="176" t="s">
        <v>694</v>
      </c>
      <c r="L249" s="67"/>
      <c r="M249" s="8"/>
      <c r="N249" s="265"/>
    </row>
    <row r="250" spans="1:14" s="3" customFormat="1" ht="12.2" customHeight="1" x14ac:dyDescent="0.15">
      <c r="A250" s="29" t="s">
        <v>351</v>
      </c>
      <c r="B250" s="7"/>
      <c r="C250" s="7"/>
      <c r="D250" s="7"/>
      <c r="E250" s="7"/>
      <c r="F250" s="103" t="s">
        <v>54</v>
      </c>
      <c r="G250" s="103" t="s">
        <v>55</v>
      </c>
      <c r="H250" s="103" t="s">
        <v>56</v>
      </c>
      <c r="I250" s="103" t="s">
        <v>57</v>
      </c>
      <c r="J250" s="103" t="s">
        <v>58</v>
      </c>
      <c r="K250" s="103" t="s">
        <v>59</v>
      </c>
      <c r="L250" s="103" t="s">
        <v>5</v>
      </c>
      <c r="M250" s="8"/>
      <c r="N250" s="265"/>
    </row>
    <row r="251" spans="1:14" s="3" customFormat="1" ht="12.2" customHeight="1" x14ac:dyDescent="0.15">
      <c r="A251" s="1" t="s">
        <v>656</v>
      </c>
      <c r="B251" s="2" t="s">
        <v>352</v>
      </c>
      <c r="C251" s="2" t="s">
        <v>289</v>
      </c>
      <c r="D251" s="2" t="s">
        <v>431</v>
      </c>
      <c r="E251" s="6">
        <v>1500</v>
      </c>
      <c r="F251" s="18"/>
      <c r="G251" s="18"/>
      <c r="H251" s="18"/>
      <c r="I251" s="18"/>
      <c r="J251" s="18"/>
      <c r="K251" s="18"/>
      <c r="L251" s="19">
        <f t="shared" ref="L251:L256" si="6">SUM(F251:K251)</f>
        <v>0</v>
      </c>
      <c r="M251" s="8"/>
      <c r="N251" s="265"/>
    </row>
    <row r="252" spans="1:14" s="3" customFormat="1" ht="12.2" customHeight="1" x14ac:dyDescent="0.15">
      <c r="A252" s="1" t="s">
        <v>353</v>
      </c>
      <c r="B252" s="2" t="s">
        <v>352</v>
      </c>
      <c r="C252" s="2" t="s">
        <v>309</v>
      </c>
      <c r="D252" s="2" t="s">
        <v>431</v>
      </c>
      <c r="E252" s="6">
        <v>1600</v>
      </c>
      <c r="F252" s="18"/>
      <c r="G252" s="18"/>
      <c r="H252" s="18"/>
      <c r="I252" s="18"/>
      <c r="J252" s="18"/>
      <c r="K252" s="18"/>
      <c r="L252" s="19">
        <f t="shared" si="6"/>
        <v>0</v>
      </c>
      <c r="M252" s="8"/>
      <c r="N252" s="265"/>
    </row>
    <row r="253" spans="1:14" s="3" customFormat="1" ht="12.2" customHeight="1" x14ac:dyDescent="0.15">
      <c r="A253" s="1" t="s">
        <v>582</v>
      </c>
      <c r="B253" s="2" t="s">
        <v>352</v>
      </c>
      <c r="C253" s="2" t="s">
        <v>315</v>
      </c>
      <c r="D253" s="2" t="s">
        <v>431</v>
      </c>
      <c r="E253" s="6">
        <v>1700</v>
      </c>
      <c r="F253" s="18"/>
      <c r="G253" s="18"/>
      <c r="H253" s="18"/>
      <c r="I253" s="18"/>
      <c r="J253" s="18"/>
      <c r="K253" s="18"/>
      <c r="L253" s="19">
        <f t="shared" si="6"/>
        <v>0</v>
      </c>
      <c r="M253" s="8"/>
      <c r="N253" s="265"/>
    </row>
    <row r="254" spans="1:14" s="3" customFormat="1" ht="12.2" customHeight="1" x14ac:dyDescent="0.15">
      <c r="A254" s="1" t="s">
        <v>583</v>
      </c>
      <c r="B254" s="2" t="s">
        <v>352</v>
      </c>
      <c r="C254" s="2" t="s">
        <v>321</v>
      </c>
      <c r="D254" s="2" t="s">
        <v>431</v>
      </c>
      <c r="E254" s="6">
        <v>1800</v>
      </c>
      <c r="F254" s="18"/>
      <c r="G254" s="18"/>
      <c r="H254" s="18"/>
      <c r="I254" s="18"/>
      <c r="J254" s="18"/>
      <c r="K254" s="18"/>
      <c r="L254" s="19">
        <f t="shared" si="6"/>
        <v>0</v>
      </c>
      <c r="M254" s="8"/>
      <c r="N254" s="265"/>
    </row>
    <row r="255" spans="1:14" s="3" customFormat="1" ht="12.2" customHeight="1" x14ac:dyDescent="0.15">
      <c r="A255" s="1" t="s">
        <v>391</v>
      </c>
      <c r="B255" s="2" t="s">
        <v>352</v>
      </c>
      <c r="C255" s="2" t="s">
        <v>324</v>
      </c>
      <c r="D255" s="2" t="s">
        <v>431</v>
      </c>
      <c r="E255" s="6">
        <v>2750</v>
      </c>
      <c r="F255" s="18"/>
      <c r="G255" s="18"/>
      <c r="H255" s="18"/>
      <c r="I255" s="18"/>
      <c r="J255" s="18"/>
      <c r="K255" s="18"/>
      <c r="L255" s="19">
        <f t="shared" si="6"/>
        <v>0</v>
      </c>
      <c r="M255" s="8"/>
      <c r="N255" s="265"/>
    </row>
    <row r="256" spans="1:14" s="3" customFormat="1" ht="12.2" customHeight="1" thickBot="1" x14ac:dyDescent="0.2">
      <c r="A256" s="1" t="s">
        <v>584</v>
      </c>
      <c r="B256" s="2" t="s">
        <v>352</v>
      </c>
      <c r="C256" s="6">
        <v>6</v>
      </c>
      <c r="D256" s="2" t="s">
        <v>431</v>
      </c>
      <c r="E256" s="6">
        <v>4000</v>
      </c>
      <c r="F256" s="18"/>
      <c r="G256" s="18"/>
      <c r="H256" s="18">
        <f>1972</f>
        <v>1972</v>
      </c>
      <c r="I256" s="18"/>
      <c r="J256" s="18"/>
      <c r="K256" s="18">
        <v>16996</v>
      </c>
      <c r="L256" s="19">
        <f t="shared" si="6"/>
        <v>18968</v>
      </c>
      <c r="M256" s="8"/>
      <c r="N256" s="265"/>
    </row>
    <row r="257" spans="1:14" s="3" customFormat="1" ht="12.2" customHeight="1" thickTop="1" thickBot="1" x14ac:dyDescent="0.2">
      <c r="A257" s="38" t="s">
        <v>461</v>
      </c>
      <c r="B257" s="40">
        <v>10</v>
      </c>
      <c r="C257" s="40">
        <v>7</v>
      </c>
      <c r="D257" s="39" t="s">
        <v>431</v>
      </c>
      <c r="E257" s="40"/>
      <c r="F257" s="41">
        <f t="shared" ref="F257:K257" si="7">SUM(F251:F256)</f>
        <v>0</v>
      </c>
      <c r="G257" s="41">
        <f t="shared" si="7"/>
        <v>0</v>
      </c>
      <c r="H257" s="41">
        <f t="shared" si="7"/>
        <v>1972</v>
      </c>
      <c r="I257" s="41">
        <f t="shared" si="7"/>
        <v>0</v>
      </c>
      <c r="J257" s="41">
        <f t="shared" si="7"/>
        <v>0</v>
      </c>
      <c r="K257" s="41">
        <f t="shared" si="7"/>
        <v>16996</v>
      </c>
      <c r="L257" s="41">
        <f>SUM(F257:K257)</f>
        <v>18968</v>
      </c>
      <c r="M257" s="8"/>
      <c r="N257" s="265"/>
    </row>
    <row r="258" spans="1:14" s="3" customFormat="1" ht="12.2" customHeight="1" thickTop="1" x14ac:dyDescent="0.15">
      <c r="A258" s="38" t="s">
        <v>462</v>
      </c>
      <c r="B258" s="40">
        <v>10</v>
      </c>
      <c r="C258" s="40">
        <v>8</v>
      </c>
      <c r="D258" s="39" t="s">
        <v>431</v>
      </c>
      <c r="E258" s="40"/>
      <c r="F258" s="41">
        <f t="shared" ref="F258:L258" si="8">F212+F230+F248+F257</f>
        <v>3885658.6999999997</v>
      </c>
      <c r="G258" s="41">
        <f t="shared" si="8"/>
        <v>1872765.05</v>
      </c>
      <c r="H258" s="41">
        <f t="shared" si="8"/>
        <v>5387235.9199999999</v>
      </c>
      <c r="I258" s="41">
        <f t="shared" si="8"/>
        <v>229038.5</v>
      </c>
      <c r="J258" s="41">
        <f t="shared" si="8"/>
        <v>31701.38</v>
      </c>
      <c r="K258" s="41">
        <f t="shared" si="8"/>
        <v>75825.17</v>
      </c>
      <c r="L258" s="41">
        <f t="shared" si="8"/>
        <v>11482224.719999999</v>
      </c>
      <c r="M258" s="8"/>
      <c r="N258" s="265"/>
    </row>
    <row r="259" spans="1:14" s="3" customFormat="1" ht="12.2" customHeight="1" x14ac:dyDescent="0.15">
      <c r="A259" s="34" t="s">
        <v>354</v>
      </c>
      <c r="F259" s="13"/>
      <c r="G259" s="13"/>
      <c r="H259" s="13"/>
      <c r="I259" s="13"/>
      <c r="J259" s="13"/>
      <c r="K259" s="14" t="s">
        <v>286</v>
      </c>
      <c r="L259" s="14" t="s">
        <v>355</v>
      </c>
      <c r="M259" s="8"/>
      <c r="N259" s="265"/>
    </row>
    <row r="260" spans="1:14" s="3" customFormat="1" ht="12.2" customHeight="1" x14ac:dyDescent="0.15">
      <c r="A260" s="30" t="s">
        <v>463</v>
      </c>
      <c r="E260" s="6">
        <v>5100</v>
      </c>
      <c r="F260" s="24" t="s">
        <v>288</v>
      </c>
      <c r="G260" s="24" t="s">
        <v>288</v>
      </c>
      <c r="H260" s="24" t="s">
        <v>288</v>
      </c>
      <c r="I260" s="24" t="s">
        <v>288</v>
      </c>
      <c r="J260" s="24" t="s">
        <v>288</v>
      </c>
      <c r="K260" s="24" t="s">
        <v>288</v>
      </c>
      <c r="L260" s="24" t="s">
        <v>288</v>
      </c>
      <c r="M260" s="8"/>
      <c r="N260" s="265"/>
    </row>
    <row r="261" spans="1:14" ht="12.2" customHeight="1" x14ac:dyDescent="0.2">
      <c r="A261" s="1" t="s">
        <v>520</v>
      </c>
      <c r="B261" s="2" t="s">
        <v>352</v>
      </c>
      <c r="C261" s="6">
        <v>9</v>
      </c>
      <c r="D261" s="2" t="s">
        <v>431</v>
      </c>
      <c r="E261" s="6">
        <v>5110</v>
      </c>
      <c r="F261" s="24" t="s">
        <v>288</v>
      </c>
      <c r="G261" s="24" t="s">
        <v>288</v>
      </c>
      <c r="H261" s="24" t="s">
        <v>288</v>
      </c>
      <c r="I261" s="24" t="s">
        <v>288</v>
      </c>
      <c r="J261" s="24" t="s">
        <v>288</v>
      </c>
      <c r="K261" s="18">
        <v>13658.56</v>
      </c>
      <c r="L261" s="19">
        <f>SUM(F261:K261)</f>
        <v>13658.56</v>
      </c>
      <c r="N261" s="263"/>
    </row>
    <row r="262" spans="1:14" ht="12.2" customHeight="1" x14ac:dyDescent="0.2">
      <c r="A262" s="1" t="s">
        <v>532</v>
      </c>
      <c r="B262" s="2" t="s">
        <v>352</v>
      </c>
      <c r="C262" s="6">
        <v>10</v>
      </c>
      <c r="D262" s="2" t="s">
        <v>431</v>
      </c>
      <c r="E262" s="6">
        <v>5120</v>
      </c>
      <c r="F262" s="24" t="s">
        <v>288</v>
      </c>
      <c r="G262" s="24" t="s">
        <v>288</v>
      </c>
      <c r="H262" s="24" t="s">
        <v>288</v>
      </c>
      <c r="I262" s="24" t="s">
        <v>288</v>
      </c>
      <c r="J262" s="24" t="s">
        <v>288</v>
      </c>
      <c r="K262" s="18">
        <v>857.14</v>
      </c>
      <c r="L262" s="19">
        <f>SUM(F262:K262)</f>
        <v>857.14</v>
      </c>
      <c r="N262" s="263"/>
    </row>
    <row r="263" spans="1:14" ht="12.2" customHeight="1" x14ac:dyDescent="0.2">
      <c r="A263" s="30" t="s">
        <v>356</v>
      </c>
      <c r="B263" s="3"/>
      <c r="C263" s="3"/>
      <c r="D263" s="3"/>
      <c r="E263" s="6">
        <v>5200</v>
      </c>
      <c r="F263" s="24" t="s">
        <v>288</v>
      </c>
      <c r="G263" s="24" t="s">
        <v>288</v>
      </c>
      <c r="H263" s="24" t="s">
        <v>288</v>
      </c>
      <c r="I263" s="24" t="s">
        <v>288</v>
      </c>
      <c r="J263" s="24" t="s">
        <v>288</v>
      </c>
      <c r="K263" s="24" t="s">
        <v>288</v>
      </c>
      <c r="L263" s="24" t="s">
        <v>288</v>
      </c>
      <c r="N263" s="263"/>
    </row>
    <row r="264" spans="1:14" ht="12.2" customHeight="1" x14ac:dyDescent="0.2">
      <c r="A264" s="3" t="s">
        <v>533</v>
      </c>
      <c r="B264" s="6">
        <v>10</v>
      </c>
      <c r="C264" s="6">
        <v>11</v>
      </c>
      <c r="D264" s="2" t="s">
        <v>431</v>
      </c>
      <c r="E264" s="6">
        <v>5221</v>
      </c>
      <c r="F264" s="24" t="s">
        <v>288</v>
      </c>
      <c r="G264" s="24" t="s">
        <v>288</v>
      </c>
      <c r="H264" s="24" t="s">
        <v>288</v>
      </c>
      <c r="I264" s="24" t="s">
        <v>288</v>
      </c>
      <c r="J264" s="24" t="s">
        <v>288</v>
      </c>
      <c r="K264" s="18"/>
      <c r="L264" s="19">
        <f>SUM(F264:K264)</f>
        <v>0</v>
      </c>
      <c r="N264" s="263"/>
    </row>
    <row r="265" spans="1:14" ht="12.2" customHeight="1" x14ac:dyDescent="0.2">
      <c r="A265" s="3" t="s">
        <v>601</v>
      </c>
      <c r="B265" s="6">
        <v>10</v>
      </c>
      <c r="C265" s="6">
        <v>12</v>
      </c>
      <c r="D265" s="2" t="s">
        <v>431</v>
      </c>
      <c r="E265" s="6">
        <v>5222</v>
      </c>
      <c r="F265" s="24" t="s">
        <v>288</v>
      </c>
      <c r="G265" s="24" t="s">
        <v>288</v>
      </c>
      <c r="H265" s="24" t="s">
        <v>288</v>
      </c>
      <c r="I265" s="24" t="s">
        <v>288</v>
      </c>
      <c r="J265" s="24" t="s">
        <v>288</v>
      </c>
      <c r="K265" s="18"/>
      <c r="L265" s="19">
        <f t="shared" ref="L265:L271" si="9">SUM(F265:K265)</f>
        <v>0</v>
      </c>
      <c r="N265" s="263"/>
    </row>
    <row r="266" spans="1:14" ht="12.2" customHeight="1" x14ac:dyDescent="0.2">
      <c r="A266" s="3" t="s">
        <v>534</v>
      </c>
      <c r="B266" s="6">
        <v>10</v>
      </c>
      <c r="C266" s="6">
        <v>13</v>
      </c>
      <c r="D266" s="2" t="s">
        <v>431</v>
      </c>
      <c r="E266" s="6">
        <v>5230</v>
      </c>
      <c r="F266" s="24" t="s">
        <v>288</v>
      </c>
      <c r="G266" s="24" t="s">
        <v>288</v>
      </c>
      <c r="H266" s="24" t="s">
        <v>288</v>
      </c>
      <c r="I266" s="24" t="s">
        <v>288</v>
      </c>
      <c r="J266" s="24" t="s">
        <v>288</v>
      </c>
      <c r="K266" s="18"/>
      <c r="L266" s="19">
        <f t="shared" si="9"/>
        <v>0</v>
      </c>
      <c r="N266" s="263"/>
    </row>
    <row r="267" spans="1:14" ht="12.2" customHeight="1" x14ac:dyDescent="0.2">
      <c r="A267" s="3" t="s">
        <v>535</v>
      </c>
      <c r="B267" s="6">
        <v>10</v>
      </c>
      <c r="C267" s="6">
        <v>14</v>
      </c>
      <c r="D267" s="2" t="s">
        <v>431</v>
      </c>
      <c r="E267" s="6">
        <v>5250</v>
      </c>
      <c r="F267" s="24" t="s">
        <v>288</v>
      </c>
      <c r="G267" s="24" t="s">
        <v>288</v>
      </c>
      <c r="H267" s="24" t="s">
        <v>288</v>
      </c>
      <c r="I267" s="24" t="s">
        <v>288</v>
      </c>
      <c r="J267" s="24" t="s">
        <v>288</v>
      </c>
      <c r="K267" s="18">
        <v>100000</v>
      </c>
      <c r="L267" s="19">
        <f t="shared" si="9"/>
        <v>100000</v>
      </c>
      <c r="N267" s="263"/>
    </row>
    <row r="268" spans="1:14" ht="12.2" customHeight="1" x14ac:dyDescent="0.2">
      <c r="A268" s="27" t="s">
        <v>560</v>
      </c>
      <c r="B268" s="6"/>
      <c r="C268" s="6"/>
      <c r="D268" s="6"/>
      <c r="E268" s="6">
        <v>5300</v>
      </c>
      <c r="F268" s="24" t="s">
        <v>288</v>
      </c>
      <c r="G268" s="24" t="s">
        <v>288</v>
      </c>
      <c r="H268" s="24" t="s">
        <v>288</v>
      </c>
      <c r="I268" s="24" t="s">
        <v>288</v>
      </c>
      <c r="J268" s="24" t="s">
        <v>288</v>
      </c>
      <c r="K268" s="24" t="s">
        <v>288</v>
      </c>
      <c r="L268" s="24" t="s">
        <v>288</v>
      </c>
      <c r="N268" s="263"/>
    </row>
    <row r="269" spans="1:14" ht="12.2" customHeight="1" x14ac:dyDescent="0.2">
      <c r="A269" s="3" t="s">
        <v>536</v>
      </c>
      <c r="B269" s="6">
        <v>10</v>
      </c>
      <c r="C269" s="6">
        <v>15</v>
      </c>
      <c r="D269" s="2" t="s">
        <v>431</v>
      </c>
      <c r="E269" s="6">
        <v>5310</v>
      </c>
      <c r="F269" s="24" t="s">
        <v>288</v>
      </c>
      <c r="G269" s="24" t="s">
        <v>288</v>
      </c>
      <c r="H269" s="24" t="s">
        <v>288</v>
      </c>
      <c r="I269" s="24" t="s">
        <v>288</v>
      </c>
      <c r="J269" s="24" t="s">
        <v>288</v>
      </c>
      <c r="K269" s="18"/>
      <c r="L269" s="19">
        <f t="shared" si="9"/>
        <v>0</v>
      </c>
      <c r="N269" s="263"/>
    </row>
    <row r="270" spans="1:14" ht="12.2" customHeight="1" thickBot="1" x14ac:dyDescent="0.25">
      <c r="A270" s="3" t="s">
        <v>537</v>
      </c>
      <c r="B270" s="6">
        <v>10</v>
      </c>
      <c r="C270" s="6">
        <v>16</v>
      </c>
      <c r="D270" s="2" t="s">
        <v>431</v>
      </c>
      <c r="E270" s="6">
        <v>5390</v>
      </c>
      <c r="F270" s="24" t="s">
        <v>288</v>
      </c>
      <c r="G270" s="24" t="s">
        <v>288</v>
      </c>
      <c r="H270" s="24" t="s">
        <v>288</v>
      </c>
      <c r="I270" s="24" t="s">
        <v>288</v>
      </c>
      <c r="J270" s="24" t="s">
        <v>288</v>
      </c>
      <c r="K270" s="18"/>
      <c r="L270" s="19">
        <f t="shared" si="9"/>
        <v>0</v>
      </c>
      <c r="N270" s="263"/>
    </row>
    <row r="271" spans="1:14" s="3" customFormat="1" ht="12.2" customHeight="1" thickTop="1" thickBot="1" x14ac:dyDescent="0.25">
      <c r="A271" s="43" t="s">
        <v>420</v>
      </c>
      <c r="B271" s="40">
        <v>10</v>
      </c>
      <c r="C271" s="40">
        <v>17</v>
      </c>
      <c r="D271" s="39" t="s">
        <v>431</v>
      </c>
      <c r="E271" s="40"/>
      <c r="F271" s="42">
        <f t="shared" ref="F271:K271" si="10">SUM(F261:F270)</f>
        <v>0</v>
      </c>
      <c r="G271" s="42">
        <f t="shared" si="10"/>
        <v>0</v>
      </c>
      <c r="H271" s="42">
        <f t="shared" si="10"/>
        <v>0</v>
      </c>
      <c r="I271" s="42">
        <f t="shared" si="10"/>
        <v>0</v>
      </c>
      <c r="J271" s="42">
        <f t="shared" si="10"/>
        <v>0</v>
      </c>
      <c r="K271" s="42">
        <f t="shared" si="10"/>
        <v>114515.7</v>
      </c>
      <c r="L271" s="41">
        <f t="shared" si="9"/>
        <v>114515.7</v>
      </c>
      <c r="M271" s="8"/>
      <c r="N271" s="265"/>
    </row>
    <row r="272" spans="1:14" s="34" customFormat="1" ht="12.2" customHeight="1" thickTop="1" x14ac:dyDescent="0.2">
      <c r="A272" s="43" t="s">
        <v>464</v>
      </c>
      <c r="B272" s="40">
        <v>10</v>
      </c>
      <c r="C272" s="40">
        <v>18</v>
      </c>
      <c r="D272" s="39" t="s">
        <v>431</v>
      </c>
      <c r="E272" s="40"/>
      <c r="F272" s="42">
        <f t="shared" ref="F272:L272" si="11">F258+F271</f>
        <v>3885658.6999999997</v>
      </c>
      <c r="G272" s="42">
        <f t="shared" si="11"/>
        <v>1872765.05</v>
      </c>
      <c r="H272" s="42">
        <f t="shared" si="11"/>
        <v>5387235.9199999999</v>
      </c>
      <c r="I272" s="42">
        <f t="shared" si="11"/>
        <v>229038.5</v>
      </c>
      <c r="J272" s="42">
        <f t="shared" si="11"/>
        <v>31701.38</v>
      </c>
      <c r="K272" s="42">
        <f t="shared" si="11"/>
        <v>190340.87</v>
      </c>
      <c r="L272" s="42">
        <f t="shared" si="11"/>
        <v>11596740.419999998</v>
      </c>
      <c r="M272" s="35"/>
      <c r="N272" s="265"/>
    </row>
    <row r="273" spans="1:14" s="3" customFormat="1" ht="12.2" customHeight="1" x14ac:dyDescent="0.2">
      <c r="A273" s="33"/>
      <c r="B273" s="6"/>
      <c r="C273" s="6"/>
      <c r="D273" s="6"/>
      <c r="E273" s="6"/>
      <c r="F273" s="20"/>
      <c r="G273" s="20"/>
      <c r="H273" s="20"/>
      <c r="I273" s="20"/>
      <c r="J273" s="20"/>
      <c r="K273" s="20"/>
      <c r="L273" s="20"/>
      <c r="M273" s="8"/>
      <c r="N273" s="265"/>
    </row>
    <row r="274" spans="1:14" s="3" customFormat="1" ht="12.2" customHeight="1" x14ac:dyDescent="0.15">
      <c r="A274" s="29" t="s">
        <v>466</v>
      </c>
      <c r="F274" s="176" t="s">
        <v>689</v>
      </c>
      <c r="G274" s="176" t="s">
        <v>690</v>
      </c>
      <c r="H274" s="176" t="s">
        <v>691</v>
      </c>
      <c r="I274" s="176" t="s">
        <v>692</v>
      </c>
      <c r="J274" s="176" t="s">
        <v>693</v>
      </c>
      <c r="K274" s="176" t="s">
        <v>694</v>
      </c>
      <c r="M274" s="8"/>
      <c r="N274" s="265"/>
    </row>
    <row r="275" spans="1:14" s="3" customFormat="1" ht="12.2" customHeight="1" x14ac:dyDescent="0.15">
      <c r="A275" s="29" t="s">
        <v>451</v>
      </c>
      <c r="B275" s="34"/>
      <c r="C275" s="34"/>
      <c r="D275" s="34"/>
      <c r="E275" s="34"/>
      <c r="F275" s="103" t="s">
        <v>54</v>
      </c>
      <c r="G275" s="103" t="s">
        <v>55</v>
      </c>
      <c r="H275" s="103" t="s">
        <v>56</v>
      </c>
      <c r="I275" s="103" t="s">
        <v>57</v>
      </c>
      <c r="J275" s="103" t="s">
        <v>58</v>
      </c>
      <c r="K275" s="103" t="s">
        <v>59</v>
      </c>
      <c r="L275" s="103" t="s">
        <v>5</v>
      </c>
      <c r="M275" s="8"/>
      <c r="N275" s="265"/>
    </row>
    <row r="276" spans="1:14" s="3" customFormat="1" ht="12.2" customHeight="1" x14ac:dyDescent="0.15">
      <c r="A276" s="30" t="s">
        <v>195</v>
      </c>
      <c r="F276" s="24" t="s">
        <v>288</v>
      </c>
      <c r="G276" s="24" t="s">
        <v>288</v>
      </c>
      <c r="H276" s="24" t="s">
        <v>288</v>
      </c>
      <c r="I276" s="24" t="s">
        <v>288</v>
      </c>
      <c r="J276" s="24" t="s">
        <v>288</v>
      </c>
      <c r="K276" s="24" t="s">
        <v>288</v>
      </c>
      <c r="L276" s="24" t="s">
        <v>288</v>
      </c>
      <c r="M276" s="8"/>
      <c r="N276" s="265"/>
    </row>
    <row r="277" spans="1:14" s="3" customFormat="1" ht="12.2" customHeight="1" x14ac:dyDescent="0.15">
      <c r="A277" s="1" t="s">
        <v>438</v>
      </c>
      <c r="B277" s="2" t="s">
        <v>357</v>
      </c>
      <c r="C277" s="2" t="s">
        <v>290</v>
      </c>
      <c r="D277" s="2" t="s">
        <v>431</v>
      </c>
      <c r="E277" s="6">
        <v>1100</v>
      </c>
      <c r="F277" s="18">
        <f>31178.37+16979.76</f>
        <v>48158.13</v>
      </c>
      <c r="G277" s="18">
        <v>10794.06</v>
      </c>
      <c r="H277" s="18"/>
      <c r="I277" s="18">
        <v>11557.03</v>
      </c>
      <c r="J277" s="18">
        <v>27487.22</v>
      </c>
      <c r="K277" s="18"/>
      <c r="L277" s="19">
        <f>SUM(F277:K277)</f>
        <v>97996.44</v>
      </c>
      <c r="M277" s="8"/>
      <c r="N277" s="265"/>
    </row>
    <row r="278" spans="1:14" s="3" customFormat="1" ht="12.2" customHeight="1" x14ac:dyDescent="0.15">
      <c r="A278" s="1" t="s">
        <v>439</v>
      </c>
      <c r="B278" s="2" t="s">
        <v>357</v>
      </c>
      <c r="C278" s="2" t="s">
        <v>291</v>
      </c>
      <c r="D278" s="2" t="s">
        <v>431</v>
      </c>
      <c r="E278" s="6">
        <v>1200</v>
      </c>
      <c r="F278" s="18">
        <f>3642.67</f>
        <v>3642.67</v>
      </c>
      <c r="G278" s="18">
        <v>278.69</v>
      </c>
      <c r="H278" s="18">
        <v>85167.32</v>
      </c>
      <c r="I278" s="18"/>
      <c r="J278" s="18"/>
      <c r="K278" s="18"/>
      <c r="L278" s="19">
        <f>SUM(F278:K278)</f>
        <v>89088.680000000008</v>
      </c>
      <c r="M278" s="8"/>
      <c r="N278" s="265"/>
    </row>
    <row r="279" spans="1:14" s="3" customFormat="1" ht="12.2" customHeight="1" x14ac:dyDescent="0.15">
      <c r="A279" s="1" t="s">
        <v>440</v>
      </c>
      <c r="B279" s="2" t="s">
        <v>357</v>
      </c>
      <c r="C279" s="2" t="s">
        <v>292</v>
      </c>
      <c r="D279" s="2" t="s">
        <v>431</v>
      </c>
      <c r="E279" s="6">
        <v>1300</v>
      </c>
      <c r="F279" s="18"/>
      <c r="G279" s="18"/>
      <c r="H279" s="18"/>
      <c r="I279" s="18"/>
      <c r="J279" s="18"/>
      <c r="K279" s="18"/>
      <c r="L279" s="19">
        <f>SUM(F279:K279)</f>
        <v>0</v>
      </c>
      <c r="M279" s="8"/>
      <c r="N279" s="265"/>
    </row>
    <row r="280" spans="1:14" s="3" customFormat="1" ht="12.2" customHeight="1" x14ac:dyDescent="0.15">
      <c r="A280" s="1" t="s">
        <v>441</v>
      </c>
      <c r="B280" s="2" t="s">
        <v>357</v>
      </c>
      <c r="C280" s="2" t="s">
        <v>293</v>
      </c>
      <c r="D280" s="2" t="s">
        <v>431</v>
      </c>
      <c r="E280" s="6">
        <v>1400</v>
      </c>
      <c r="F280" s="18">
        <f>24168.75</f>
        <v>24168.75</v>
      </c>
      <c r="G280" s="18">
        <v>5752.64</v>
      </c>
      <c r="H280" s="18"/>
      <c r="I280" s="18">
        <v>4430</v>
      </c>
      <c r="J280" s="18"/>
      <c r="K280" s="18">
        <v>347</v>
      </c>
      <c r="L280" s="19">
        <f>SUM(F280:K280)</f>
        <v>34698.39</v>
      </c>
      <c r="M280" s="8"/>
      <c r="N280" s="265"/>
    </row>
    <row r="281" spans="1:14" s="3" customFormat="1" ht="12.2" customHeight="1" x14ac:dyDescent="0.15">
      <c r="A281" s="30" t="s">
        <v>342</v>
      </c>
      <c r="E281" s="6"/>
      <c r="F281" s="24" t="s">
        <v>288</v>
      </c>
      <c r="G281" s="24" t="s">
        <v>288</v>
      </c>
      <c r="H281" s="24" t="s">
        <v>288</v>
      </c>
      <c r="I281" s="24" t="s">
        <v>288</v>
      </c>
      <c r="J281" s="24" t="s">
        <v>288</v>
      </c>
      <c r="K281" s="24" t="s">
        <v>288</v>
      </c>
      <c r="L281" s="24" t="s">
        <v>288</v>
      </c>
      <c r="M281" s="8"/>
      <c r="N281" s="265"/>
    </row>
    <row r="282" spans="1:14" s="3" customFormat="1" ht="12.2" customHeight="1" x14ac:dyDescent="0.15">
      <c r="A282" s="1" t="s">
        <v>442</v>
      </c>
      <c r="B282" s="2" t="s">
        <v>357</v>
      </c>
      <c r="C282" s="2" t="s">
        <v>294</v>
      </c>
      <c r="D282" s="2" t="s">
        <v>431</v>
      </c>
      <c r="E282" s="6">
        <v>2100</v>
      </c>
      <c r="F282" s="18"/>
      <c r="G282" s="18"/>
      <c r="H282" s="18">
        <f>28770.2+3594.25</f>
        <v>32364.45</v>
      </c>
      <c r="I282" s="18"/>
      <c r="J282" s="18"/>
      <c r="K282" s="18"/>
      <c r="L282" s="19">
        <f t="shared" ref="L282:L288" si="12">SUM(F282:K282)</f>
        <v>32364.45</v>
      </c>
      <c r="M282" s="8"/>
      <c r="N282" s="265"/>
    </row>
    <row r="283" spans="1:14" s="3" customFormat="1" ht="12.2" customHeight="1" x14ac:dyDescent="0.15">
      <c r="A283" s="1" t="s">
        <v>443</v>
      </c>
      <c r="B283" s="2" t="s">
        <v>357</v>
      </c>
      <c r="C283" s="2" t="s">
        <v>295</v>
      </c>
      <c r="D283" s="2" t="s">
        <v>431</v>
      </c>
      <c r="E283" s="6">
        <v>2200</v>
      </c>
      <c r="F283" s="18">
        <f>400</f>
        <v>400</v>
      </c>
      <c r="G283" s="18">
        <v>101.54</v>
      </c>
      <c r="H283" s="18">
        <f>22310.75+700</f>
        <v>23010.75</v>
      </c>
      <c r="I283" s="18"/>
      <c r="J283" s="18">
        <v>917.77</v>
      </c>
      <c r="K283" s="18"/>
      <c r="L283" s="19">
        <f t="shared" si="12"/>
        <v>24430.06</v>
      </c>
      <c r="M283" s="8"/>
      <c r="N283" s="265"/>
    </row>
    <row r="284" spans="1:14" s="3" customFormat="1" ht="12.2" customHeight="1" x14ac:dyDescent="0.15">
      <c r="A284" s="1" t="s">
        <v>444</v>
      </c>
      <c r="B284" s="2" t="s">
        <v>357</v>
      </c>
      <c r="C284" s="2" t="s">
        <v>296</v>
      </c>
      <c r="D284" s="2" t="s">
        <v>431</v>
      </c>
      <c r="E284" s="6">
        <v>2300</v>
      </c>
      <c r="F284" s="18"/>
      <c r="G284" s="18"/>
      <c r="H284" s="18"/>
      <c r="I284" s="18"/>
      <c r="J284" s="18"/>
      <c r="K284" s="18"/>
      <c r="L284" s="19">
        <f t="shared" si="12"/>
        <v>0</v>
      </c>
      <c r="M284" s="8"/>
      <c r="N284" s="265"/>
    </row>
    <row r="285" spans="1:14" s="3" customFormat="1" ht="12.2" customHeight="1" x14ac:dyDescent="0.15">
      <c r="A285" s="1" t="s">
        <v>445</v>
      </c>
      <c r="B285" s="2" t="s">
        <v>357</v>
      </c>
      <c r="C285" s="2" t="s">
        <v>297</v>
      </c>
      <c r="D285" s="2" t="s">
        <v>431</v>
      </c>
      <c r="E285" s="6">
        <v>2400</v>
      </c>
      <c r="F285" s="18"/>
      <c r="G285" s="18"/>
      <c r="H285" s="18"/>
      <c r="I285" s="18"/>
      <c r="J285" s="18"/>
      <c r="K285" s="18"/>
      <c r="L285" s="19">
        <f t="shared" si="12"/>
        <v>0</v>
      </c>
      <c r="M285" s="8"/>
      <c r="N285" s="265"/>
    </row>
    <row r="286" spans="1:14" s="3" customFormat="1" ht="12.2" customHeight="1" x14ac:dyDescent="0.15">
      <c r="A286" s="1" t="s">
        <v>446</v>
      </c>
      <c r="B286" s="2" t="s">
        <v>357</v>
      </c>
      <c r="C286" s="2" t="s">
        <v>298</v>
      </c>
      <c r="D286" s="2" t="s">
        <v>431</v>
      </c>
      <c r="E286" s="6">
        <v>2500</v>
      </c>
      <c r="F286" s="18"/>
      <c r="G286" s="18"/>
      <c r="H286" s="18"/>
      <c r="I286" s="18"/>
      <c r="J286" s="18"/>
      <c r="K286" s="18"/>
      <c r="L286" s="19">
        <f t="shared" si="12"/>
        <v>0</v>
      </c>
      <c r="M286" s="8"/>
      <c r="N286" s="265"/>
    </row>
    <row r="287" spans="1:14" s="3" customFormat="1" ht="12.2" customHeight="1" x14ac:dyDescent="0.15">
      <c r="A287" s="1" t="s">
        <v>447</v>
      </c>
      <c r="B287" s="2" t="s">
        <v>357</v>
      </c>
      <c r="C287" s="2" t="s">
        <v>299</v>
      </c>
      <c r="D287" s="2" t="s">
        <v>431</v>
      </c>
      <c r="E287" s="6">
        <v>2600</v>
      </c>
      <c r="F287" s="18"/>
      <c r="G287" s="18"/>
      <c r="H287" s="18">
        <v>29076</v>
      </c>
      <c r="I287" s="18"/>
      <c r="J287" s="18">
        <v>10467.99</v>
      </c>
      <c r="K287" s="18"/>
      <c r="L287" s="19">
        <f t="shared" si="12"/>
        <v>39543.99</v>
      </c>
      <c r="M287" s="8"/>
      <c r="N287" s="265"/>
    </row>
    <row r="288" spans="1:14" s="3" customFormat="1" ht="12.2" customHeight="1" x14ac:dyDescent="0.15">
      <c r="A288" s="1" t="s">
        <v>448</v>
      </c>
      <c r="B288" s="2" t="s">
        <v>357</v>
      </c>
      <c r="C288" s="2" t="s">
        <v>300</v>
      </c>
      <c r="D288" s="2" t="s">
        <v>431</v>
      </c>
      <c r="E288" s="6">
        <v>2700</v>
      </c>
      <c r="F288" s="18"/>
      <c r="G288" s="18"/>
      <c r="H288" s="18">
        <v>8768.8799999999992</v>
      </c>
      <c r="I288" s="18"/>
      <c r="J288" s="18"/>
      <c r="K288" s="18"/>
      <c r="L288" s="19">
        <f t="shared" si="12"/>
        <v>8768.8799999999992</v>
      </c>
      <c r="M288" s="8"/>
      <c r="N288" s="265"/>
    </row>
    <row r="289" spans="1:14" s="3" customFormat="1" ht="12.2" customHeight="1" x14ac:dyDescent="0.15">
      <c r="A289" s="1" t="s">
        <v>449</v>
      </c>
      <c r="B289" s="2" t="s">
        <v>357</v>
      </c>
      <c r="C289" s="2" t="s">
        <v>343</v>
      </c>
      <c r="D289" s="2" t="s">
        <v>431</v>
      </c>
      <c r="E289" s="6">
        <v>2800</v>
      </c>
      <c r="F289" s="18"/>
      <c r="G289" s="18"/>
      <c r="H289" s="18"/>
      <c r="I289" s="18"/>
      <c r="J289" s="18"/>
      <c r="K289" s="18"/>
      <c r="L289" s="19">
        <f>SUM(F289:K289)</f>
        <v>0</v>
      </c>
      <c r="M289" s="8"/>
      <c r="N289" s="265"/>
    </row>
    <row r="290" spans="1:14" s="3" customFormat="1" ht="12.2" customHeight="1" thickBot="1" x14ac:dyDescent="0.2">
      <c r="A290" s="1" t="s">
        <v>450</v>
      </c>
      <c r="B290" s="2" t="s">
        <v>357</v>
      </c>
      <c r="C290" s="2" t="s">
        <v>344</v>
      </c>
      <c r="D290" s="2" t="s">
        <v>431</v>
      </c>
      <c r="E290" s="6">
        <v>2900</v>
      </c>
      <c r="F290" s="24" t="s">
        <v>288</v>
      </c>
      <c r="G290" s="24" t="s">
        <v>288</v>
      </c>
      <c r="H290" s="24" t="s">
        <v>288</v>
      </c>
      <c r="I290" s="24" t="s">
        <v>288</v>
      </c>
      <c r="J290" s="24" t="s">
        <v>288</v>
      </c>
      <c r="K290" s="24" t="s">
        <v>288</v>
      </c>
      <c r="L290" s="24" t="s">
        <v>288</v>
      </c>
      <c r="M290" s="8"/>
      <c r="N290" s="265"/>
    </row>
    <row r="291" spans="1:14" s="3" customFormat="1" ht="12.2" customHeight="1" thickTop="1" x14ac:dyDescent="0.2">
      <c r="A291" s="38" t="s">
        <v>419</v>
      </c>
      <c r="B291" s="39" t="s">
        <v>357</v>
      </c>
      <c r="C291" s="39" t="s">
        <v>345</v>
      </c>
      <c r="D291" s="39" t="s">
        <v>431</v>
      </c>
      <c r="E291" s="39"/>
      <c r="F291" s="42">
        <f t="shared" ref="F291:L291" si="13">SUM(F277:F290)</f>
        <v>76369.549999999988</v>
      </c>
      <c r="G291" s="42">
        <f t="shared" si="13"/>
        <v>16926.93</v>
      </c>
      <c r="H291" s="42">
        <f t="shared" si="13"/>
        <v>178387.40000000002</v>
      </c>
      <c r="I291" s="42">
        <f t="shared" si="13"/>
        <v>15987.03</v>
      </c>
      <c r="J291" s="42">
        <f t="shared" si="13"/>
        <v>38872.980000000003</v>
      </c>
      <c r="K291" s="42">
        <f t="shared" si="13"/>
        <v>347</v>
      </c>
      <c r="L291" s="41">
        <f t="shared" si="13"/>
        <v>326890.89</v>
      </c>
      <c r="M291" s="8"/>
      <c r="N291" s="265"/>
    </row>
    <row r="292" spans="1:14" s="3" customFormat="1" ht="12.2" customHeight="1" x14ac:dyDescent="0.2">
      <c r="A292" s="70"/>
      <c r="B292" s="36"/>
      <c r="C292" s="36"/>
      <c r="D292" s="36"/>
      <c r="E292" s="36"/>
      <c r="F292" s="53"/>
      <c r="G292" s="53"/>
      <c r="H292" s="53"/>
      <c r="I292" s="53"/>
      <c r="J292" s="53"/>
      <c r="K292" s="53"/>
      <c r="L292" s="67"/>
      <c r="M292" s="8"/>
      <c r="N292" s="265"/>
    </row>
    <row r="293" spans="1:14" s="3" customFormat="1" ht="12.2" customHeight="1" x14ac:dyDescent="0.15">
      <c r="A293" s="29" t="s">
        <v>466</v>
      </c>
      <c r="B293" s="2" t="s">
        <v>326</v>
      </c>
      <c r="C293" s="2" t="s">
        <v>326</v>
      </c>
      <c r="D293" s="2"/>
      <c r="E293" s="2"/>
      <c r="F293" s="176" t="s">
        <v>689</v>
      </c>
      <c r="G293" s="176" t="s">
        <v>690</v>
      </c>
      <c r="H293" s="176" t="s">
        <v>691</v>
      </c>
      <c r="I293" s="176" t="s">
        <v>692</v>
      </c>
      <c r="J293" s="176" t="s">
        <v>693</v>
      </c>
      <c r="K293" s="176" t="s">
        <v>694</v>
      </c>
      <c r="L293" s="17"/>
      <c r="M293" s="8"/>
      <c r="N293" s="265"/>
    </row>
    <row r="294" spans="1:14" s="3" customFormat="1" ht="12.2" customHeight="1" x14ac:dyDescent="0.15">
      <c r="A294" s="29" t="s">
        <v>452</v>
      </c>
      <c r="B294" s="7"/>
      <c r="C294" s="7"/>
      <c r="D294" s="7"/>
      <c r="E294" s="7"/>
      <c r="F294" s="103" t="s">
        <v>54</v>
      </c>
      <c r="G294" s="103" t="s">
        <v>55</v>
      </c>
      <c r="H294" s="103" t="s">
        <v>56</v>
      </c>
      <c r="I294" s="103" t="s">
        <v>57</v>
      </c>
      <c r="J294" s="103" t="s">
        <v>58</v>
      </c>
      <c r="K294" s="103" t="s">
        <v>59</v>
      </c>
      <c r="L294" s="103" t="s">
        <v>5</v>
      </c>
      <c r="M294" s="8"/>
      <c r="N294" s="265"/>
    </row>
    <row r="295" spans="1:14" s="3" customFormat="1" ht="12.2" customHeight="1" x14ac:dyDescent="0.15">
      <c r="A295" s="30" t="s">
        <v>195</v>
      </c>
      <c r="F295" s="24" t="s">
        <v>288</v>
      </c>
      <c r="G295" s="24" t="s">
        <v>288</v>
      </c>
      <c r="H295" s="24" t="s">
        <v>288</v>
      </c>
      <c r="I295" s="24" t="s">
        <v>288</v>
      </c>
      <c r="J295" s="24" t="s">
        <v>288</v>
      </c>
      <c r="K295" s="24" t="s">
        <v>288</v>
      </c>
      <c r="L295" s="24" t="s">
        <v>288</v>
      </c>
      <c r="M295" s="8"/>
      <c r="N295" s="265"/>
    </row>
    <row r="296" spans="1:14" s="3" customFormat="1" ht="12.2" customHeight="1" x14ac:dyDescent="0.15">
      <c r="A296" s="1" t="s">
        <v>438</v>
      </c>
      <c r="B296" s="2" t="s">
        <v>358</v>
      </c>
      <c r="C296" s="2" t="s">
        <v>290</v>
      </c>
      <c r="D296" s="2" t="s">
        <v>431</v>
      </c>
      <c r="E296" s="6">
        <v>1100</v>
      </c>
      <c r="F296" s="18"/>
      <c r="G296" s="18"/>
      <c r="H296" s="18"/>
      <c r="I296" s="18"/>
      <c r="J296" s="18"/>
      <c r="K296" s="18"/>
      <c r="L296" s="19">
        <f>SUM(F296:K296)</f>
        <v>0</v>
      </c>
      <c r="M296" s="8"/>
      <c r="N296" s="265"/>
    </row>
    <row r="297" spans="1:14" s="3" customFormat="1" ht="12.2" customHeight="1" x14ac:dyDescent="0.15">
      <c r="A297" s="1" t="s">
        <v>439</v>
      </c>
      <c r="B297" s="2" t="s">
        <v>358</v>
      </c>
      <c r="C297" s="2" t="s">
        <v>291</v>
      </c>
      <c r="D297" s="2" t="s">
        <v>431</v>
      </c>
      <c r="E297" s="6">
        <v>1200</v>
      </c>
      <c r="F297" s="18"/>
      <c r="G297" s="18"/>
      <c r="H297" s="18"/>
      <c r="I297" s="18"/>
      <c r="J297" s="18"/>
      <c r="K297" s="18"/>
      <c r="L297" s="19">
        <f>SUM(F297:K297)</f>
        <v>0</v>
      </c>
      <c r="M297" s="8"/>
      <c r="N297" s="265"/>
    </row>
    <row r="298" spans="1:14" s="3" customFormat="1" ht="12.2" customHeight="1" x14ac:dyDescent="0.15">
      <c r="A298" s="1" t="s">
        <v>440</v>
      </c>
      <c r="B298" s="2" t="s">
        <v>358</v>
      </c>
      <c r="C298" s="2" t="s">
        <v>292</v>
      </c>
      <c r="D298" s="2" t="s">
        <v>431</v>
      </c>
      <c r="E298" s="6">
        <v>1300</v>
      </c>
      <c r="F298" s="18"/>
      <c r="G298" s="18"/>
      <c r="H298" s="18"/>
      <c r="I298" s="18"/>
      <c r="J298" s="18"/>
      <c r="K298" s="18"/>
      <c r="L298" s="19">
        <f>SUM(F298:K298)</f>
        <v>0</v>
      </c>
      <c r="M298" s="8"/>
      <c r="N298" s="265"/>
    </row>
    <row r="299" spans="1:14" s="3" customFormat="1" ht="12.2" customHeight="1" x14ac:dyDescent="0.15">
      <c r="A299" s="1" t="s">
        <v>441</v>
      </c>
      <c r="B299" s="2" t="s">
        <v>358</v>
      </c>
      <c r="C299" s="2" t="s">
        <v>293</v>
      </c>
      <c r="D299" s="2" t="s">
        <v>431</v>
      </c>
      <c r="E299" s="6">
        <v>1400</v>
      </c>
      <c r="F299" s="18"/>
      <c r="G299" s="18"/>
      <c r="H299" s="18"/>
      <c r="I299" s="18"/>
      <c r="J299" s="18"/>
      <c r="K299" s="18"/>
      <c r="L299" s="19">
        <f>SUM(F299:K299)</f>
        <v>0</v>
      </c>
      <c r="M299" s="8"/>
      <c r="N299" s="265"/>
    </row>
    <row r="300" spans="1:14" s="3" customFormat="1" ht="12.2" customHeight="1" x14ac:dyDescent="0.15">
      <c r="A300" s="30" t="s">
        <v>342</v>
      </c>
      <c r="E300" s="6"/>
      <c r="F300" s="24" t="s">
        <v>288</v>
      </c>
      <c r="G300" s="24" t="s">
        <v>288</v>
      </c>
      <c r="H300" s="24" t="s">
        <v>288</v>
      </c>
      <c r="I300" s="24" t="s">
        <v>288</v>
      </c>
      <c r="J300" s="24" t="s">
        <v>288</v>
      </c>
      <c r="K300" s="24" t="s">
        <v>288</v>
      </c>
      <c r="L300" s="24" t="s">
        <v>288</v>
      </c>
      <c r="M300" s="8"/>
      <c r="N300" s="265"/>
    </row>
    <row r="301" spans="1:14" s="3" customFormat="1" ht="12.2" customHeight="1" x14ac:dyDescent="0.15">
      <c r="A301" s="1" t="s">
        <v>442</v>
      </c>
      <c r="B301" s="2" t="s">
        <v>358</v>
      </c>
      <c r="C301" s="2" t="s">
        <v>294</v>
      </c>
      <c r="D301" s="2" t="s">
        <v>431</v>
      </c>
      <c r="E301" s="6">
        <v>2100</v>
      </c>
      <c r="F301" s="18"/>
      <c r="G301" s="18"/>
      <c r="H301" s="18"/>
      <c r="I301" s="18"/>
      <c r="J301" s="18"/>
      <c r="K301" s="18"/>
      <c r="L301" s="19">
        <f t="shared" ref="L301:L307" si="14">SUM(F301:K301)</f>
        <v>0</v>
      </c>
      <c r="M301" s="8"/>
      <c r="N301" s="265"/>
    </row>
    <row r="302" spans="1:14" s="3" customFormat="1" ht="12.2" customHeight="1" x14ac:dyDescent="0.15">
      <c r="A302" s="1" t="s">
        <v>443</v>
      </c>
      <c r="B302" s="2" t="s">
        <v>358</v>
      </c>
      <c r="C302" s="2" t="s">
        <v>295</v>
      </c>
      <c r="D302" s="2" t="s">
        <v>431</v>
      </c>
      <c r="E302" s="6">
        <v>2200</v>
      </c>
      <c r="F302" s="18"/>
      <c r="G302" s="18"/>
      <c r="H302" s="18"/>
      <c r="I302" s="18"/>
      <c r="J302" s="18"/>
      <c r="K302" s="18"/>
      <c r="L302" s="19">
        <f t="shared" si="14"/>
        <v>0</v>
      </c>
      <c r="M302" s="8"/>
      <c r="N302" s="265"/>
    </row>
    <row r="303" spans="1:14" s="3" customFormat="1" ht="12.2" customHeight="1" x14ac:dyDescent="0.15">
      <c r="A303" s="1" t="s">
        <v>444</v>
      </c>
      <c r="B303" s="2" t="s">
        <v>358</v>
      </c>
      <c r="C303" s="2" t="s">
        <v>296</v>
      </c>
      <c r="D303" s="2" t="s">
        <v>431</v>
      </c>
      <c r="E303" s="6">
        <v>2300</v>
      </c>
      <c r="F303" s="18"/>
      <c r="G303" s="18"/>
      <c r="H303" s="18"/>
      <c r="I303" s="18"/>
      <c r="J303" s="18"/>
      <c r="K303" s="18"/>
      <c r="L303" s="19">
        <f t="shared" si="14"/>
        <v>0</v>
      </c>
      <c r="M303" s="8"/>
      <c r="N303" s="265"/>
    </row>
    <row r="304" spans="1:14" s="3" customFormat="1" ht="12.2" customHeight="1" x14ac:dyDescent="0.15">
      <c r="A304" s="1" t="s">
        <v>445</v>
      </c>
      <c r="B304" s="2" t="s">
        <v>358</v>
      </c>
      <c r="C304" s="2" t="s">
        <v>297</v>
      </c>
      <c r="D304" s="2" t="s">
        <v>431</v>
      </c>
      <c r="E304" s="6">
        <v>2400</v>
      </c>
      <c r="F304" s="18"/>
      <c r="G304" s="18"/>
      <c r="H304" s="18"/>
      <c r="I304" s="18"/>
      <c r="J304" s="18"/>
      <c r="K304" s="18"/>
      <c r="L304" s="19">
        <f t="shared" si="14"/>
        <v>0</v>
      </c>
      <c r="M304" s="8"/>
      <c r="N304" s="265"/>
    </row>
    <row r="305" spans="1:14" s="3" customFormat="1" ht="12.2" customHeight="1" x14ac:dyDescent="0.15">
      <c r="A305" s="1" t="s">
        <v>446</v>
      </c>
      <c r="B305" s="2" t="s">
        <v>358</v>
      </c>
      <c r="C305" s="2" t="s">
        <v>298</v>
      </c>
      <c r="D305" s="2" t="s">
        <v>431</v>
      </c>
      <c r="E305" s="6">
        <v>2500</v>
      </c>
      <c r="F305" s="18"/>
      <c r="G305" s="18"/>
      <c r="H305" s="18"/>
      <c r="I305" s="18"/>
      <c r="J305" s="18"/>
      <c r="K305" s="18"/>
      <c r="L305" s="19">
        <f t="shared" si="14"/>
        <v>0</v>
      </c>
      <c r="M305" s="8"/>
      <c r="N305" s="265"/>
    </row>
    <row r="306" spans="1:14" s="3" customFormat="1" ht="12.2" customHeight="1" x14ac:dyDescent="0.15">
      <c r="A306" s="1" t="s">
        <v>447</v>
      </c>
      <c r="B306" s="2" t="s">
        <v>358</v>
      </c>
      <c r="C306" s="2" t="s">
        <v>299</v>
      </c>
      <c r="D306" s="2" t="s">
        <v>431</v>
      </c>
      <c r="E306" s="6">
        <v>2600</v>
      </c>
      <c r="F306" s="18"/>
      <c r="G306" s="18"/>
      <c r="H306" s="18"/>
      <c r="I306" s="18"/>
      <c r="J306" s="18"/>
      <c r="K306" s="18"/>
      <c r="L306" s="19">
        <f t="shared" si="14"/>
        <v>0</v>
      </c>
      <c r="M306" s="8"/>
      <c r="N306" s="265"/>
    </row>
    <row r="307" spans="1:14" s="3" customFormat="1" ht="12.2" customHeight="1" x14ac:dyDescent="0.15">
      <c r="A307" s="1" t="s">
        <v>448</v>
      </c>
      <c r="B307" s="2" t="s">
        <v>358</v>
      </c>
      <c r="C307" s="2" t="s">
        <v>300</v>
      </c>
      <c r="D307" s="2" t="s">
        <v>431</v>
      </c>
      <c r="E307" s="6">
        <v>2700</v>
      </c>
      <c r="F307" s="18"/>
      <c r="G307" s="18"/>
      <c r="H307" s="18"/>
      <c r="I307" s="18"/>
      <c r="J307" s="18"/>
      <c r="K307" s="18"/>
      <c r="L307" s="19">
        <f t="shared" si="14"/>
        <v>0</v>
      </c>
      <c r="M307" s="8"/>
      <c r="N307" s="265"/>
    </row>
    <row r="308" spans="1:14" s="3" customFormat="1" ht="12.2" customHeight="1" x14ac:dyDescent="0.15">
      <c r="A308" s="1" t="s">
        <v>449</v>
      </c>
      <c r="B308" s="2" t="s">
        <v>358</v>
      </c>
      <c r="C308" s="2" t="s">
        <v>343</v>
      </c>
      <c r="D308" s="2" t="s">
        <v>431</v>
      </c>
      <c r="E308" s="6">
        <v>2800</v>
      </c>
      <c r="F308" s="18"/>
      <c r="G308" s="18"/>
      <c r="H308" s="18"/>
      <c r="I308" s="18"/>
      <c r="J308" s="18"/>
      <c r="K308" s="18"/>
      <c r="L308" s="19">
        <f>SUM(F308:K308)</f>
        <v>0</v>
      </c>
      <c r="M308" s="8"/>
      <c r="N308" s="265"/>
    </row>
    <row r="309" spans="1:14" ht="12.2" customHeight="1" thickBot="1" x14ac:dyDescent="0.25">
      <c r="A309" s="1" t="s">
        <v>450</v>
      </c>
      <c r="B309" s="2" t="s">
        <v>358</v>
      </c>
      <c r="C309" s="2" t="s">
        <v>344</v>
      </c>
      <c r="D309" s="2" t="s">
        <v>431</v>
      </c>
      <c r="E309" s="6">
        <v>2900</v>
      </c>
      <c r="F309" s="24" t="s">
        <v>288</v>
      </c>
      <c r="G309" s="24" t="s">
        <v>288</v>
      </c>
      <c r="H309" s="24" t="s">
        <v>288</v>
      </c>
      <c r="I309" s="24" t="s">
        <v>288</v>
      </c>
      <c r="J309" s="24" t="s">
        <v>288</v>
      </c>
      <c r="K309" s="24" t="s">
        <v>288</v>
      </c>
      <c r="L309" s="24" t="s">
        <v>288</v>
      </c>
      <c r="N309" s="263"/>
    </row>
    <row r="310" spans="1:14" s="3" customFormat="1" ht="12.2" customHeight="1" thickTop="1" x14ac:dyDescent="0.2">
      <c r="A310" s="38" t="s">
        <v>459</v>
      </c>
      <c r="B310" s="39" t="s">
        <v>358</v>
      </c>
      <c r="C310" s="40">
        <v>14</v>
      </c>
      <c r="D310" s="39" t="s">
        <v>431</v>
      </c>
      <c r="E310" s="40"/>
      <c r="F310" s="42">
        <f t="shared" ref="F310:L310" si="15">SUM(F296:F309)</f>
        <v>0</v>
      </c>
      <c r="G310" s="42">
        <f t="shared" si="15"/>
        <v>0</v>
      </c>
      <c r="H310" s="42">
        <f t="shared" si="15"/>
        <v>0</v>
      </c>
      <c r="I310" s="42">
        <f t="shared" si="15"/>
        <v>0</v>
      </c>
      <c r="J310" s="42">
        <f t="shared" si="15"/>
        <v>0</v>
      </c>
      <c r="K310" s="42">
        <f t="shared" si="15"/>
        <v>0</v>
      </c>
      <c r="L310" s="41">
        <f t="shared" si="15"/>
        <v>0</v>
      </c>
      <c r="M310" s="8"/>
      <c r="N310" s="265"/>
    </row>
    <row r="311" spans="1:14" s="3" customFormat="1" ht="12.2" customHeight="1" x14ac:dyDescent="0.2">
      <c r="A311" s="70"/>
      <c r="B311" s="36"/>
      <c r="C311" s="37"/>
      <c r="D311" s="37"/>
      <c r="E311" s="37"/>
      <c r="F311" s="53"/>
      <c r="G311" s="53"/>
      <c r="H311" s="53"/>
      <c r="I311" s="53"/>
      <c r="J311" s="53"/>
      <c r="K311" s="53"/>
      <c r="L311" s="67"/>
      <c r="M311" s="8"/>
      <c r="N311" s="265"/>
    </row>
    <row r="312" spans="1:14" s="3" customFormat="1" ht="12.2" customHeight="1" x14ac:dyDescent="0.2">
      <c r="A312" s="29" t="s">
        <v>466</v>
      </c>
      <c r="B312"/>
      <c r="C312"/>
      <c r="D312"/>
      <c r="E312"/>
      <c r="F312" s="176" t="s">
        <v>689</v>
      </c>
      <c r="G312" s="176" t="s">
        <v>690</v>
      </c>
      <c r="H312" s="176" t="s">
        <v>691</v>
      </c>
      <c r="I312" s="176" t="s">
        <v>692</v>
      </c>
      <c r="J312" s="176" t="s">
        <v>693</v>
      </c>
      <c r="K312" s="176" t="s">
        <v>694</v>
      </c>
      <c r="L312" s="20"/>
      <c r="M312" s="8"/>
      <c r="N312" s="265"/>
    </row>
    <row r="313" spans="1:14" s="3" customFormat="1" ht="12.2" customHeight="1" x14ac:dyDescent="0.15">
      <c r="A313" s="29" t="s">
        <v>453</v>
      </c>
      <c r="F313" s="103" t="s">
        <v>54</v>
      </c>
      <c r="G313" s="103" t="s">
        <v>55</v>
      </c>
      <c r="H313" s="103" t="s">
        <v>56</v>
      </c>
      <c r="I313" s="103" t="s">
        <v>57</v>
      </c>
      <c r="J313" s="103" t="s">
        <v>58</v>
      </c>
      <c r="K313" s="103" t="s">
        <v>59</v>
      </c>
      <c r="L313" s="103" t="s">
        <v>5</v>
      </c>
      <c r="M313" s="8"/>
      <c r="N313" s="265"/>
    </row>
    <row r="314" spans="1:14" s="3" customFormat="1" ht="12.2" customHeight="1" x14ac:dyDescent="0.15">
      <c r="A314" s="30" t="s">
        <v>195</v>
      </c>
      <c r="F314" s="24" t="s">
        <v>288</v>
      </c>
      <c r="G314" s="24" t="s">
        <v>288</v>
      </c>
      <c r="H314" s="24" t="s">
        <v>288</v>
      </c>
      <c r="I314" s="24" t="s">
        <v>288</v>
      </c>
      <c r="J314" s="24" t="s">
        <v>288</v>
      </c>
      <c r="K314" s="24" t="s">
        <v>288</v>
      </c>
      <c r="L314" s="24" t="s">
        <v>288</v>
      </c>
      <c r="M314" s="8"/>
      <c r="N314" s="265"/>
    </row>
    <row r="315" spans="1:14" s="3" customFormat="1" ht="12.2" customHeight="1" x14ac:dyDescent="0.15">
      <c r="A315" s="1" t="s">
        <v>438</v>
      </c>
      <c r="B315" s="2" t="s">
        <v>359</v>
      </c>
      <c r="C315" s="2" t="s">
        <v>290</v>
      </c>
      <c r="D315" s="2" t="s">
        <v>431</v>
      </c>
      <c r="E315" s="6">
        <v>1100</v>
      </c>
      <c r="F315" s="18"/>
      <c r="G315" s="18"/>
      <c r="H315" s="18"/>
      <c r="I315" s="18"/>
      <c r="J315" s="18"/>
      <c r="K315" s="18"/>
      <c r="L315" s="19">
        <f>SUM(F315:K315)</f>
        <v>0</v>
      </c>
      <c r="M315" s="8"/>
      <c r="N315" s="265"/>
    </row>
    <row r="316" spans="1:14" s="3" customFormat="1" ht="12.2" customHeight="1" x14ac:dyDescent="0.15">
      <c r="A316" s="1" t="s">
        <v>439</v>
      </c>
      <c r="B316" s="2" t="s">
        <v>359</v>
      </c>
      <c r="C316" s="2" t="s">
        <v>291</v>
      </c>
      <c r="D316" s="2" t="s">
        <v>431</v>
      </c>
      <c r="E316" s="6">
        <v>1200</v>
      </c>
      <c r="F316" s="18"/>
      <c r="G316" s="18"/>
      <c r="H316" s="18"/>
      <c r="I316" s="18"/>
      <c r="J316" s="18"/>
      <c r="K316" s="18"/>
      <c r="L316" s="19">
        <f>SUM(F316:K316)</f>
        <v>0</v>
      </c>
      <c r="M316" s="8"/>
      <c r="N316" s="265"/>
    </row>
    <row r="317" spans="1:14" s="3" customFormat="1" ht="12.2" customHeight="1" x14ac:dyDescent="0.15">
      <c r="A317" s="1" t="s">
        <v>440</v>
      </c>
      <c r="B317" s="2" t="s">
        <v>359</v>
      </c>
      <c r="C317" s="2" t="s">
        <v>292</v>
      </c>
      <c r="D317" s="2" t="s">
        <v>431</v>
      </c>
      <c r="E317" s="6">
        <v>1300</v>
      </c>
      <c r="F317" s="18"/>
      <c r="G317" s="18"/>
      <c r="H317" s="18"/>
      <c r="I317" s="18"/>
      <c r="J317" s="18"/>
      <c r="K317" s="18"/>
      <c r="L317" s="19">
        <f>SUM(F317:K317)</f>
        <v>0</v>
      </c>
      <c r="M317" s="8"/>
      <c r="N317" s="265"/>
    </row>
    <row r="318" spans="1:14" s="3" customFormat="1" ht="12.2" customHeight="1" x14ac:dyDescent="0.15">
      <c r="A318" s="1" t="s">
        <v>441</v>
      </c>
      <c r="B318" s="2" t="s">
        <v>359</v>
      </c>
      <c r="C318" s="2" t="s">
        <v>293</v>
      </c>
      <c r="D318" s="2" t="s">
        <v>431</v>
      </c>
      <c r="E318" s="6">
        <v>1400</v>
      </c>
      <c r="F318" s="18"/>
      <c r="G318" s="18"/>
      <c r="H318" s="18"/>
      <c r="I318" s="18"/>
      <c r="J318" s="18"/>
      <c r="K318" s="18"/>
      <c r="L318" s="19">
        <f>SUM(F318:K318)</f>
        <v>0</v>
      </c>
      <c r="M318" s="8"/>
      <c r="N318" s="265"/>
    </row>
    <row r="319" spans="1:14" s="3" customFormat="1" ht="12.2" customHeight="1" x14ac:dyDescent="0.15">
      <c r="A319" s="30" t="s">
        <v>342</v>
      </c>
      <c r="C319" s="23"/>
      <c r="E319" s="6"/>
      <c r="F319" s="24" t="s">
        <v>288</v>
      </c>
      <c r="G319" s="24" t="s">
        <v>288</v>
      </c>
      <c r="H319" s="24" t="s">
        <v>288</v>
      </c>
      <c r="I319" s="24" t="s">
        <v>288</v>
      </c>
      <c r="J319" s="24" t="s">
        <v>288</v>
      </c>
      <c r="K319" s="24" t="s">
        <v>288</v>
      </c>
      <c r="L319" s="24" t="s">
        <v>288</v>
      </c>
      <c r="M319" s="8"/>
      <c r="N319" s="265"/>
    </row>
    <row r="320" spans="1:14" s="3" customFormat="1" ht="12.2" customHeight="1" x14ac:dyDescent="0.15">
      <c r="A320" s="1" t="s">
        <v>442</v>
      </c>
      <c r="B320" s="2" t="s">
        <v>359</v>
      </c>
      <c r="C320" s="2" t="s">
        <v>294</v>
      </c>
      <c r="D320" s="2" t="s">
        <v>431</v>
      </c>
      <c r="E320" s="6">
        <v>2100</v>
      </c>
      <c r="F320" s="18"/>
      <c r="G320" s="18"/>
      <c r="H320" s="18"/>
      <c r="I320" s="18"/>
      <c r="J320" s="18"/>
      <c r="K320" s="18"/>
      <c r="L320" s="19">
        <f t="shared" ref="L320:L326" si="16">SUM(F320:K320)</f>
        <v>0</v>
      </c>
      <c r="M320" s="8"/>
      <c r="N320" s="265"/>
    </row>
    <row r="321" spans="1:14" s="3" customFormat="1" ht="12.2" customHeight="1" x14ac:dyDescent="0.15">
      <c r="A321" s="1" t="s">
        <v>443</v>
      </c>
      <c r="B321" s="2" t="s">
        <v>359</v>
      </c>
      <c r="C321" s="2" t="s">
        <v>295</v>
      </c>
      <c r="D321" s="2" t="s">
        <v>431</v>
      </c>
      <c r="E321" s="6">
        <v>2200</v>
      </c>
      <c r="F321" s="18"/>
      <c r="G321" s="18"/>
      <c r="H321" s="18"/>
      <c r="I321" s="18"/>
      <c r="J321" s="18"/>
      <c r="K321" s="18"/>
      <c r="L321" s="19">
        <f t="shared" si="16"/>
        <v>0</v>
      </c>
      <c r="M321" s="8"/>
      <c r="N321" s="265"/>
    </row>
    <row r="322" spans="1:14" s="3" customFormat="1" ht="12.2" customHeight="1" x14ac:dyDescent="0.15">
      <c r="A322" s="1" t="s">
        <v>444</v>
      </c>
      <c r="B322" s="2" t="s">
        <v>359</v>
      </c>
      <c r="C322" s="2" t="s">
        <v>296</v>
      </c>
      <c r="D322" s="2" t="s">
        <v>431</v>
      </c>
      <c r="E322" s="6">
        <v>2300</v>
      </c>
      <c r="F322" s="18"/>
      <c r="G322" s="18"/>
      <c r="H322" s="18"/>
      <c r="I322" s="18"/>
      <c r="J322" s="18"/>
      <c r="K322" s="18"/>
      <c r="L322" s="19">
        <f t="shared" si="16"/>
        <v>0</v>
      </c>
      <c r="M322" s="8"/>
      <c r="N322" s="265"/>
    </row>
    <row r="323" spans="1:14" s="3" customFormat="1" ht="12.2" customHeight="1" x14ac:dyDescent="0.15">
      <c r="A323" s="1" t="s">
        <v>445</v>
      </c>
      <c r="B323" s="2" t="s">
        <v>359</v>
      </c>
      <c r="C323" s="2" t="s">
        <v>297</v>
      </c>
      <c r="D323" s="2" t="s">
        <v>431</v>
      </c>
      <c r="E323" s="6">
        <v>2400</v>
      </c>
      <c r="F323" s="18"/>
      <c r="G323" s="18"/>
      <c r="H323" s="18"/>
      <c r="I323" s="18"/>
      <c r="J323" s="18"/>
      <c r="K323" s="18"/>
      <c r="L323" s="19">
        <f t="shared" si="16"/>
        <v>0</v>
      </c>
      <c r="M323" s="8"/>
      <c r="N323" s="265"/>
    </row>
    <row r="324" spans="1:14" s="3" customFormat="1" ht="12.2" customHeight="1" x14ac:dyDescent="0.15">
      <c r="A324" s="1" t="s">
        <v>446</v>
      </c>
      <c r="B324" s="2" t="s">
        <v>359</v>
      </c>
      <c r="C324" s="2" t="s">
        <v>298</v>
      </c>
      <c r="D324" s="2" t="s">
        <v>431</v>
      </c>
      <c r="E324" s="6">
        <v>2500</v>
      </c>
      <c r="F324" s="18"/>
      <c r="G324" s="18"/>
      <c r="H324" s="18"/>
      <c r="I324" s="18"/>
      <c r="J324" s="18"/>
      <c r="K324" s="18"/>
      <c r="L324" s="19">
        <f t="shared" si="16"/>
        <v>0</v>
      </c>
      <c r="M324" s="8"/>
      <c r="N324" s="265"/>
    </row>
    <row r="325" spans="1:14" s="3" customFormat="1" ht="12.2" customHeight="1" x14ac:dyDescent="0.15">
      <c r="A325" s="1" t="s">
        <v>447</v>
      </c>
      <c r="B325" s="2" t="s">
        <v>359</v>
      </c>
      <c r="C325" s="2" t="s">
        <v>299</v>
      </c>
      <c r="D325" s="2" t="s">
        <v>431</v>
      </c>
      <c r="E325" s="6">
        <v>2600</v>
      </c>
      <c r="F325" s="18"/>
      <c r="G325" s="18"/>
      <c r="H325" s="18"/>
      <c r="I325" s="18"/>
      <c r="J325" s="18"/>
      <c r="K325" s="18"/>
      <c r="L325" s="19">
        <f t="shared" si="16"/>
        <v>0</v>
      </c>
      <c r="M325" s="8"/>
      <c r="N325" s="265"/>
    </row>
    <row r="326" spans="1:14" s="3" customFormat="1" ht="12.2" customHeight="1" x14ac:dyDescent="0.15">
      <c r="A326" s="1" t="s">
        <v>448</v>
      </c>
      <c r="B326" s="2" t="s">
        <v>359</v>
      </c>
      <c r="C326" s="2" t="s">
        <v>300</v>
      </c>
      <c r="D326" s="2" t="s">
        <v>431</v>
      </c>
      <c r="E326" s="6">
        <v>2700</v>
      </c>
      <c r="F326" s="18"/>
      <c r="G326" s="18"/>
      <c r="H326" s="18"/>
      <c r="I326" s="18"/>
      <c r="J326" s="18"/>
      <c r="K326" s="18"/>
      <c r="L326" s="19">
        <f t="shared" si="16"/>
        <v>0</v>
      </c>
      <c r="M326" s="8"/>
      <c r="N326" s="265"/>
    </row>
    <row r="327" spans="1:14" s="3" customFormat="1" ht="12.2" customHeight="1" x14ac:dyDescent="0.15">
      <c r="A327" s="1" t="s">
        <v>449</v>
      </c>
      <c r="B327" s="2" t="s">
        <v>359</v>
      </c>
      <c r="C327" s="2" t="s">
        <v>343</v>
      </c>
      <c r="D327" s="2" t="s">
        <v>431</v>
      </c>
      <c r="E327" s="6">
        <v>2800</v>
      </c>
      <c r="F327" s="18"/>
      <c r="G327" s="18"/>
      <c r="H327" s="18"/>
      <c r="I327" s="18"/>
      <c r="J327" s="18"/>
      <c r="K327" s="18"/>
      <c r="L327" s="19">
        <f>SUM(F327:K327)</f>
        <v>0</v>
      </c>
      <c r="M327" s="8"/>
      <c r="N327" s="265"/>
    </row>
    <row r="328" spans="1:14" s="3" customFormat="1" ht="12.2" customHeight="1" thickBot="1" x14ac:dyDescent="0.2">
      <c r="A328" s="1" t="s">
        <v>450</v>
      </c>
      <c r="B328" s="2" t="s">
        <v>359</v>
      </c>
      <c r="C328" s="2" t="s">
        <v>344</v>
      </c>
      <c r="D328" s="2" t="s">
        <v>431</v>
      </c>
      <c r="E328" s="6">
        <v>2900</v>
      </c>
      <c r="F328" s="24" t="s">
        <v>288</v>
      </c>
      <c r="G328" s="24" t="s">
        <v>288</v>
      </c>
      <c r="H328" s="24" t="s">
        <v>288</v>
      </c>
      <c r="I328" s="24" t="s">
        <v>288</v>
      </c>
      <c r="J328" s="24" t="s">
        <v>288</v>
      </c>
      <c r="K328" s="24" t="s">
        <v>288</v>
      </c>
      <c r="L328" s="24" t="s">
        <v>288</v>
      </c>
      <c r="M328" s="8"/>
      <c r="N328" s="265"/>
    </row>
    <row r="329" spans="1:14" s="3" customFormat="1" ht="12.2" customHeight="1" thickTop="1" x14ac:dyDescent="0.2">
      <c r="A329" s="38" t="s">
        <v>681</v>
      </c>
      <c r="B329" s="39" t="s">
        <v>359</v>
      </c>
      <c r="C329" s="40">
        <v>14</v>
      </c>
      <c r="D329" s="39" t="s">
        <v>431</v>
      </c>
      <c r="E329" s="40"/>
      <c r="F329" s="42">
        <f t="shared" ref="F329:L329" si="17">SUM(F315:F328)</f>
        <v>0</v>
      </c>
      <c r="G329" s="42">
        <f t="shared" si="17"/>
        <v>0</v>
      </c>
      <c r="H329" s="42">
        <f t="shared" si="17"/>
        <v>0</v>
      </c>
      <c r="I329" s="42">
        <f t="shared" si="17"/>
        <v>0</v>
      </c>
      <c r="J329" s="42">
        <f t="shared" si="17"/>
        <v>0</v>
      </c>
      <c r="K329" s="42">
        <f t="shared" si="17"/>
        <v>0</v>
      </c>
      <c r="L329" s="41">
        <f t="shared" si="17"/>
        <v>0</v>
      </c>
      <c r="M329" s="8"/>
      <c r="N329" s="265"/>
    </row>
    <row r="330" spans="1:14" s="3" customFormat="1" ht="12.2" customHeight="1" x14ac:dyDescent="0.2">
      <c r="A330" s="70"/>
      <c r="B330" s="36"/>
      <c r="C330" s="37"/>
      <c r="D330" s="37"/>
      <c r="E330" s="37"/>
      <c r="F330" s="53"/>
      <c r="G330" s="53"/>
      <c r="H330" s="53"/>
      <c r="I330" s="53"/>
      <c r="J330" s="53"/>
      <c r="K330" s="53"/>
      <c r="L330" s="67"/>
      <c r="M330" s="8"/>
      <c r="N330" s="265"/>
    </row>
    <row r="331" spans="1:14" s="3" customFormat="1" ht="12.2" customHeight="1" x14ac:dyDescent="0.15">
      <c r="A331" s="29" t="s">
        <v>360</v>
      </c>
      <c r="B331" s="2"/>
      <c r="C331" s="6"/>
      <c r="D331" s="6"/>
      <c r="E331" s="6"/>
      <c r="F331" s="176" t="s">
        <v>689</v>
      </c>
      <c r="G331" s="176" t="s">
        <v>690</v>
      </c>
      <c r="H331" s="176" t="s">
        <v>691</v>
      </c>
      <c r="I331" s="176" t="s">
        <v>692</v>
      </c>
      <c r="J331" s="176" t="s">
        <v>693</v>
      </c>
      <c r="K331" s="176" t="s">
        <v>694</v>
      </c>
      <c r="L331" s="19"/>
      <c r="M331" s="8"/>
      <c r="N331" s="265"/>
    </row>
    <row r="332" spans="1:14" s="3" customFormat="1" ht="12.2" customHeight="1" x14ac:dyDescent="0.15">
      <c r="A332" s="29" t="s">
        <v>361</v>
      </c>
      <c r="F332" s="103" t="s">
        <v>54</v>
      </c>
      <c r="G332" s="103" t="s">
        <v>55</v>
      </c>
      <c r="H332" s="103" t="s">
        <v>56</v>
      </c>
      <c r="I332" s="103" t="s">
        <v>57</v>
      </c>
      <c r="J332" s="103" t="s">
        <v>58</v>
      </c>
      <c r="K332" s="103" t="s">
        <v>59</v>
      </c>
      <c r="L332" s="103" t="s">
        <v>5</v>
      </c>
      <c r="M332" s="8"/>
      <c r="N332" s="265"/>
    </row>
    <row r="333" spans="1:14" s="3" customFormat="1" ht="12.2" customHeight="1" x14ac:dyDescent="0.15">
      <c r="A333" s="1" t="s">
        <v>656</v>
      </c>
      <c r="B333" s="6">
        <v>14</v>
      </c>
      <c r="C333" s="2" t="s">
        <v>289</v>
      </c>
      <c r="D333" s="2" t="s">
        <v>431</v>
      </c>
      <c r="E333" s="6">
        <v>1500</v>
      </c>
      <c r="F333" s="18"/>
      <c r="G333" s="18"/>
      <c r="H333" s="18"/>
      <c r="I333" s="18"/>
      <c r="J333" s="18"/>
      <c r="K333" s="18"/>
      <c r="L333" s="19">
        <f t="shared" ref="L333:L338" si="18">SUM(F333:K333)</f>
        <v>0</v>
      </c>
      <c r="M333" s="8"/>
      <c r="N333" s="265"/>
    </row>
    <row r="334" spans="1:14" s="3" customFormat="1" ht="12.2" customHeight="1" x14ac:dyDescent="0.15">
      <c r="A334" s="1" t="s">
        <v>353</v>
      </c>
      <c r="B334" s="6">
        <v>14</v>
      </c>
      <c r="C334" s="2" t="s">
        <v>309</v>
      </c>
      <c r="D334" s="2" t="s">
        <v>431</v>
      </c>
      <c r="E334" s="6">
        <v>1600</v>
      </c>
      <c r="F334" s="18"/>
      <c r="G334" s="18"/>
      <c r="H334" s="18"/>
      <c r="I334" s="18"/>
      <c r="J334" s="18"/>
      <c r="K334" s="18"/>
      <c r="L334" s="19">
        <f t="shared" si="18"/>
        <v>0</v>
      </c>
      <c r="M334" s="8"/>
      <c r="N334" s="265"/>
    </row>
    <row r="335" spans="1:14" s="3" customFormat="1" ht="12.2" customHeight="1" x14ac:dyDescent="0.15">
      <c r="A335" s="1" t="s">
        <v>582</v>
      </c>
      <c r="B335" s="6">
        <v>14</v>
      </c>
      <c r="C335" s="2" t="s">
        <v>315</v>
      </c>
      <c r="D335" s="2" t="s">
        <v>431</v>
      </c>
      <c r="E335" s="6">
        <v>1700</v>
      </c>
      <c r="F335" s="18"/>
      <c r="G335" s="18"/>
      <c r="H335" s="18"/>
      <c r="I335" s="18"/>
      <c r="J335" s="18"/>
      <c r="K335" s="18"/>
      <c r="L335" s="19">
        <f t="shared" si="18"/>
        <v>0</v>
      </c>
      <c r="M335" s="8"/>
      <c r="N335" s="265"/>
    </row>
    <row r="336" spans="1:14" s="3" customFormat="1" ht="12.2" customHeight="1" x14ac:dyDescent="0.15">
      <c r="A336" s="1" t="s">
        <v>583</v>
      </c>
      <c r="B336" s="6">
        <v>14</v>
      </c>
      <c r="C336" s="2" t="s">
        <v>321</v>
      </c>
      <c r="D336" s="2" t="s">
        <v>431</v>
      </c>
      <c r="E336" s="6">
        <v>1800</v>
      </c>
      <c r="F336" s="18"/>
      <c r="G336" s="18"/>
      <c r="H336" s="18"/>
      <c r="I336" s="18"/>
      <c r="J336" s="18"/>
      <c r="K336" s="18"/>
      <c r="L336" s="19">
        <f t="shared" si="18"/>
        <v>0</v>
      </c>
      <c r="M336" s="8"/>
      <c r="N336" s="265"/>
    </row>
    <row r="337" spans="1:43" s="3" customFormat="1" ht="12.2" customHeight="1" thickBot="1" x14ac:dyDescent="0.2">
      <c r="A337" s="1" t="s">
        <v>584</v>
      </c>
      <c r="B337" s="6">
        <v>14</v>
      </c>
      <c r="C337" s="37">
        <v>5</v>
      </c>
      <c r="D337" s="2" t="s">
        <v>431</v>
      </c>
      <c r="E337" s="6">
        <v>4000</v>
      </c>
      <c r="F337" s="18"/>
      <c r="G337" s="18"/>
      <c r="H337" s="18"/>
      <c r="I337" s="18"/>
      <c r="J337" s="18">
        <v>14500</v>
      </c>
      <c r="K337" s="18"/>
      <c r="L337" s="19">
        <f t="shared" si="18"/>
        <v>14500</v>
      </c>
      <c r="M337" s="8"/>
      <c r="N337" s="265"/>
    </row>
    <row r="338" spans="1:43" s="3" customFormat="1" ht="12.2" customHeight="1" thickTop="1" thickBot="1" x14ac:dyDescent="0.2">
      <c r="A338" s="50" t="s">
        <v>467</v>
      </c>
      <c r="B338" s="40">
        <v>14</v>
      </c>
      <c r="C338" s="51">
        <v>6</v>
      </c>
      <c r="D338" s="48" t="s">
        <v>431</v>
      </c>
      <c r="E338" s="51"/>
      <c r="F338" s="41">
        <f t="shared" ref="F338:K338" si="19">SUM(F333:F337)</f>
        <v>0</v>
      </c>
      <c r="G338" s="41">
        <f t="shared" si="19"/>
        <v>0</v>
      </c>
      <c r="H338" s="41">
        <f t="shared" si="19"/>
        <v>0</v>
      </c>
      <c r="I338" s="41">
        <f t="shared" si="19"/>
        <v>0</v>
      </c>
      <c r="J338" s="41">
        <f t="shared" si="19"/>
        <v>14500</v>
      </c>
      <c r="K338" s="41">
        <f t="shared" si="19"/>
        <v>0</v>
      </c>
      <c r="L338" s="41">
        <f t="shared" si="18"/>
        <v>14500</v>
      </c>
      <c r="M338" s="8"/>
      <c r="N338" s="265"/>
    </row>
    <row r="339" spans="1:43" s="3" customFormat="1" ht="12.2" customHeight="1" thickTop="1" x14ac:dyDescent="0.15">
      <c r="A339" s="38" t="s">
        <v>468</v>
      </c>
      <c r="B339" s="40">
        <v>14</v>
      </c>
      <c r="C339" s="40">
        <v>7</v>
      </c>
      <c r="D339" s="39" t="s">
        <v>431</v>
      </c>
      <c r="E339" s="40"/>
      <c r="F339" s="41">
        <f t="shared" ref="F339:L339" si="20">F291+F310+F329+F338</f>
        <v>76369.549999999988</v>
      </c>
      <c r="G339" s="41">
        <f t="shared" si="20"/>
        <v>16926.93</v>
      </c>
      <c r="H339" s="41">
        <f t="shared" si="20"/>
        <v>178387.40000000002</v>
      </c>
      <c r="I339" s="41">
        <f t="shared" si="20"/>
        <v>15987.03</v>
      </c>
      <c r="J339" s="41">
        <f t="shared" si="20"/>
        <v>53372.98</v>
      </c>
      <c r="K339" s="41">
        <f t="shared" si="20"/>
        <v>347</v>
      </c>
      <c r="L339" s="41">
        <f t="shared" si="20"/>
        <v>341390.89</v>
      </c>
      <c r="M339" s="8"/>
      <c r="N339" s="265"/>
    </row>
    <row r="340" spans="1:43" s="3" customFormat="1" ht="12.2" customHeight="1" x14ac:dyDescent="0.15">
      <c r="A340" s="29" t="s">
        <v>354</v>
      </c>
      <c r="F340" s="18"/>
      <c r="G340" s="18"/>
      <c r="H340" s="18"/>
      <c r="I340" s="18"/>
      <c r="J340" s="18"/>
      <c r="K340" s="18"/>
      <c r="L340" s="19"/>
      <c r="M340" s="8"/>
      <c r="N340" s="265"/>
    </row>
    <row r="341" spans="1:43" s="3" customFormat="1" ht="12.2" customHeight="1" x14ac:dyDescent="0.15">
      <c r="A341" s="30" t="s">
        <v>463</v>
      </c>
      <c r="E341" s="6">
        <v>5100</v>
      </c>
      <c r="F341" s="24" t="s">
        <v>288</v>
      </c>
      <c r="G341" s="24" t="s">
        <v>288</v>
      </c>
      <c r="H341" s="24" t="s">
        <v>288</v>
      </c>
      <c r="I341" s="24" t="s">
        <v>288</v>
      </c>
      <c r="J341" s="24" t="s">
        <v>288</v>
      </c>
      <c r="K341" s="24" t="s">
        <v>288</v>
      </c>
      <c r="L341" s="24" t="s">
        <v>288</v>
      </c>
      <c r="M341" s="8"/>
      <c r="N341" s="265"/>
    </row>
    <row r="342" spans="1:43" s="3" customFormat="1" ht="12.2" customHeight="1" x14ac:dyDescent="0.15">
      <c r="A342" s="1" t="s">
        <v>520</v>
      </c>
      <c r="B342" s="6">
        <v>14</v>
      </c>
      <c r="C342" s="37">
        <v>8</v>
      </c>
      <c r="E342" s="6">
        <v>5100</v>
      </c>
      <c r="F342" s="24" t="s">
        <v>288</v>
      </c>
      <c r="G342" s="24" t="s">
        <v>288</v>
      </c>
      <c r="H342" s="24" t="s">
        <v>288</v>
      </c>
      <c r="I342" s="24" t="s">
        <v>288</v>
      </c>
      <c r="J342" s="24" t="s">
        <v>288</v>
      </c>
      <c r="K342" s="18"/>
      <c r="L342" s="19">
        <f>SUM(F342:K342)</f>
        <v>0</v>
      </c>
      <c r="M342" s="8"/>
      <c r="N342" s="265"/>
    </row>
    <row r="343" spans="1:43" s="12" customFormat="1" ht="12.2" customHeight="1" thickBot="1" x14ac:dyDescent="0.25">
      <c r="A343" s="1" t="s">
        <v>532</v>
      </c>
      <c r="B343" s="6">
        <v>14</v>
      </c>
      <c r="C343" s="37">
        <v>9</v>
      </c>
      <c r="D343" s="3"/>
      <c r="E343" s="6">
        <v>5120</v>
      </c>
      <c r="F343" s="24" t="s">
        <v>288</v>
      </c>
      <c r="G343" s="24" t="s">
        <v>288</v>
      </c>
      <c r="H343" s="24" t="s">
        <v>288</v>
      </c>
      <c r="I343" s="24" t="s">
        <v>288</v>
      </c>
      <c r="J343" s="24" t="s">
        <v>288</v>
      </c>
      <c r="K343" s="18"/>
      <c r="L343" s="19">
        <f>SUM(F343:K343)</f>
        <v>0</v>
      </c>
      <c r="M343" s="52"/>
      <c r="N343" s="264"/>
      <c r="O343" s="52"/>
      <c r="P343" s="52"/>
      <c r="Q343" s="52"/>
      <c r="R343" s="52"/>
      <c r="S343" s="52"/>
      <c r="T343" s="52"/>
      <c r="U343" s="52"/>
      <c r="V343" s="52"/>
      <c r="W343" s="52"/>
      <c r="X343" s="52"/>
      <c r="Y343" s="52"/>
      <c r="Z343" s="52"/>
      <c r="AA343" s="52"/>
      <c r="AB343" s="52"/>
      <c r="AC343" s="52"/>
      <c r="AD343" s="52"/>
      <c r="AE343" s="52"/>
      <c r="AF343" s="52"/>
      <c r="AG343" s="52"/>
      <c r="AH343" s="52"/>
      <c r="AI343" s="52"/>
      <c r="AJ343" s="52"/>
      <c r="AK343" s="52"/>
      <c r="AL343" s="52"/>
      <c r="AM343" s="52"/>
      <c r="AN343" s="52"/>
      <c r="AO343" s="52"/>
      <c r="AP343" s="52"/>
      <c r="AQ343" s="52"/>
    </row>
    <row r="344" spans="1:43" s="3" customFormat="1" ht="12.2" customHeight="1" x14ac:dyDescent="0.15">
      <c r="A344" s="27" t="s">
        <v>356</v>
      </c>
      <c r="B344" s="6">
        <v>14</v>
      </c>
      <c r="E344" s="6">
        <v>5200</v>
      </c>
      <c r="F344" s="24" t="s">
        <v>288</v>
      </c>
      <c r="G344" s="24" t="s">
        <v>288</v>
      </c>
      <c r="H344" s="24" t="s">
        <v>288</v>
      </c>
      <c r="I344" s="24" t="s">
        <v>288</v>
      </c>
      <c r="J344" s="24" t="s">
        <v>288</v>
      </c>
      <c r="K344" s="24" t="s">
        <v>288</v>
      </c>
      <c r="L344" s="24" t="s">
        <v>288</v>
      </c>
      <c r="M344" s="8"/>
      <c r="N344" s="265"/>
    </row>
    <row r="345" spans="1:43" s="3" customFormat="1" ht="12.2" customHeight="1" x14ac:dyDescent="0.15">
      <c r="A345" s="3" t="s">
        <v>538</v>
      </c>
      <c r="B345" s="6">
        <v>14</v>
      </c>
      <c r="C345" s="6">
        <v>10</v>
      </c>
      <c r="D345" s="2" t="s">
        <v>431</v>
      </c>
      <c r="E345" s="6">
        <v>5210</v>
      </c>
      <c r="F345" s="24" t="s">
        <v>288</v>
      </c>
      <c r="G345" s="24" t="s">
        <v>288</v>
      </c>
      <c r="H345" s="24" t="s">
        <v>288</v>
      </c>
      <c r="I345" s="24" t="s">
        <v>288</v>
      </c>
      <c r="J345" s="24" t="s">
        <v>288</v>
      </c>
      <c r="K345" s="18"/>
      <c r="L345" s="19">
        <f t="shared" ref="L345:L351" si="21">SUM(F345:K345)</f>
        <v>0</v>
      </c>
      <c r="M345" s="8"/>
      <c r="N345" s="265"/>
    </row>
    <row r="346" spans="1:43" s="3" customFormat="1" ht="12.2" customHeight="1" x14ac:dyDescent="0.15">
      <c r="A346" s="1" t="s">
        <v>602</v>
      </c>
      <c r="B346" s="6">
        <v>14</v>
      </c>
      <c r="C346" s="6">
        <v>11</v>
      </c>
      <c r="D346" s="2" t="s">
        <v>431</v>
      </c>
      <c r="E346" s="6">
        <v>5221</v>
      </c>
      <c r="F346" s="24" t="s">
        <v>288</v>
      </c>
      <c r="G346" s="24" t="s">
        <v>288</v>
      </c>
      <c r="H346" s="24" t="s">
        <v>288</v>
      </c>
      <c r="I346" s="24" t="s">
        <v>288</v>
      </c>
      <c r="J346" s="24" t="s">
        <v>288</v>
      </c>
      <c r="K346" s="18"/>
      <c r="L346" s="19">
        <f t="shared" si="21"/>
        <v>0</v>
      </c>
      <c r="M346" s="8"/>
      <c r="N346" s="265"/>
    </row>
    <row r="347" spans="1:43" s="3" customFormat="1" ht="12.2" customHeight="1" x14ac:dyDescent="0.15">
      <c r="A347" s="1" t="s">
        <v>539</v>
      </c>
      <c r="B347" s="6">
        <v>14</v>
      </c>
      <c r="C347" s="6">
        <v>12</v>
      </c>
      <c r="D347" s="2" t="s">
        <v>431</v>
      </c>
      <c r="E347" s="6">
        <v>5230</v>
      </c>
      <c r="F347" s="24" t="s">
        <v>288</v>
      </c>
      <c r="G347" s="24" t="s">
        <v>288</v>
      </c>
      <c r="H347" s="24" t="s">
        <v>288</v>
      </c>
      <c r="I347" s="24" t="s">
        <v>288</v>
      </c>
      <c r="J347" s="24" t="s">
        <v>288</v>
      </c>
      <c r="K347" s="18"/>
      <c r="L347" s="19">
        <f t="shared" si="21"/>
        <v>0</v>
      </c>
      <c r="M347" s="8"/>
      <c r="N347" s="265"/>
    </row>
    <row r="348" spans="1:43" s="3" customFormat="1" ht="12.2" customHeight="1" x14ac:dyDescent="0.15">
      <c r="A348" s="3" t="s">
        <v>540</v>
      </c>
      <c r="B348" s="6">
        <v>14</v>
      </c>
      <c r="C348" s="6">
        <v>13</v>
      </c>
      <c r="D348" s="2" t="s">
        <v>431</v>
      </c>
      <c r="E348" s="6">
        <v>5250</v>
      </c>
      <c r="F348" s="24" t="s">
        <v>288</v>
      </c>
      <c r="G348" s="24" t="s">
        <v>288</v>
      </c>
      <c r="H348" s="24" t="s">
        <v>288</v>
      </c>
      <c r="I348" s="24" t="s">
        <v>288</v>
      </c>
      <c r="J348" s="24" t="s">
        <v>288</v>
      </c>
      <c r="K348" s="18"/>
      <c r="L348" s="19">
        <f t="shared" si="21"/>
        <v>0</v>
      </c>
      <c r="M348" s="8"/>
      <c r="N348" s="265"/>
    </row>
    <row r="349" spans="1:43" s="3" customFormat="1" ht="12.2" customHeight="1" x14ac:dyDescent="0.15">
      <c r="A349" s="27" t="s">
        <v>560</v>
      </c>
      <c r="B349" s="2"/>
      <c r="C349" s="6"/>
      <c r="D349" s="6"/>
      <c r="E349" s="6">
        <v>5300</v>
      </c>
      <c r="F349" s="24" t="s">
        <v>288</v>
      </c>
      <c r="G349" s="24" t="s">
        <v>288</v>
      </c>
      <c r="H349" s="24" t="s">
        <v>288</v>
      </c>
      <c r="I349" s="24" t="s">
        <v>288</v>
      </c>
      <c r="J349" s="24" t="s">
        <v>288</v>
      </c>
      <c r="K349" s="24" t="s">
        <v>288</v>
      </c>
      <c r="L349" s="24" t="s">
        <v>288</v>
      </c>
      <c r="M349" s="8"/>
      <c r="N349" s="265"/>
    </row>
    <row r="350" spans="1:43" s="3" customFormat="1" ht="12.2" customHeight="1" x14ac:dyDescent="0.15">
      <c r="A350" s="1" t="s">
        <v>536</v>
      </c>
      <c r="B350" s="6">
        <v>14</v>
      </c>
      <c r="C350" s="6">
        <v>14</v>
      </c>
      <c r="D350" s="2" t="s">
        <v>431</v>
      </c>
      <c r="E350" s="6">
        <v>5310</v>
      </c>
      <c r="F350" s="24" t="s">
        <v>288</v>
      </c>
      <c r="G350" s="24" t="s">
        <v>288</v>
      </c>
      <c r="H350" s="24" t="s">
        <v>288</v>
      </c>
      <c r="I350" s="24" t="s">
        <v>288</v>
      </c>
      <c r="J350" s="24" t="s">
        <v>288</v>
      </c>
      <c r="K350" s="18"/>
      <c r="L350" s="19">
        <f t="shared" si="21"/>
        <v>0</v>
      </c>
      <c r="M350" s="8"/>
      <c r="N350" s="265"/>
    </row>
    <row r="351" spans="1:43" s="3" customFormat="1" ht="12.2" customHeight="1" thickBot="1" x14ac:dyDescent="0.2">
      <c r="A351" s="1" t="s">
        <v>537</v>
      </c>
      <c r="B351" s="6">
        <v>14</v>
      </c>
      <c r="C351" s="37">
        <v>15</v>
      </c>
      <c r="D351" s="2" t="s">
        <v>431</v>
      </c>
      <c r="E351" s="6">
        <v>5390</v>
      </c>
      <c r="F351" s="24" t="s">
        <v>288</v>
      </c>
      <c r="G351" s="24" t="s">
        <v>288</v>
      </c>
      <c r="H351" s="24" t="s">
        <v>288</v>
      </c>
      <c r="I351" s="24" t="s">
        <v>288</v>
      </c>
      <c r="J351" s="24" t="s">
        <v>288</v>
      </c>
      <c r="K351" s="18"/>
      <c r="L351" s="19">
        <f t="shared" si="21"/>
        <v>0</v>
      </c>
      <c r="M351" s="8"/>
      <c r="N351" s="265"/>
    </row>
    <row r="352" spans="1:43" s="12" customFormat="1" ht="12.2" customHeight="1" thickTop="1" thickBot="1" x14ac:dyDescent="0.25">
      <c r="A352" s="46" t="s">
        <v>420</v>
      </c>
      <c r="B352" s="40">
        <v>14</v>
      </c>
      <c r="C352" s="51">
        <v>16</v>
      </c>
      <c r="D352" s="39" t="s">
        <v>431</v>
      </c>
      <c r="E352" s="40"/>
      <c r="F352" s="45" t="s">
        <v>288</v>
      </c>
      <c r="G352" s="45" t="s">
        <v>288</v>
      </c>
      <c r="H352" s="45" t="s">
        <v>288</v>
      </c>
      <c r="I352" s="45" t="s">
        <v>288</v>
      </c>
      <c r="J352" s="45" t="s">
        <v>288</v>
      </c>
      <c r="K352" s="41">
        <f>SUM(K342:K351)</f>
        <v>0</v>
      </c>
      <c r="L352" s="41">
        <f>SUM(L342:L351)</f>
        <v>0</v>
      </c>
      <c r="M352" s="52"/>
      <c r="N352" s="264"/>
      <c r="O352" s="52"/>
      <c r="P352" s="52"/>
      <c r="Q352" s="52"/>
      <c r="R352" s="3"/>
      <c r="S352" s="3"/>
      <c r="T352" s="3"/>
      <c r="U352" s="3"/>
      <c r="V352" s="3"/>
      <c r="AH352" s="52"/>
      <c r="AI352" s="52"/>
      <c r="AJ352" s="52"/>
      <c r="AK352" s="52"/>
      <c r="AL352" s="52"/>
      <c r="AM352" s="52"/>
      <c r="AN352" s="52"/>
      <c r="AO352" s="52"/>
      <c r="AP352" s="52"/>
      <c r="AQ352" s="52"/>
    </row>
    <row r="353" spans="1:22" s="3" customFormat="1" ht="12.2" customHeight="1" thickTop="1" x14ac:dyDescent="0.15">
      <c r="A353" s="38" t="s">
        <v>469</v>
      </c>
      <c r="B353" s="40">
        <v>14</v>
      </c>
      <c r="C353" s="40">
        <v>17</v>
      </c>
      <c r="D353" s="39" t="s">
        <v>431</v>
      </c>
      <c r="E353" s="40"/>
      <c r="F353" s="41">
        <f>F339</f>
        <v>76369.549999999988</v>
      </c>
      <c r="G353" s="41">
        <f>G339</f>
        <v>16926.93</v>
      </c>
      <c r="H353" s="41">
        <f>H339</f>
        <v>178387.40000000002</v>
      </c>
      <c r="I353" s="41">
        <f>I339</f>
        <v>15987.03</v>
      </c>
      <c r="J353" s="41">
        <f>J339</f>
        <v>53372.98</v>
      </c>
      <c r="K353" s="47">
        <f>K339+K352</f>
        <v>347</v>
      </c>
      <c r="L353" s="41">
        <f>L339+L352</f>
        <v>341390.89</v>
      </c>
      <c r="M353" s="8"/>
      <c r="N353" s="265"/>
    </row>
    <row r="354" spans="1:22" s="3" customFormat="1" ht="12.2" customHeight="1" x14ac:dyDescent="0.15">
      <c r="A354" s="70"/>
      <c r="B354" s="37"/>
      <c r="C354" s="23"/>
      <c r="D354" s="23"/>
      <c r="E354" s="23"/>
      <c r="F354" s="67"/>
      <c r="G354" s="67"/>
      <c r="H354" s="67"/>
      <c r="I354" s="67"/>
      <c r="J354" s="67"/>
      <c r="K354" s="56"/>
      <c r="L354" s="67"/>
      <c r="M354" s="8"/>
      <c r="N354" s="265"/>
    </row>
    <row r="355" spans="1:22" s="3" customFormat="1" ht="12.2" customHeight="1" x14ac:dyDescent="0.2">
      <c r="A355" s="54"/>
      <c r="B355" s="52"/>
      <c r="C355" s="52"/>
      <c r="D355" s="52"/>
      <c r="E355" s="52"/>
      <c r="F355" s="176" t="s">
        <v>689</v>
      </c>
      <c r="G355" s="176" t="s">
        <v>690</v>
      </c>
      <c r="H355" s="176" t="s">
        <v>691</v>
      </c>
      <c r="I355" s="176" t="s">
        <v>692</v>
      </c>
      <c r="J355" s="176" t="s">
        <v>693</v>
      </c>
      <c r="K355" s="176" t="s">
        <v>694</v>
      </c>
      <c r="L355" s="53"/>
      <c r="M355" s="8"/>
      <c r="N355" s="265"/>
    </row>
    <row r="356" spans="1:22" s="3" customFormat="1" ht="12.2" customHeight="1" x14ac:dyDescent="0.15">
      <c r="A356" s="29" t="s">
        <v>281</v>
      </c>
      <c r="F356" s="103" t="s">
        <v>54</v>
      </c>
      <c r="G356" s="103" t="s">
        <v>55</v>
      </c>
      <c r="H356" s="103" t="s">
        <v>56</v>
      </c>
      <c r="I356" s="103" t="s">
        <v>57</v>
      </c>
      <c r="J356" s="103" t="s">
        <v>58</v>
      </c>
      <c r="K356" s="103" t="s">
        <v>59</v>
      </c>
      <c r="L356" s="103" t="s">
        <v>5</v>
      </c>
      <c r="M356" s="8"/>
      <c r="N356" s="265"/>
    </row>
    <row r="357" spans="1:22" s="3" customFormat="1" ht="12.2" customHeight="1" x14ac:dyDescent="0.15">
      <c r="A357" s="27" t="s">
        <v>460</v>
      </c>
      <c r="B357" s="7"/>
      <c r="C357" s="7"/>
      <c r="D357" s="7"/>
      <c r="E357" s="6">
        <v>3000</v>
      </c>
      <c r="F357" s="24" t="s">
        <v>288</v>
      </c>
      <c r="G357" s="24" t="s">
        <v>288</v>
      </c>
      <c r="H357" s="24" t="s">
        <v>288</v>
      </c>
      <c r="I357" s="24" t="s">
        <v>288</v>
      </c>
      <c r="J357" s="24" t="s">
        <v>288</v>
      </c>
      <c r="K357" s="24" t="s">
        <v>288</v>
      </c>
      <c r="L357" s="24" t="s">
        <v>288</v>
      </c>
      <c r="M357" s="8"/>
      <c r="N357" s="265"/>
    </row>
    <row r="358" spans="1:22" ht="12.2" customHeight="1" x14ac:dyDescent="0.2">
      <c r="A358" s="30" t="s">
        <v>364</v>
      </c>
      <c r="B358" s="2"/>
      <c r="C358" s="2"/>
      <c r="D358" s="2"/>
      <c r="E358" s="6">
        <v>3100</v>
      </c>
      <c r="F358" s="24" t="s">
        <v>288</v>
      </c>
      <c r="G358" s="24" t="s">
        <v>288</v>
      </c>
      <c r="H358" s="24" t="s">
        <v>288</v>
      </c>
      <c r="I358" s="24" t="s">
        <v>288</v>
      </c>
      <c r="J358" s="24" t="s">
        <v>288</v>
      </c>
      <c r="K358" s="24" t="s">
        <v>288</v>
      </c>
      <c r="L358" s="24" t="s">
        <v>288</v>
      </c>
      <c r="N358" s="263"/>
      <c r="R358" s="3"/>
      <c r="S358" s="3"/>
      <c r="T358" s="3"/>
      <c r="U358" s="3"/>
      <c r="V358" s="3"/>
    </row>
    <row r="359" spans="1:22" s="3" customFormat="1" ht="12.2" customHeight="1" x14ac:dyDescent="0.15">
      <c r="A359" s="3" t="s">
        <v>541</v>
      </c>
      <c r="B359" s="2" t="s">
        <v>366</v>
      </c>
      <c r="C359" s="6">
        <v>1</v>
      </c>
      <c r="D359" s="2" t="s">
        <v>431</v>
      </c>
      <c r="E359" s="6"/>
      <c r="F359" s="18"/>
      <c r="G359" s="18"/>
      <c r="H359" s="18">
        <f>225657+400</f>
        <v>226057</v>
      </c>
      <c r="I359" s="18">
        <v>-1631</v>
      </c>
      <c r="J359" s="18">
        <v>1580</v>
      </c>
      <c r="K359" s="18"/>
      <c r="L359" s="13">
        <f>SUM(F359:K359)</f>
        <v>226006</v>
      </c>
      <c r="M359" s="8"/>
      <c r="N359" s="265"/>
    </row>
    <row r="360" spans="1:22" s="3" customFormat="1" ht="12.2" customHeight="1" x14ac:dyDescent="0.15">
      <c r="A360" s="1" t="s">
        <v>542</v>
      </c>
      <c r="B360" s="2" t="s">
        <v>366</v>
      </c>
      <c r="C360" s="6">
        <v>2</v>
      </c>
      <c r="D360" s="2" t="s">
        <v>431</v>
      </c>
      <c r="E360" s="6"/>
      <c r="F360" s="18"/>
      <c r="G360" s="18"/>
      <c r="H360" s="18"/>
      <c r="I360" s="18"/>
      <c r="J360" s="18"/>
      <c r="K360" s="18"/>
      <c r="L360" s="19">
        <f>SUM(F360:K360)</f>
        <v>0</v>
      </c>
      <c r="M360" s="8"/>
      <c r="N360" s="265"/>
    </row>
    <row r="361" spans="1:22" s="3" customFormat="1" ht="12.2" customHeight="1" x14ac:dyDescent="0.15">
      <c r="A361" s="3" t="s">
        <v>543</v>
      </c>
      <c r="B361" s="2" t="s">
        <v>366</v>
      </c>
      <c r="C361" s="6">
        <v>3</v>
      </c>
      <c r="D361" s="2" t="s">
        <v>431</v>
      </c>
      <c r="E361" s="6"/>
      <c r="F361" s="18"/>
      <c r="G361" s="18"/>
      <c r="H361" s="18"/>
      <c r="I361" s="18"/>
      <c r="J361" s="18"/>
      <c r="K361" s="18"/>
      <c r="L361" s="19">
        <f>SUM(F361:K361)</f>
        <v>0</v>
      </c>
      <c r="M361" s="8"/>
      <c r="N361" s="265"/>
    </row>
    <row r="362" spans="1:22" s="3" customFormat="1" ht="12.2" customHeight="1" thickBot="1" x14ac:dyDescent="0.2">
      <c r="A362" s="1" t="s">
        <v>368</v>
      </c>
      <c r="B362" s="2" t="s">
        <v>366</v>
      </c>
      <c r="C362" s="6">
        <v>4</v>
      </c>
      <c r="D362" s="2" t="s">
        <v>431</v>
      </c>
      <c r="E362" s="6">
        <v>5200</v>
      </c>
      <c r="F362" s="24" t="s">
        <v>288</v>
      </c>
      <c r="G362" s="24" t="s">
        <v>288</v>
      </c>
      <c r="H362" s="24" t="s">
        <v>288</v>
      </c>
      <c r="I362" s="24" t="s">
        <v>288</v>
      </c>
      <c r="J362" s="24" t="s">
        <v>288</v>
      </c>
      <c r="K362" s="18"/>
      <c r="L362" s="13">
        <f>SUM(F362:K362)</f>
        <v>0</v>
      </c>
      <c r="M362" s="8"/>
      <c r="N362" s="265"/>
    </row>
    <row r="363" spans="1:22" s="3" customFormat="1" ht="12.2" customHeight="1" thickTop="1" x14ac:dyDescent="0.15">
      <c r="A363" s="46" t="s">
        <v>469</v>
      </c>
      <c r="B363" s="39" t="s">
        <v>366</v>
      </c>
      <c r="C363" s="40">
        <v>5</v>
      </c>
      <c r="D363" s="39" t="s">
        <v>431</v>
      </c>
      <c r="E363" s="40"/>
      <c r="F363" s="47">
        <f t="shared" ref="F363:L363" si="22">SUM(F359:F362)</f>
        <v>0</v>
      </c>
      <c r="G363" s="47">
        <f t="shared" si="22"/>
        <v>0</v>
      </c>
      <c r="H363" s="47">
        <f t="shared" si="22"/>
        <v>226057</v>
      </c>
      <c r="I363" s="47">
        <f t="shared" si="22"/>
        <v>-1631</v>
      </c>
      <c r="J363" s="47">
        <f t="shared" si="22"/>
        <v>1580</v>
      </c>
      <c r="K363" s="47">
        <f t="shared" si="22"/>
        <v>0</v>
      </c>
      <c r="L363" s="47">
        <f t="shared" si="22"/>
        <v>226006</v>
      </c>
      <c r="M363" s="8"/>
      <c r="N363" s="265"/>
    </row>
    <row r="364" spans="1:22" s="3" customFormat="1" ht="12.2" customHeight="1" x14ac:dyDescent="0.15">
      <c r="A364" s="55"/>
      <c r="B364" s="36"/>
      <c r="C364" s="37"/>
      <c r="D364" s="37"/>
      <c r="E364" s="37"/>
      <c r="F364" s="56"/>
      <c r="G364" s="56"/>
      <c r="H364" s="56"/>
      <c r="I364" s="56"/>
      <c r="J364" s="56"/>
      <c r="K364" s="56"/>
      <c r="L364" s="56"/>
      <c r="M364" s="8"/>
      <c r="N364" s="265"/>
    </row>
    <row r="365" spans="1:22" s="3" customFormat="1" ht="12.2" customHeight="1" x14ac:dyDescent="0.15">
      <c r="A365" s="55" t="s">
        <v>369</v>
      </c>
      <c r="B365" s="36"/>
      <c r="C365" s="37"/>
      <c r="D365" s="37"/>
      <c r="E365" s="37"/>
      <c r="F365" s="56"/>
      <c r="G365" s="56"/>
      <c r="H365" s="56"/>
      <c r="I365" s="56"/>
      <c r="J365" s="56"/>
      <c r="K365" s="56"/>
      <c r="L365" s="56"/>
      <c r="M365" s="8"/>
      <c r="N365" s="265"/>
    </row>
    <row r="366" spans="1:22" s="3" customFormat="1" ht="12.2" customHeight="1" x14ac:dyDescent="0.15">
      <c r="A366" s="55"/>
      <c r="B366" s="36"/>
      <c r="C366" s="37"/>
      <c r="D366" s="37"/>
      <c r="E366" s="37"/>
      <c r="F366" s="57" t="s">
        <v>264</v>
      </c>
      <c r="G366" s="57" t="s">
        <v>265</v>
      </c>
      <c r="H366" s="57" t="s">
        <v>266</v>
      </c>
      <c r="I366" s="57" t="s">
        <v>267</v>
      </c>
      <c r="J366" s="56"/>
      <c r="K366" s="56"/>
      <c r="L366" s="56"/>
      <c r="M366" s="8"/>
      <c r="N366" s="265"/>
    </row>
    <row r="367" spans="1:22" s="3" customFormat="1" ht="12.2" customHeight="1" x14ac:dyDescent="0.15">
      <c r="A367" s="55"/>
      <c r="B367" s="36"/>
      <c r="C367" s="37"/>
      <c r="D367" s="37"/>
      <c r="E367" s="37"/>
      <c r="F367" s="59" t="s">
        <v>365</v>
      </c>
      <c r="G367" s="60" t="s">
        <v>370</v>
      </c>
      <c r="H367" s="60" t="s">
        <v>367</v>
      </c>
      <c r="I367" s="60" t="s">
        <v>340</v>
      </c>
      <c r="J367" s="24" t="s">
        <v>288</v>
      </c>
      <c r="K367" s="24" t="s">
        <v>288</v>
      </c>
      <c r="L367" s="24" t="s">
        <v>288</v>
      </c>
      <c r="M367" s="8"/>
      <c r="N367" s="265"/>
    </row>
    <row r="368" spans="1:22" s="3" customFormat="1" ht="12.2" customHeight="1" x14ac:dyDescent="0.15">
      <c r="A368" s="58" t="s">
        <v>371</v>
      </c>
      <c r="B368" s="2" t="s">
        <v>366</v>
      </c>
      <c r="C368" s="2" t="s">
        <v>295</v>
      </c>
      <c r="D368" s="2" t="s">
        <v>432</v>
      </c>
      <c r="E368" s="2"/>
      <c r="F368" s="18"/>
      <c r="G368" s="18"/>
      <c r="H368" s="18">
        <v>-1631</v>
      </c>
      <c r="I368" s="56">
        <f>SUM(F368:H368)</f>
        <v>-1631</v>
      </c>
      <c r="J368" s="24" t="s">
        <v>288</v>
      </c>
      <c r="K368" s="24" t="s">
        <v>288</v>
      </c>
      <c r="L368" s="24" t="s">
        <v>288</v>
      </c>
      <c r="M368" s="8"/>
      <c r="N368" s="265"/>
    </row>
    <row r="369" spans="1:14" s="3" customFormat="1" ht="12.2" customHeight="1" thickBot="1" x14ac:dyDescent="0.2">
      <c r="A369" s="61" t="s">
        <v>372</v>
      </c>
      <c r="B369" s="62" t="s">
        <v>366</v>
      </c>
      <c r="C369" s="62" t="s">
        <v>296</v>
      </c>
      <c r="D369" s="2" t="s">
        <v>432</v>
      </c>
      <c r="E369" s="62"/>
      <c r="F369" s="63"/>
      <c r="G369" s="63"/>
      <c r="H369" s="63"/>
      <c r="I369" s="56">
        <f>SUM(F369:H369)</f>
        <v>0</v>
      </c>
      <c r="J369" s="24" t="s">
        <v>288</v>
      </c>
      <c r="K369" s="24" t="s">
        <v>288</v>
      </c>
      <c r="L369" s="24" t="s">
        <v>288</v>
      </c>
      <c r="M369" s="8"/>
      <c r="N369" s="265"/>
    </row>
    <row r="370" spans="1:14" s="3" customFormat="1" ht="12.2" customHeight="1" thickTop="1" x14ac:dyDescent="0.15">
      <c r="A370" s="34" t="s">
        <v>340</v>
      </c>
      <c r="B370" s="2" t="s">
        <v>366</v>
      </c>
      <c r="C370" s="2" t="s">
        <v>297</v>
      </c>
      <c r="D370" s="39" t="s">
        <v>432</v>
      </c>
      <c r="E370" s="2"/>
      <c r="F370" s="47">
        <f>SUM(F368:F369)</f>
        <v>0</v>
      </c>
      <c r="G370" s="47">
        <f>SUM(G368:G369)</f>
        <v>0</v>
      </c>
      <c r="H370" s="47">
        <f>SUM(H368:H369)</f>
        <v>-1631</v>
      </c>
      <c r="I370" s="47">
        <f>SUM(I368:I369)</f>
        <v>-1631</v>
      </c>
      <c r="J370" s="24" t="s">
        <v>288</v>
      </c>
      <c r="K370" s="24" t="s">
        <v>288</v>
      </c>
      <c r="L370" s="24" t="s">
        <v>288</v>
      </c>
      <c r="M370" s="8"/>
      <c r="N370" s="265"/>
    </row>
    <row r="371" spans="1:14" s="3" customFormat="1" ht="12.2" customHeight="1" x14ac:dyDescent="0.15">
      <c r="A371" s="34"/>
      <c r="B371" s="2"/>
      <c r="C371" s="2"/>
      <c r="D371" s="2"/>
      <c r="E371" s="2"/>
      <c r="F371" s="64"/>
      <c r="G371" s="64"/>
      <c r="H371" s="64"/>
      <c r="I371" s="56"/>
      <c r="J371" s="56"/>
      <c r="K371" s="56"/>
      <c r="L371" s="56"/>
      <c r="M371" s="8"/>
      <c r="N371" s="265"/>
    </row>
    <row r="372" spans="1:14" s="3" customFormat="1" ht="12.2" customHeight="1" x14ac:dyDescent="0.15">
      <c r="A372" s="34" t="s">
        <v>283</v>
      </c>
      <c r="B372" s="2"/>
      <c r="C372" s="2"/>
      <c r="D372" s="2"/>
      <c r="E372" s="2"/>
      <c r="F372" s="176" t="s">
        <v>689</v>
      </c>
      <c r="G372" s="176" t="s">
        <v>690</v>
      </c>
      <c r="H372" s="176" t="s">
        <v>691</v>
      </c>
      <c r="I372" s="176" t="s">
        <v>692</v>
      </c>
      <c r="J372" s="176" t="s">
        <v>693</v>
      </c>
      <c r="K372" s="176" t="s">
        <v>694</v>
      </c>
      <c r="L372" s="13"/>
      <c r="M372" s="8"/>
      <c r="N372" s="265"/>
    </row>
    <row r="373" spans="1:14" s="3" customFormat="1" ht="12.2" customHeight="1" x14ac:dyDescent="0.15">
      <c r="A373" s="34" t="s">
        <v>363</v>
      </c>
      <c r="B373" s="2"/>
      <c r="C373" s="2"/>
      <c r="D373" s="2"/>
      <c r="E373" s="2"/>
      <c r="F373" s="103" t="s">
        <v>54</v>
      </c>
      <c r="G373" s="103" t="s">
        <v>55</v>
      </c>
      <c r="H373" s="103" t="s">
        <v>56</v>
      </c>
      <c r="I373" s="103" t="s">
        <v>57</v>
      </c>
      <c r="J373" s="103" t="s">
        <v>58</v>
      </c>
      <c r="K373" s="103" t="s">
        <v>59</v>
      </c>
      <c r="L373" s="103" t="s">
        <v>5</v>
      </c>
      <c r="M373" s="8"/>
      <c r="N373" s="265"/>
    </row>
    <row r="374" spans="1:14" s="3" customFormat="1" ht="12.2" customHeight="1" x14ac:dyDescent="0.15">
      <c r="A374" s="27" t="s">
        <v>373</v>
      </c>
      <c r="B374" s="2"/>
      <c r="C374" s="2"/>
      <c r="D374" s="2"/>
      <c r="E374" s="6">
        <v>4000</v>
      </c>
      <c r="F374" s="24" t="s">
        <v>288</v>
      </c>
      <c r="G374" s="24" t="s">
        <v>288</v>
      </c>
      <c r="H374" s="24" t="s">
        <v>288</v>
      </c>
      <c r="I374" s="24" t="s">
        <v>288</v>
      </c>
      <c r="J374" s="24" t="s">
        <v>288</v>
      </c>
      <c r="K374" s="24" t="s">
        <v>288</v>
      </c>
      <c r="L374" s="24" t="s">
        <v>288</v>
      </c>
      <c r="M374" s="8"/>
      <c r="N374" s="265"/>
    </row>
    <row r="375" spans="1:14" s="3" customFormat="1" ht="12.2" customHeight="1" x14ac:dyDescent="0.15">
      <c r="A375" s="1" t="s">
        <v>544</v>
      </c>
      <c r="B375" s="2" t="s">
        <v>366</v>
      </c>
      <c r="C375" s="2" t="s">
        <v>298</v>
      </c>
      <c r="D375" s="2" t="s">
        <v>431</v>
      </c>
      <c r="E375" s="6">
        <v>4100</v>
      </c>
      <c r="F375" s="18"/>
      <c r="G375" s="18"/>
      <c r="H375" s="18"/>
      <c r="I375" s="18"/>
      <c r="J375" s="18"/>
      <c r="K375" s="18"/>
      <c r="L375" s="13">
        <f>SUM(F375:K375)</f>
        <v>0</v>
      </c>
      <c r="M375" s="8"/>
      <c r="N375" s="265"/>
    </row>
    <row r="376" spans="1:14" s="3" customFormat="1" ht="12.2" customHeight="1" x14ac:dyDescent="0.15">
      <c r="A376" s="1" t="s">
        <v>545</v>
      </c>
      <c r="B376" s="2" t="s">
        <v>366</v>
      </c>
      <c r="C376" s="2" t="s">
        <v>299</v>
      </c>
      <c r="D376" s="2" t="s">
        <v>431</v>
      </c>
      <c r="E376" s="6">
        <v>4200</v>
      </c>
      <c r="F376" s="18"/>
      <c r="G376" s="18"/>
      <c r="H376" s="18"/>
      <c r="I376" s="18"/>
      <c r="J376" s="18"/>
      <c r="K376" s="18"/>
      <c r="L376" s="13">
        <f t="shared" ref="L376:L382" si="23">SUM(F376:K376)</f>
        <v>0</v>
      </c>
      <c r="M376" s="8"/>
      <c r="N376" s="265"/>
    </row>
    <row r="377" spans="1:14" s="3" customFormat="1" ht="12.2" customHeight="1" x14ac:dyDescent="0.15">
      <c r="A377" s="1" t="s">
        <v>546</v>
      </c>
      <c r="B377" s="2" t="s">
        <v>366</v>
      </c>
      <c r="C377" s="2" t="s">
        <v>300</v>
      </c>
      <c r="D377" s="2" t="s">
        <v>431</v>
      </c>
      <c r="E377" s="6">
        <v>4300</v>
      </c>
      <c r="F377" s="18"/>
      <c r="G377" s="18"/>
      <c r="H377" s="18"/>
      <c r="I377" s="18"/>
      <c r="J377" s="18"/>
      <c r="K377" s="18"/>
      <c r="L377" s="13">
        <f t="shared" si="23"/>
        <v>0</v>
      </c>
      <c r="M377" s="8"/>
      <c r="N377" s="265"/>
    </row>
    <row r="378" spans="1:14" s="3" customFormat="1" ht="12.2" customHeight="1" x14ac:dyDescent="0.15">
      <c r="A378" s="1" t="s">
        <v>547</v>
      </c>
      <c r="B378" s="2" t="s">
        <v>366</v>
      </c>
      <c r="C378" s="2" t="s">
        <v>343</v>
      </c>
      <c r="D378" s="2" t="s">
        <v>431</v>
      </c>
      <c r="E378" s="6">
        <v>4400</v>
      </c>
      <c r="F378" s="18"/>
      <c r="G378" s="18"/>
      <c r="H378" s="18"/>
      <c r="I378" s="18"/>
      <c r="J378" s="18"/>
      <c r="K378" s="18"/>
      <c r="L378" s="13">
        <f t="shared" si="23"/>
        <v>0</v>
      </c>
      <c r="M378" s="8"/>
      <c r="N378" s="265"/>
    </row>
    <row r="379" spans="1:14" s="3" customFormat="1" ht="12.2" customHeight="1" x14ac:dyDescent="0.15">
      <c r="A379" s="1" t="s">
        <v>548</v>
      </c>
      <c r="B379" s="2" t="s">
        <v>366</v>
      </c>
      <c r="C379" s="2" t="s">
        <v>344</v>
      </c>
      <c r="D379" s="2" t="s">
        <v>431</v>
      </c>
      <c r="E379" s="6">
        <v>4500</v>
      </c>
      <c r="F379" s="18"/>
      <c r="G379" s="18"/>
      <c r="H379" s="18"/>
      <c r="I379" s="18"/>
      <c r="J379" s="18"/>
      <c r="K379" s="18"/>
      <c r="L379" s="13">
        <f t="shared" si="23"/>
        <v>0</v>
      </c>
      <c r="M379" s="8"/>
      <c r="N379" s="265"/>
    </row>
    <row r="380" spans="1:14" s="3" customFormat="1" ht="12.2" customHeight="1" x14ac:dyDescent="0.15">
      <c r="A380" s="1" t="s">
        <v>549</v>
      </c>
      <c r="B380" s="2" t="s">
        <v>366</v>
      </c>
      <c r="C380" s="2" t="s">
        <v>345</v>
      </c>
      <c r="D380" s="2" t="s">
        <v>431</v>
      </c>
      <c r="E380" s="6">
        <v>4600</v>
      </c>
      <c r="F380" s="18"/>
      <c r="G380" s="18"/>
      <c r="H380" s="18"/>
      <c r="I380" s="18"/>
      <c r="J380" s="18"/>
      <c r="K380" s="18"/>
      <c r="L380" s="13">
        <f t="shared" si="23"/>
        <v>0</v>
      </c>
      <c r="M380" s="8"/>
      <c r="N380" s="265"/>
    </row>
    <row r="381" spans="1:14" s="3" customFormat="1" ht="12.2" customHeight="1" x14ac:dyDescent="0.15">
      <c r="A381" s="1" t="s">
        <v>510</v>
      </c>
      <c r="B381" s="2" t="s">
        <v>366</v>
      </c>
      <c r="C381" s="2" t="s">
        <v>347</v>
      </c>
      <c r="D381" s="2" t="s">
        <v>431</v>
      </c>
      <c r="E381" s="6">
        <v>4900</v>
      </c>
      <c r="F381" s="18"/>
      <c r="G381" s="18"/>
      <c r="H381" s="18"/>
      <c r="I381" s="18"/>
      <c r="J381" s="18"/>
      <c r="K381" s="18"/>
      <c r="L381" s="13">
        <f t="shared" si="23"/>
        <v>0</v>
      </c>
      <c r="M381" s="8"/>
      <c r="N381" s="265"/>
    </row>
    <row r="382" spans="1:14" s="3" customFormat="1" ht="12.2" customHeight="1" thickBot="1" x14ac:dyDescent="0.2">
      <c r="A382" s="1" t="s">
        <v>368</v>
      </c>
      <c r="B382" s="2" t="s">
        <v>366</v>
      </c>
      <c r="C382" s="2" t="s">
        <v>348</v>
      </c>
      <c r="D382" s="2" t="s">
        <v>431</v>
      </c>
      <c r="E382" s="6">
        <v>5200</v>
      </c>
      <c r="F382" s="24" t="s">
        <v>288</v>
      </c>
      <c r="G382" s="24" t="s">
        <v>288</v>
      </c>
      <c r="H382" s="24" t="s">
        <v>288</v>
      </c>
      <c r="I382" s="24" t="s">
        <v>288</v>
      </c>
      <c r="J382" s="24" t="s">
        <v>288</v>
      </c>
      <c r="K382" s="18"/>
      <c r="L382" s="13">
        <f t="shared" si="23"/>
        <v>0</v>
      </c>
      <c r="M382" s="8"/>
      <c r="N382" s="265"/>
    </row>
    <row r="383" spans="1:14" s="3" customFormat="1" ht="12.2" customHeight="1" thickTop="1" x14ac:dyDescent="0.15">
      <c r="A383" s="46" t="s">
        <v>469</v>
      </c>
      <c r="B383" s="39" t="s">
        <v>366</v>
      </c>
      <c r="C383" s="39" t="s">
        <v>349</v>
      </c>
      <c r="D383" s="39" t="s">
        <v>431</v>
      </c>
      <c r="E383" s="39"/>
      <c r="F383" s="139">
        <f>SUM(F375:F382)</f>
        <v>0</v>
      </c>
      <c r="G383" s="139">
        <f t="shared" ref="G383:L383" si="24">SUM(G375:G382)</f>
        <v>0</v>
      </c>
      <c r="H383" s="139">
        <f t="shared" si="24"/>
        <v>0</v>
      </c>
      <c r="I383" s="41">
        <f t="shared" si="24"/>
        <v>0</v>
      </c>
      <c r="J383" s="47">
        <f t="shared" si="24"/>
        <v>0</v>
      </c>
      <c r="K383" s="47">
        <f t="shared" si="24"/>
        <v>0</v>
      </c>
      <c r="L383" s="47">
        <f t="shared" si="24"/>
        <v>0</v>
      </c>
      <c r="M383" s="8"/>
      <c r="N383" s="265"/>
    </row>
    <row r="384" spans="1:14" s="3" customFormat="1" ht="12.2" customHeight="1" x14ac:dyDescent="0.15">
      <c r="A384" s="29"/>
      <c r="B384" s="2"/>
      <c r="C384" s="2"/>
      <c r="D384" s="2"/>
      <c r="E384" s="2"/>
      <c r="F384" s="66"/>
      <c r="G384" s="66"/>
      <c r="H384" s="66"/>
      <c r="I384" s="67"/>
      <c r="J384" s="56"/>
      <c r="K384" s="56"/>
      <c r="L384" s="56"/>
      <c r="M384" s="8"/>
      <c r="N384" s="265"/>
    </row>
    <row r="385" spans="1:14" s="3" customFormat="1" ht="12.2" customHeight="1" x14ac:dyDescent="0.15">
      <c r="A385" s="26" t="s">
        <v>482</v>
      </c>
      <c r="B385" s="76"/>
      <c r="C385" s="76"/>
      <c r="D385" s="76"/>
      <c r="E385" s="76"/>
      <c r="F385" s="66"/>
      <c r="G385" s="66"/>
      <c r="H385" s="66"/>
      <c r="I385" s="67"/>
      <c r="J385" s="56"/>
      <c r="K385" s="56"/>
      <c r="L385" s="56"/>
      <c r="M385" s="8"/>
      <c r="N385" s="265"/>
    </row>
    <row r="386" spans="1:14" s="3" customFormat="1" ht="12.2" customHeight="1" x14ac:dyDescent="0.15">
      <c r="A386" s="26" t="s">
        <v>483</v>
      </c>
      <c r="B386" s="2"/>
      <c r="C386" s="2"/>
      <c r="D386" s="2"/>
      <c r="E386" s="2"/>
      <c r="F386" s="16"/>
      <c r="G386" s="16" t="s">
        <v>374</v>
      </c>
      <c r="H386" s="16" t="s">
        <v>375</v>
      </c>
      <c r="I386" s="16" t="s">
        <v>310</v>
      </c>
      <c r="J386" s="56"/>
      <c r="K386" s="56"/>
      <c r="L386" s="56"/>
      <c r="M386" s="8"/>
      <c r="N386" s="265"/>
    </row>
    <row r="387" spans="1:14" s="3" customFormat="1" ht="12.2" customHeight="1" x14ac:dyDescent="0.15">
      <c r="A387" s="26" t="s">
        <v>376</v>
      </c>
      <c r="B387" s="2"/>
      <c r="C387" s="2"/>
      <c r="D387" s="2"/>
      <c r="F387" s="16" t="s">
        <v>377</v>
      </c>
      <c r="G387" s="16" t="s">
        <v>378</v>
      </c>
      <c r="H387" s="16" t="s">
        <v>379</v>
      </c>
      <c r="I387" s="16" t="s">
        <v>380</v>
      </c>
      <c r="J387" s="56"/>
      <c r="K387" s="56"/>
      <c r="L387" s="77" t="s">
        <v>340</v>
      </c>
      <c r="M387" s="8"/>
      <c r="N387" s="265"/>
    </row>
    <row r="388" spans="1:14" s="3" customFormat="1" ht="12.2" customHeight="1" x14ac:dyDescent="0.15">
      <c r="A388" s="79" t="s">
        <v>550</v>
      </c>
      <c r="B388" s="2" t="s">
        <v>381</v>
      </c>
      <c r="C388" s="6">
        <v>1</v>
      </c>
      <c r="D388" s="2" t="s">
        <v>432</v>
      </c>
      <c r="F388" s="18"/>
      <c r="G388" s="18"/>
      <c r="H388" s="18"/>
      <c r="I388" s="18"/>
      <c r="J388" s="24" t="s">
        <v>288</v>
      </c>
      <c r="K388" s="24" t="s">
        <v>288</v>
      </c>
      <c r="L388" s="56">
        <f t="shared" ref="L388:L393" si="25">SUM(F388:K388)</f>
        <v>0</v>
      </c>
      <c r="M388" s="8"/>
      <c r="N388" s="265"/>
    </row>
    <row r="389" spans="1:14" s="3" customFormat="1" ht="12.2" customHeight="1" x14ac:dyDescent="0.15">
      <c r="A389" s="79" t="s">
        <v>551</v>
      </c>
      <c r="B389" s="2" t="s">
        <v>381</v>
      </c>
      <c r="C389" s="6">
        <v>2</v>
      </c>
      <c r="D389" s="2" t="s">
        <v>432</v>
      </c>
      <c r="E389" s="6"/>
      <c r="F389" s="18"/>
      <c r="G389" s="18"/>
      <c r="H389" s="18"/>
      <c r="I389" s="18"/>
      <c r="J389" s="24" t="s">
        <v>288</v>
      </c>
      <c r="K389" s="24" t="s">
        <v>288</v>
      </c>
      <c r="L389" s="56">
        <f t="shared" si="25"/>
        <v>0</v>
      </c>
      <c r="M389" s="8"/>
      <c r="N389" s="265"/>
    </row>
    <row r="390" spans="1:14" s="3" customFormat="1" ht="12.2" customHeight="1" x14ac:dyDescent="0.15">
      <c r="A390" s="79" t="s">
        <v>552</v>
      </c>
      <c r="B390" s="2" t="s">
        <v>381</v>
      </c>
      <c r="C390" s="6">
        <v>3</v>
      </c>
      <c r="D390" s="2" t="s">
        <v>432</v>
      </c>
      <c r="E390" s="6"/>
      <c r="F390" s="18"/>
      <c r="G390" s="18"/>
      <c r="H390" s="18"/>
      <c r="I390" s="18"/>
      <c r="J390" s="24" t="s">
        <v>288</v>
      </c>
      <c r="K390" s="24" t="s">
        <v>288</v>
      </c>
      <c r="L390" s="56">
        <f t="shared" si="25"/>
        <v>0</v>
      </c>
      <c r="M390" s="8"/>
      <c r="N390" s="265"/>
    </row>
    <row r="391" spans="1:14" s="3" customFormat="1" ht="12.2" customHeight="1" x14ac:dyDescent="0.15">
      <c r="A391" s="79" t="s">
        <v>553</v>
      </c>
      <c r="B391" s="2" t="s">
        <v>381</v>
      </c>
      <c r="C391" s="6">
        <v>4</v>
      </c>
      <c r="D391" s="2" t="s">
        <v>432</v>
      </c>
      <c r="E391" s="6"/>
      <c r="F391" s="18"/>
      <c r="G391" s="18"/>
      <c r="H391" s="18"/>
      <c r="I391" s="18"/>
      <c r="J391" s="24" t="s">
        <v>288</v>
      </c>
      <c r="K391" s="24" t="s">
        <v>288</v>
      </c>
      <c r="L391" s="56">
        <f t="shared" si="25"/>
        <v>0</v>
      </c>
      <c r="M391" s="8"/>
      <c r="N391" s="265"/>
    </row>
    <row r="392" spans="1:14" s="3" customFormat="1" ht="12.2" customHeight="1" x14ac:dyDescent="0.15">
      <c r="A392" s="79" t="s">
        <v>554</v>
      </c>
      <c r="B392" s="2" t="s">
        <v>381</v>
      </c>
      <c r="C392" s="6">
        <v>5</v>
      </c>
      <c r="D392" s="2" t="s">
        <v>432</v>
      </c>
      <c r="E392" s="6"/>
      <c r="F392" s="18"/>
      <c r="G392" s="18"/>
      <c r="H392" s="18"/>
      <c r="I392" s="18"/>
      <c r="J392" s="24" t="s">
        <v>288</v>
      </c>
      <c r="K392" s="24" t="s">
        <v>288</v>
      </c>
      <c r="L392" s="56">
        <f t="shared" si="25"/>
        <v>0</v>
      </c>
      <c r="M392" s="8"/>
      <c r="N392" s="265"/>
    </row>
    <row r="393" spans="1:14" s="3" customFormat="1" ht="12.2" customHeight="1" thickBot="1" x14ac:dyDescent="0.2">
      <c r="A393" s="79" t="s">
        <v>555</v>
      </c>
      <c r="B393" s="2" t="s">
        <v>381</v>
      </c>
      <c r="C393" s="6">
        <v>6</v>
      </c>
      <c r="D393" s="2" t="s">
        <v>432</v>
      </c>
      <c r="E393" s="6"/>
      <c r="F393" s="18"/>
      <c r="G393" s="18"/>
      <c r="H393" s="18"/>
      <c r="I393" s="18"/>
      <c r="J393" s="24" t="s">
        <v>288</v>
      </c>
      <c r="K393" s="24" t="s">
        <v>288</v>
      </c>
      <c r="L393" s="56">
        <f t="shared" si="25"/>
        <v>0</v>
      </c>
      <c r="M393" s="8"/>
      <c r="N393" s="265"/>
    </row>
    <row r="394" spans="1:14" s="3" customFormat="1" ht="12.2" customHeight="1" thickTop="1" x14ac:dyDescent="0.15">
      <c r="A394" s="160" t="s">
        <v>471</v>
      </c>
      <c r="B394" s="2" t="s">
        <v>381</v>
      </c>
      <c r="C394" s="6">
        <v>7</v>
      </c>
      <c r="D394" s="2" t="s">
        <v>432</v>
      </c>
      <c r="E394" s="40">
        <v>5251</v>
      </c>
      <c r="F394" s="139">
        <f>SUM(F388:F393)</f>
        <v>0</v>
      </c>
      <c r="G394" s="139">
        <f>SUM(G388:G393)</f>
        <v>0</v>
      </c>
      <c r="H394" s="139">
        <f>SUM(H388:H393)</f>
        <v>0</v>
      </c>
      <c r="I394" s="65">
        <f>SUM(I388:I393)</f>
        <v>0</v>
      </c>
      <c r="J394" s="45" t="s">
        <v>288</v>
      </c>
      <c r="K394" s="45" t="s">
        <v>288</v>
      </c>
      <c r="L394" s="47">
        <f>SUM(L388:L393)</f>
        <v>0</v>
      </c>
      <c r="M394" s="8"/>
      <c r="N394" s="265"/>
    </row>
    <row r="395" spans="1:14" s="3" customFormat="1" ht="12.2" customHeight="1" x14ac:dyDescent="0.15">
      <c r="A395" s="78" t="s">
        <v>382</v>
      </c>
      <c r="B395" s="2"/>
      <c r="C395" s="6"/>
      <c r="D395" s="6"/>
      <c r="F395" s="24" t="s">
        <v>288</v>
      </c>
      <c r="G395" s="24" t="s">
        <v>288</v>
      </c>
      <c r="H395" s="24" t="s">
        <v>288</v>
      </c>
      <c r="I395" s="24" t="s">
        <v>288</v>
      </c>
      <c r="J395" s="24" t="s">
        <v>288</v>
      </c>
      <c r="K395" s="24" t="s">
        <v>288</v>
      </c>
      <c r="L395" s="24" t="s">
        <v>288</v>
      </c>
      <c r="M395" s="8"/>
      <c r="N395" s="265"/>
    </row>
    <row r="396" spans="1:14" s="3" customFormat="1" ht="12.2" customHeight="1" x14ac:dyDescent="0.15">
      <c r="A396" s="79" t="s">
        <v>556</v>
      </c>
      <c r="B396" s="2" t="s">
        <v>381</v>
      </c>
      <c r="C396" s="6">
        <v>8</v>
      </c>
      <c r="D396" s="2" t="s">
        <v>432</v>
      </c>
      <c r="E396" s="6"/>
      <c r="F396" s="18"/>
      <c r="G396" s="18"/>
      <c r="H396" s="18"/>
      <c r="I396" s="18"/>
      <c r="J396" s="24" t="s">
        <v>288</v>
      </c>
      <c r="K396" s="24" t="s">
        <v>288</v>
      </c>
      <c r="L396" s="56">
        <f t="shared" ref="L396:L401" si="26">SUM(F396:K396)</f>
        <v>0</v>
      </c>
      <c r="M396" s="8"/>
      <c r="N396" s="265"/>
    </row>
    <row r="397" spans="1:14" s="3" customFormat="1" ht="12.2" customHeight="1" x14ac:dyDescent="0.15">
      <c r="A397" s="79" t="s">
        <v>557</v>
      </c>
      <c r="B397" s="2" t="s">
        <v>381</v>
      </c>
      <c r="C397" s="6">
        <v>9</v>
      </c>
      <c r="D397" s="2" t="s">
        <v>432</v>
      </c>
      <c r="E397" s="6"/>
      <c r="F397" s="18"/>
      <c r="G397" s="18"/>
      <c r="H397" s="18">
        <v>412.88</v>
      </c>
      <c r="I397" s="18"/>
      <c r="J397" s="24" t="s">
        <v>288</v>
      </c>
      <c r="K397" s="24" t="s">
        <v>288</v>
      </c>
      <c r="L397" s="56">
        <f t="shared" si="26"/>
        <v>412.88</v>
      </c>
      <c r="M397" s="8"/>
      <c r="N397" s="265"/>
    </row>
    <row r="398" spans="1:14" s="3" customFormat="1" ht="12.2" customHeight="1" x14ac:dyDescent="0.15">
      <c r="A398" s="79" t="s">
        <v>515</v>
      </c>
      <c r="B398" s="2" t="s">
        <v>381</v>
      </c>
      <c r="C398" s="6">
        <v>10</v>
      </c>
      <c r="D398" s="2" t="s">
        <v>432</v>
      </c>
      <c r="E398" s="6"/>
      <c r="F398" s="18"/>
      <c r="G398" s="18">
        <v>100000</v>
      </c>
      <c r="H398" s="18">
        <v>200.17</v>
      </c>
      <c r="I398" s="18"/>
      <c r="J398" s="24" t="s">
        <v>288</v>
      </c>
      <c r="K398" s="24" t="s">
        <v>288</v>
      </c>
      <c r="L398" s="56">
        <f t="shared" si="26"/>
        <v>100200.17</v>
      </c>
      <c r="M398" s="8"/>
      <c r="N398" s="265"/>
    </row>
    <row r="399" spans="1:14" s="3" customFormat="1" ht="12.2" customHeight="1" x14ac:dyDescent="0.15">
      <c r="A399" s="79" t="s">
        <v>558</v>
      </c>
      <c r="B399" s="2" t="s">
        <v>381</v>
      </c>
      <c r="C399" s="6">
        <v>11</v>
      </c>
      <c r="D399" s="2" t="s">
        <v>432</v>
      </c>
      <c r="E399" s="6"/>
      <c r="F399" s="18"/>
      <c r="G399" s="18"/>
      <c r="H399" s="18">
        <v>353.26</v>
      </c>
      <c r="I399" s="18"/>
      <c r="J399" s="24" t="s">
        <v>288</v>
      </c>
      <c r="K399" s="24" t="s">
        <v>288</v>
      </c>
      <c r="L399" s="56">
        <f t="shared" si="26"/>
        <v>353.26</v>
      </c>
      <c r="M399" s="8"/>
      <c r="N399" s="265"/>
    </row>
    <row r="400" spans="1:14" s="3" customFormat="1" ht="12.2" customHeight="1" x14ac:dyDescent="0.15">
      <c r="A400" s="79" t="s">
        <v>559</v>
      </c>
      <c r="B400" s="2" t="s">
        <v>381</v>
      </c>
      <c r="C400" s="6">
        <v>12</v>
      </c>
      <c r="D400" s="2" t="s">
        <v>432</v>
      </c>
      <c r="E400" s="6"/>
      <c r="F400" s="18"/>
      <c r="G400" s="18"/>
      <c r="H400" s="18">
        <v>29.23</v>
      </c>
      <c r="I400" s="18"/>
      <c r="J400" s="24" t="s">
        <v>288</v>
      </c>
      <c r="K400" s="24" t="s">
        <v>288</v>
      </c>
      <c r="L400" s="56">
        <f t="shared" si="26"/>
        <v>29.23</v>
      </c>
      <c r="M400" s="8"/>
      <c r="N400" s="265"/>
    </row>
    <row r="401" spans="1:21" s="3" customFormat="1" ht="12.2" customHeight="1" thickBot="1" x14ac:dyDescent="0.2">
      <c r="A401" s="79" t="s">
        <v>510</v>
      </c>
      <c r="B401" s="2" t="s">
        <v>381</v>
      </c>
      <c r="C401" s="6">
        <v>13</v>
      </c>
      <c r="D401" s="2" t="s">
        <v>432</v>
      </c>
      <c r="E401" s="6"/>
      <c r="F401" s="18"/>
      <c r="G401" s="18"/>
      <c r="H401" s="18"/>
      <c r="I401" s="18"/>
      <c r="J401" s="24" t="s">
        <v>288</v>
      </c>
      <c r="K401" s="24" t="s">
        <v>288</v>
      </c>
      <c r="L401" s="56">
        <f t="shared" si="26"/>
        <v>0</v>
      </c>
      <c r="M401" s="8"/>
      <c r="N401" s="265"/>
    </row>
    <row r="402" spans="1:21" s="3" customFormat="1" ht="12.2" customHeight="1" thickTop="1" x14ac:dyDescent="0.15">
      <c r="A402" s="160" t="s">
        <v>470</v>
      </c>
      <c r="B402" s="2" t="s">
        <v>381</v>
      </c>
      <c r="C402" s="6">
        <v>14</v>
      </c>
      <c r="D402" s="2" t="s">
        <v>432</v>
      </c>
      <c r="E402" s="40">
        <v>5252</v>
      </c>
      <c r="F402" s="47">
        <f>SUM(F396:F401)</f>
        <v>0</v>
      </c>
      <c r="G402" s="47">
        <f>SUM(G396:G401)</f>
        <v>100000</v>
      </c>
      <c r="H402" s="47">
        <f>SUM(H396:H401)</f>
        <v>995.54</v>
      </c>
      <c r="I402" s="47">
        <f>SUM(I396:I401)</f>
        <v>0</v>
      </c>
      <c r="J402" s="45" t="s">
        <v>288</v>
      </c>
      <c r="K402" s="45" t="s">
        <v>288</v>
      </c>
      <c r="L402" s="47">
        <f>SUM(L396:L401)</f>
        <v>100995.54</v>
      </c>
      <c r="M402" s="8"/>
      <c r="N402" s="265"/>
    </row>
    <row r="403" spans="1:21" s="3" customFormat="1" ht="12.2" customHeight="1" x14ac:dyDescent="0.15">
      <c r="A403" s="78" t="s">
        <v>383</v>
      </c>
      <c r="B403" s="2"/>
      <c r="C403" s="2"/>
      <c r="D403" s="2"/>
      <c r="F403" s="24" t="s">
        <v>288</v>
      </c>
      <c r="G403" s="24" t="s">
        <v>288</v>
      </c>
      <c r="H403" s="24" t="s">
        <v>288</v>
      </c>
      <c r="I403" s="24" t="s">
        <v>288</v>
      </c>
      <c r="J403" s="24" t="s">
        <v>288</v>
      </c>
      <c r="K403" s="24" t="s">
        <v>288</v>
      </c>
      <c r="L403" s="24" t="s">
        <v>288</v>
      </c>
      <c r="M403" s="8"/>
      <c r="N403" s="265"/>
    </row>
    <row r="404" spans="1:21" s="3" customFormat="1" ht="12.2" customHeight="1" x14ac:dyDescent="0.15">
      <c r="A404" s="110"/>
      <c r="B404" s="2" t="s">
        <v>381</v>
      </c>
      <c r="C404" s="6">
        <v>15</v>
      </c>
      <c r="D404" s="2" t="s">
        <v>432</v>
      </c>
      <c r="E404" s="6"/>
      <c r="F404" s="18"/>
      <c r="G404" s="18"/>
      <c r="H404" s="18"/>
      <c r="I404" s="18"/>
      <c r="J404" s="24" t="s">
        <v>288</v>
      </c>
      <c r="K404" s="24" t="s">
        <v>288</v>
      </c>
      <c r="L404" s="56">
        <f>SUM(F404:K404)</f>
        <v>0</v>
      </c>
      <c r="M404" s="8"/>
      <c r="N404" s="265"/>
    </row>
    <row r="405" spans="1:21" s="3" customFormat="1" ht="12.2" customHeight="1" x14ac:dyDescent="0.15">
      <c r="A405" s="110" t="s">
        <v>1802</v>
      </c>
      <c r="B405" s="2" t="s">
        <v>381</v>
      </c>
      <c r="C405" s="6">
        <v>16</v>
      </c>
      <c r="D405" s="2" t="s">
        <v>432</v>
      </c>
      <c r="E405" s="6"/>
      <c r="F405" s="18"/>
      <c r="G405" s="18"/>
      <c r="H405" s="18">
        <v>12.31</v>
      </c>
      <c r="I405" s="18"/>
      <c r="J405" s="24" t="s">
        <v>288</v>
      </c>
      <c r="K405" s="24" t="s">
        <v>288</v>
      </c>
      <c r="L405" s="56">
        <f>SUM(F405:K405)</f>
        <v>12.31</v>
      </c>
      <c r="M405" s="8"/>
      <c r="N405" s="265"/>
    </row>
    <row r="406" spans="1:21" s="3" customFormat="1" ht="12.2" customHeight="1" x14ac:dyDescent="0.15">
      <c r="A406" s="110"/>
      <c r="B406" s="2" t="s">
        <v>381</v>
      </c>
      <c r="C406" s="6">
        <v>17</v>
      </c>
      <c r="D406" s="2" t="s">
        <v>432</v>
      </c>
      <c r="E406" s="6"/>
      <c r="F406" s="18"/>
      <c r="G406" s="18"/>
      <c r="H406" s="18"/>
      <c r="I406" s="18"/>
      <c r="J406" s="24" t="s">
        <v>288</v>
      </c>
      <c r="K406" s="24" t="s">
        <v>288</v>
      </c>
      <c r="L406" s="56">
        <f>SUM(F406:K406)</f>
        <v>0</v>
      </c>
      <c r="M406" s="8"/>
      <c r="N406" s="265"/>
    </row>
    <row r="407" spans="1:21" s="3" customFormat="1" ht="12.2" customHeight="1" thickBot="1" x14ac:dyDescent="0.2">
      <c r="A407" s="110"/>
      <c r="B407" s="2" t="s">
        <v>381</v>
      </c>
      <c r="C407" s="6">
        <v>18</v>
      </c>
      <c r="D407" s="2" t="s">
        <v>432</v>
      </c>
      <c r="E407" s="6"/>
      <c r="F407" s="18"/>
      <c r="G407" s="18"/>
      <c r="H407" s="18"/>
      <c r="I407" s="18"/>
      <c r="J407" s="24" t="s">
        <v>288</v>
      </c>
      <c r="K407" s="24" t="s">
        <v>288</v>
      </c>
      <c r="L407" s="56">
        <f>SUM(F407:K407)</f>
        <v>0</v>
      </c>
      <c r="M407" s="8"/>
      <c r="N407" s="265"/>
    </row>
    <row r="408" spans="1:21" s="3" customFormat="1" ht="12.2" customHeight="1" thickTop="1" thickBot="1" x14ac:dyDescent="0.2">
      <c r="A408" s="160" t="s">
        <v>472</v>
      </c>
      <c r="B408" s="2" t="s">
        <v>381</v>
      </c>
      <c r="C408" s="6">
        <v>19</v>
      </c>
      <c r="D408" s="2" t="s">
        <v>432</v>
      </c>
      <c r="E408" s="40">
        <v>5253</v>
      </c>
      <c r="F408" s="47">
        <f>SUM(F404:F407)</f>
        <v>0</v>
      </c>
      <c r="G408" s="47">
        <f>SUM(G404:G407)</f>
        <v>0</v>
      </c>
      <c r="H408" s="47">
        <f>SUM(H404:H407)</f>
        <v>12.31</v>
      </c>
      <c r="I408" s="47">
        <f>SUM(I404:I407)</f>
        <v>0</v>
      </c>
      <c r="J408" s="49" t="s">
        <v>288</v>
      </c>
      <c r="K408" s="49" t="s">
        <v>288</v>
      </c>
      <c r="L408" s="47">
        <f>SUM(L404:L407)</f>
        <v>12.31</v>
      </c>
      <c r="M408" s="8"/>
      <c r="N408" s="265"/>
    </row>
    <row r="409" spans="1:21" s="3" customFormat="1" ht="12.2" customHeight="1" thickTop="1" x14ac:dyDescent="0.15">
      <c r="A409" s="78" t="s">
        <v>421</v>
      </c>
      <c r="B409" s="2" t="s">
        <v>381</v>
      </c>
      <c r="C409" s="6">
        <v>20</v>
      </c>
      <c r="D409" s="6"/>
      <c r="E409" s="40"/>
      <c r="F409" s="47">
        <f>F394+F402+F408</f>
        <v>0</v>
      </c>
      <c r="G409" s="47">
        <f>G394+G402+G408</f>
        <v>100000</v>
      </c>
      <c r="H409" s="47">
        <f>H394+H402+H408</f>
        <v>1007.8499999999999</v>
      </c>
      <c r="I409" s="47">
        <f>I394+I402+I408</f>
        <v>0</v>
      </c>
      <c r="J409" s="24" t="s">
        <v>288</v>
      </c>
      <c r="K409" s="24" t="s">
        <v>288</v>
      </c>
      <c r="L409" s="47">
        <f>L394+L402+L408</f>
        <v>101007.84999999999</v>
      </c>
      <c r="M409" s="8"/>
      <c r="N409" s="265"/>
    </row>
    <row r="410" spans="1:21" s="3" customFormat="1" ht="12.2" customHeight="1" x14ac:dyDescent="0.15">
      <c r="A410" s="78"/>
      <c r="B410" s="2"/>
      <c r="C410" s="6"/>
      <c r="D410" s="6"/>
      <c r="E410" s="6"/>
      <c r="F410" s="176" t="s">
        <v>689</v>
      </c>
      <c r="G410" s="176" t="s">
        <v>690</v>
      </c>
      <c r="H410" s="176" t="s">
        <v>691</v>
      </c>
      <c r="I410" s="176" t="s">
        <v>692</v>
      </c>
      <c r="J410" s="176" t="s">
        <v>693</v>
      </c>
      <c r="K410" s="176" t="s">
        <v>694</v>
      </c>
      <c r="L410" s="56"/>
      <c r="M410" s="8"/>
      <c r="N410" s="265"/>
    </row>
    <row r="411" spans="1:21" s="3" customFormat="1" ht="12.2" customHeight="1" x14ac:dyDescent="0.15">
      <c r="A411" s="26" t="s">
        <v>482</v>
      </c>
      <c r="B411" s="76"/>
      <c r="C411" s="76"/>
      <c r="D411" s="76"/>
      <c r="E411" s="76"/>
      <c r="F411" s="66"/>
      <c r="G411" s="16" t="s">
        <v>384</v>
      </c>
      <c r="H411" s="16" t="s">
        <v>385</v>
      </c>
      <c r="I411" s="67"/>
      <c r="J411" s="56"/>
      <c r="K411" s="56"/>
      <c r="L411" s="56"/>
      <c r="M411" s="8"/>
      <c r="N411" s="265"/>
    </row>
    <row r="412" spans="1:21" s="3" customFormat="1" ht="12.2" customHeight="1" x14ac:dyDescent="0.15">
      <c r="A412" s="26" t="s">
        <v>484</v>
      </c>
      <c r="B412" s="2"/>
      <c r="C412" s="2"/>
      <c r="D412" s="2"/>
      <c r="E412" s="2"/>
      <c r="F412" s="16" t="s">
        <v>336</v>
      </c>
      <c r="G412" s="16" t="s">
        <v>337</v>
      </c>
      <c r="H412" s="16" t="s">
        <v>386</v>
      </c>
      <c r="I412" s="16" t="s">
        <v>338</v>
      </c>
      <c r="J412" s="56" t="s">
        <v>339</v>
      </c>
      <c r="K412" s="56" t="s">
        <v>356</v>
      </c>
      <c r="L412" s="77" t="s">
        <v>340</v>
      </c>
      <c r="M412" s="8"/>
      <c r="N412" s="265"/>
    </row>
    <row r="413" spans="1:21" s="3" customFormat="1" ht="12.2" customHeight="1" x14ac:dyDescent="0.15">
      <c r="A413" s="26" t="s">
        <v>376</v>
      </c>
      <c r="B413" s="2"/>
      <c r="C413" s="2"/>
      <c r="D413" s="2"/>
      <c r="F413" s="24" t="s">
        <v>288</v>
      </c>
      <c r="G413" s="24" t="s">
        <v>288</v>
      </c>
      <c r="H413" s="24" t="s">
        <v>288</v>
      </c>
      <c r="I413" s="24" t="s">
        <v>288</v>
      </c>
      <c r="J413" s="24" t="s">
        <v>288</v>
      </c>
      <c r="K413" s="24" t="s">
        <v>288</v>
      </c>
      <c r="L413" s="24" t="s">
        <v>288</v>
      </c>
      <c r="M413" s="8"/>
      <c r="N413" s="265"/>
    </row>
    <row r="414" spans="1:21" s="12" customFormat="1" ht="12.2" customHeight="1" thickBot="1" x14ac:dyDescent="0.25">
      <c r="A414" s="79" t="s">
        <v>550</v>
      </c>
      <c r="B414" s="6">
        <v>17</v>
      </c>
      <c r="C414" s="6">
        <v>1</v>
      </c>
      <c r="D414" s="2" t="s">
        <v>432</v>
      </c>
      <c r="E414" s="6"/>
      <c r="F414" s="18"/>
      <c r="G414" s="18"/>
      <c r="H414" s="18"/>
      <c r="I414" s="18"/>
      <c r="J414" s="18"/>
      <c r="K414" s="18"/>
      <c r="L414" s="56">
        <f t="shared" ref="L414:L419" si="27">SUM(F414:K414)</f>
        <v>0</v>
      </c>
      <c r="M414" s="52"/>
      <c r="N414" s="264"/>
      <c r="O414" s="52"/>
      <c r="P414" s="52"/>
      <c r="Q414" s="52"/>
      <c r="R414" s="52"/>
      <c r="S414" s="52"/>
      <c r="T414" s="52"/>
      <c r="U414" s="52"/>
    </row>
    <row r="415" spans="1:21" s="3" customFormat="1" ht="12.2" customHeight="1" x14ac:dyDescent="0.15">
      <c r="A415" s="79" t="s">
        <v>551</v>
      </c>
      <c r="B415" s="6">
        <v>17</v>
      </c>
      <c r="C415" s="6">
        <v>2</v>
      </c>
      <c r="D415" s="2" t="s">
        <v>432</v>
      </c>
      <c r="E415" s="6"/>
      <c r="F415" s="18"/>
      <c r="G415" s="18"/>
      <c r="H415" s="18"/>
      <c r="I415" s="18"/>
      <c r="J415" s="18"/>
      <c r="K415" s="18"/>
      <c r="L415" s="56">
        <f t="shared" si="27"/>
        <v>0</v>
      </c>
      <c r="M415" s="58"/>
      <c r="N415" s="226"/>
      <c r="O415" s="58"/>
      <c r="P415" s="58"/>
      <c r="Q415" s="58"/>
      <c r="R415" s="58"/>
      <c r="S415" s="58"/>
      <c r="T415" s="58"/>
      <c r="U415" s="58"/>
    </row>
    <row r="416" spans="1:21" s="3" customFormat="1" ht="12.2" customHeight="1" x14ac:dyDescent="0.15">
      <c r="A416" s="79" t="s">
        <v>552</v>
      </c>
      <c r="B416" s="6">
        <v>17</v>
      </c>
      <c r="C416" s="6">
        <v>3</v>
      </c>
      <c r="D416" s="2" t="s">
        <v>432</v>
      </c>
      <c r="E416" s="6"/>
      <c r="F416" s="18"/>
      <c r="G416" s="18"/>
      <c r="H416" s="18"/>
      <c r="I416" s="18"/>
      <c r="J416" s="18"/>
      <c r="K416" s="18"/>
      <c r="L416" s="56">
        <f t="shared" si="27"/>
        <v>0</v>
      </c>
      <c r="M416" s="8"/>
      <c r="N416" s="265"/>
    </row>
    <row r="417" spans="1:21" s="3" customFormat="1" ht="12.2" customHeight="1" x14ac:dyDescent="0.15">
      <c r="A417" s="79" t="s">
        <v>553</v>
      </c>
      <c r="B417" s="6">
        <v>17</v>
      </c>
      <c r="C417" s="6">
        <v>4</v>
      </c>
      <c r="D417" s="2" t="s">
        <v>432</v>
      </c>
      <c r="E417" s="6"/>
      <c r="F417" s="18"/>
      <c r="G417" s="18"/>
      <c r="H417" s="18"/>
      <c r="I417" s="18"/>
      <c r="J417" s="18"/>
      <c r="K417" s="18"/>
      <c r="L417" s="56">
        <f t="shared" si="27"/>
        <v>0</v>
      </c>
      <c r="M417" s="8"/>
      <c r="N417" s="265"/>
    </row>
    <row r="418" spans="1:21" s="3" customFormat="1" ht="12.2" customHeight="1" x14ac:dyDescent="0.15">
      <c r="A418" s="79" t="s">
        <v>554</v>
      </c>
      <c r="B418" s="6">
        <v>17</v>
      </c>
      <c r="C418" s="6">
        <v>5</v>
      </c>
      <c r="D418" s="2" t="s">
        <v>432</v>
      </c>
      <c r="E418" s="6"/>
      <c r="F418" s="18"/>
      <c r="G418" s="18"/>
      <c r="H418" s="18"/>
      <c r="I418" s="18"/>
      <c r="J418" s="18"/>
      <c r="K418" s="18"/>
      <c r="L418" s="56">
        <f t="shared" si="27"/>
        <v>0</v>
      </c>
      <c r="M418" s="8"/>
      <c r="N418" s="265"/>
    </row>
    <row r="419" spans="1:21" s="3" customFormat="1" ht="12.2" customHeight="1" thickBot="1" x14ac:dyDescent="0.2">
      <c r="A419" s="79" t="s">
        <v>555</v>
      </c>
      <c r="B419" s="6">
        <v>17</v>
      </c>
      <c r="C419" s="6">
        <v>6</v>
      </c>
      <c r="D419" s="2" t="s">
        <v>432</v>
      </c>
      <c r="E419" s="6"/>
      <c r="F419" s="18"/>
      <c r="G419" s="18"/>
      <c r="H419" s="18"/>
      <c r="I419" s="18"/>
      <c r="J419" s="18"/>
      <c r="K419" s="18"/>
      <c r="L419" s="56">
        <f t="shared" si="27"/>
        <v>0</v>
      </c>
      <c r="M419" s="8"/>
      <c r="N419" s="265"/>
    </row>
    <row r="420" spans="1:21" s="3" customFormat="1" ht="12.2" customHeight="1" thickTop="1" x14ac:dyDescent="0.15">
      <c r="A420" s="160" t="s">
        <v>471</v>
      </c>
      <c r="B420" s="6">
        <v>17</v>
      </c>
      <c r="C420" s="6">
        <v>7</v>
      </c>
      <c r="D420" s="2" t="s">
        <v>432</v>
      </c>
      <c r="E420" s="40">
        <v>5251</v>
      </c>
      <c r="F420" s="139">
        <f t="shared" ref="F420:L420" si="28">SUM(F414:F419)</f>
        <v>0</v>
      </c>
      <c r="G420" s="139">
        <f t="shared" si="28"/>
        <v>0</v>
      </c>
      <c r="H420" s="139">
        <f t="shared" si="28"/>
        <v>0</v>
      </c>
      <c r="I420" s="139">
        <f t="shared" si="28"/>
        <v>0</v>
      </c>
      <c r="J420" s="139">
        <f t="shared" si="28"/>
        <v>0</v>
      </c>
      <c r="K420" s="139">
        <f t="shared" si="28"/>
        <v>0</v>
      </c>
      <c r="L420" s="47">
        <f t="shared" si="28"/>
        <v>0</v>
      </c>
      <c r="M420" s="8"/>
      <c r="N420" s="265"/>
    </row>
    <row r="421" spans="1:21" s="3" customFormat="1" ht="12.2" customHeight="1" x14ac:dyDescent="0.15">
      <c r="A421" s="78" t="s">
        <v>382</v>
      </c>
      <c r="B421" s="2"/>
      <c r="C421" s="6"/>
      <c r="D421" s="6"/>
      <c r="F421" s="24" t="s">
        <v>288</v>
      </c>
      <c r="G421" s="24" t="s">
        <v>288</v>
      </c>
      <c r="H421" s="24" t="s">
        <v>288</v>
      </c>
      <c r="I421" s="24" t="s">
        <v>288</v>
      </c>
      <c r="J421" s="24" t="s">
        <v>288</v>
      </c>
      <c r="K421" s="24" t="s">
        <v>288</v>
      </c>
      <c r="L421" s="24" t="s">
        <v>288</v>
      </c>
      <c r="M421" s="8"/>
      <c r="N421" s="265"/>
    </row>
    <row r="422" spans="1:21" s="3" customFormat="1" ht="12.2" customHeight="1" x14ac:dyDescent="0.15">
      <c r="A422" s="79" t="s">
        <v>556</v>
      </c>
      <c r="B422" s="6">
        <v>17</v>
      </c>
      <c r="C422" s="6">
        <v>8</v>
      </c>
      <c r="D422" s="2" t="s">
        <v>432</v>
      </c>
      <c r="E422" s="6"/>
      <c r="F422" s="18"/>
      <c r="G422" s="18"/>
      <c r="H422" s="18"/>
      <c r="I422" s="18"/>
      <c r="J422" s="18"/>
      <c r="K422" s="18"/>
      <c r="L422" s="56">
        <f t="shared" ref="L422:L427" si="29">SUM(F422:K422)</f>
        <v>0</v>
      </c>
      <c r="M422" s="8"/>
      <c r="N422" s="265"/>
    </row>
    <row r="423" spans="1:21" s="3" customFormat="1" ht="12.2" customHeight="1" x14ac:dyDescent="0.15">
      <c r="A423" s="79" t="s">
        <v>557</v>
      </c>
      <c r="B423" s="6">
        <v>17</v>
      </c>
      <c r="C423" s="6">
        <v>9</v>
      </c>
      <c r="D423" s="2" t="s">
        <v>432</v>
      </c>
      <c r="E423" s="6"/>
      <c r="F423" s="18"/>
      <c r="G423" s="18"/>
      <c r="H423" s="18">
        <v>328182.09999999998</v>
      </c>
      <c r="I423" s="18"/>
      <c r="J423" s="18"/>
      <c r="K423" s="18"/>
      <c r="L423" s="56">
        <f t="shared" si="29"/>
        <v>328182.09999999998</v>
      </c>
      <c r="M423" s="8"/>
      <c r="N423" s="265"/>
    </row>
    <row r="424" spans="1:21" s="3" customFormat="1" ht="12.2" customHeight="1" x14ac:dyDescent="0.15">
      <c r="A424" s="79" t="s">
        <v>515</v>
      </c>
      <c r="B424" s="6">
        <v>17</v>
      </c>
      <c r="C424" s="6">
        <v>10</v>
      </c>
      <c r="D424" s="2" t="s">
        <v>432</v>
      </c>
      <c r="E424" s="6"/>
      <c r="F424" s="18"/>
      <c r="G424" s="18"/>
      <c r="H424" s="18"/>
      <c r="I424" s="18"/>
      <c r="J424" s="18"/>
      <c r="K424" s="18"/>
      <c r="L424" s="56">
        <f t="shared" si="29"/>
        <v>0</v>
      </c>
      <c r="M424" s="8"/>
      <c r="N424" s="265"/>
    </row>
    <row r="425" spans="1:21" s="3" customFormat="1" ht="12.2" customHeight="1" x14ac:dyDescent="0.15">
      <c r="A425" s="79" t="s">
        <v>558</v>
      </c>
      <c r="B425" s="6">
        <v>17</v>
      </c>
      <c r="C425" s="6">
        <v>11</v>
      </c>
      <c r="D425" s="2" t="s">
        <v>432</v>
      </c>
      <c r="E425" s="6"/>
      <c r="F425" s="18"/>
      <c r="G425" s="18"/>
      <c r="H425" s="18"/>
      <c r="I425" s="18"/>
      <c r="J425" s="18"/>
      <c r="K425" s="18"/>
      <c r="L425" s="56">
        <f t="shared" si="29"/>
        <v>0</v>
      </c>
      <c r="M425" s="8"/>
      <c r="N425" s="265"/>
    </row>
    <row r="426" spans="1:21" s="3" customFormat="1" ht="12.2" customHeight="1" x14ac:dyDescent="0.15">
      <c r="A426" s="79" t="s">
        <v>559</v>
      </c>
      <c r="B426" s="6">
        <v>17</v>
      </c>
      <c r="C426" s="6">
        <v>12</v>
      </c>
      <c r="D426" s="2" t="s">
        <v>432</v>
      </c>
      <c r="E426" s="6"/>
      <c r="F426" s="18"/>
      <c r="G426" s="18"/>
      <c r="H426" s="18"/>
      <c r="I426" s="18"/>
      <c r="J426" s="18"/>
      <c r="K426" s="18"/>
      <c r="L426" s="56">
        <f t="shared" si="29"/>
        <v>0</v>
      </c>
      <c r="M426" s="8"/>
      <c r="N426" s="265"/>
    </row>
    <row r="427" spans="1:21" s="3" customFormat="1" ht="12.2" customHeight="1" thickBot="1" x14ac:dyDescent="0.2">
      <c r="A427" s="79" t="s">
        <v>510</v>
      </c>
      <c r="B427" s="6">
        <v>17</v>
      </c>
      <c r="C427" s="6">
        <v>13</v>
      </c>
      <c r="D427" s="2" t="s">
        <v>432</v>
      </c>
      <c r="E427" s="6"/>
      <c r="F427" s="18"/>
      <c r="G427" s="18"/>
      <c r="H427" s="18"/>
      <c r="I427" s="18"/>
      <c r="J427" s="18"/>
      <c r="K427" s="18"/>
      <c r="L427" s="56">
        <f t="shared" si="29"/>
        <v>0</v>
      </c>
      <c r="M427" s="8"/>
      <c r="N427" s="265"/>
    </row>
    <row r="428" spans="1:21" s="11" customFormat="1" ht="12.2" customHeight="1" thickTop="1" x14ac:dyDescent="0.15">
      <c r="A428" s="160" t="s">
        <v>470</v>
      </c>
      <c r="B428" s="6">
        <v>17</v>
      </c>
      <c r="C428" s="6">
        <v>14</v>
      </c>
      <c r="D428" s="2" t="s">
        <v>432</v>
      </c>
      <c r="E428" s="40">
        <v>5252</v>
      </c>
      <c r="F428" s="47">
        <f t="shared" ref="F428:L428" si="30">SUM(F422:F427)</f>
        <v>0</v>
      </c>
      <c r="G428" s="47">
        <f t="shared" si="30"/>
        <v>0</v>
      </c>
      <c r="H428" s="47">
        <f t="shared" si="30"/>
        <v>328182.09999999998</v>
      </c>
      <c r="I428" s="47">
        <f t="shared" si="30"/>
        <v>0</v>
      </c>
      <c r="J428" s="47">
        <f t="shared" si="30"/>
        <v>0</v>
      </c>
      <c r="K428" s="47">
        <f t="shared" si="30"/>
        <v>0</v>
      </c>
      <c r="L428" s="47">
        <f t="shared" si="30"/>
        <v>328182.09999999998</v>
      </c>
      <c r="M428" s="68"/>
      <c r="N428" s="226"/>
      <c r="O428" s="58"/>
      <c r="P428" s="58"/>
      <c r="Q428" s="58"/>
      <c r="R428" s="58"/>
      <c r="S428" s="58"/>
      <c r="T428" s="58"/>
      <c r="U428" s="58"/>
    </row>
    <row r="429" spans="1:21" s="58" customFormat="1" ht="12.2" customHeight="1" x14ac:dyDescent="0.15">
      <c r="A429" s="78" t="s">
        <v>383</v>
      </c>
      <c r="B429" s="2"/>
      <c r="C429" s="2"/>
      <c r="D429" s="2"/>
      <c r="E429" s="3"/>
      <c r="F429" s="24" t="s">
        <v>288</v>
      </c>
      <c r="G429" s="24" t="s">
        <v>288</v>
      </c>
      <c r="H429" s="24" t="s">
        <v>288</v>
      </c>
      <c r="I429" s="24" t="s">
        <v>288</v>
      </c>
      <c r="J429" s="24" t="s">
        <v>288</v>
      </c>
      <c r="K429" s="24" t="s">
        <v>288</v>
      </c>
      <c r="L429" s="24" t="s">
        <v>288</v>
      </c>
      <c r="M429" s="68"/>
      <c r="N429" s="226"/>
    </row>
    <row r="430" spans="1:21" s="58" customFormat="1" ht="12.2" customHeight="1" x14ac:dyDescent="0.15">
      <c r="A430" s="110"/>
      <c r="B430" s="6">
        <v>17</v>
      </c>
      <c r="C430" s="6">
        <v>15</v>
      </c>
      <c r="D430" s="2" t="s">
        <v>432</v>
      </c>
      <c r="E430" s="6"/>
      <c r="F430" s="18"/>
      <c r="G430" s="18"/>
      <c r="H430" s="18"/>
      <c r="I430" s="18"/>
      <c r="J430" s="18"/>
      <c r="K430" s="18"/>
      <c r="L430" s="56">
        <f>SUM(F430:K430)</f>
        <v>0</v>
      </c>
      <c r="M430" s="68"/>
      <c r="N430" s="226"/>
    </row>
    <row r="431" spans="1:21" ht="12.2" customHeight="1" x14ac:dyDescent="0.2">
      <c r="A431" s="110"/>
      <c r="B431" s="6">
        <v>17</v>
      </c>
      <c r="C431" s="6">
        <v>16</v>
      </c>
      <c r="D431" s="2" t="s">
        <v>432</v>
      </c>
      <c r="E431" s="6"/>
      <c r="F431" s="18"/>
      <c r="G431" s="18"/>
      <c r="H431" s="18"/>
      <c r="I431" s="18"/>
      <c r="J431" s="18"/>
      <c r="K431" s="18"/>
      <c r="L431" s="56">
        <f>SUM(F431:K431)</f>
        <v>0</v>
      </c>
      <c r="N431" s="263"/>
    </row>
    <row r="432" spans="1:21" s="3" customFormat="1" ht="12.2" customHeight="1" x14ac:dyDescent="0.15">
      <c r="A432" s="110"/>
      <c r="B432" s="6">
        <v>17</v>
      </c>
      <c r="C432" s="6">
        <v>17</v>
      </c>
      <c r="D432" s="2" t="s">
        <v>432</v>
      </c>
      <c r="E432" s="6"/>
      <c r="F432" s="18"/>
      <c r="G432" s="18"/>
      <c r="H432" s="18"/>
      <c r="I432" s="18"/>
      <c r="J432" s="18"/>
      <c r="K432" s="18"/>
      <c r="L432" s="56">
        <f>SUM(F432:K432)</f>
        <v>0</v>
      </c>
      <c r="M432" s="8"/>
      <c r="N432" s="265"/>
    </row>
    <row r="433" spans="1:14" s="3" customFormat="1" ht="12.2" customHeight="1" thickBot="1" x14ac:dyDescent="0.2">
      <c r="A433" s="110"/>
      <c r="B433" s="6">
        <v>17</v>
      </c>
      <c r="C433" s="6">
        <v>18</v>
      </c>
      <c r="D433" s="2" t="s">
        <v>432</v>
      </c>
      <c r="E433" s="6"/>
      <c r="F433" s="18"/>
      <c r="G433" s="18"/>
      <c r="H433" s="18"/>
      <c r="I433" s="18"/>
      <c r="J433" s="18"/>
      <c r="K433" s="18"/>
      <c r="L433" s="56">
        <f>SUM(F433:K433)</f>
        <v>0</v>
      </c>
      <c r="M433" s="8"/>
      <c r="N433" s="265"/>
    </row>
    <row r="434" spans="1:14" s="3" customFormat="1" ht="12.2" customHeight="1" thickTop="1" thickBot="1" x14ac:dyDescent="0.2">
      <c r="A434" s="160" t="s">
        <v>472</v>
      </c>
      <c r="B434" s="6">
        <v>17</v>
      </c>
      <c r="C434" s="6">
        <v>19</v>
      </c>
      <c r="D434" s="2" t="s">
        <v>432</v>
      </c>
      <c r="E434" s="40">
        <v>5253</v>
      </c>
      <c r="F434" s="47">
        <f t="shared" ref="F434:L434" si="31">SUM(F430:F433)</f>
        <v>0</v>
      </c>
      <c r="G434" s="47">
        <f t="shared" si="31"/>
        <v>0</v>
      </c>
      <c r="H434" s="47">
        <f t="shared" si="31"/>
        <v>0</v>
      </c>
      <c r="I434" s="47">
        <f t="shared" si="31"/>
        <v>0</v>
      </c>
      <c r="J434" s="47">
        <f t="shared" si="31"/>
        <v>0</v>
      </c>
      <c r="K434" s="47">
        <f t="shared" si="31"/>
        <v>0</v>
      </c>
      <c r="L434" s="47">
        <f t="shared" si="31"/>
        <v>0</v>
      </c>
      <c r="M434" s="8"/>
      <c r="N434" s="265"/>
    </row>
    <row r="435" spans="1:14" s="3" customFormat="1" ht="12.2" customHeight="1" thickTop="1" x14ac:dyDescent="0.15">
      <c r="A435" s="78" t="s">
        <v>422</v>
      </c>
      <c r="B435" s="6">
        <v>17</v>
      </c>
      <c r="C435" s="6">
        <v>20</v>
      </c>
      <c r="D435" s="2" t="s">
        <v>432</v>
      </c>
      <c r="E435" s="40"/>
      <c r="F435" s="47">
        <f t="shared" ref="F435:L435" si="32">F420+F428+F434</f>
        <v>0</v>
      </c>
      <c r="G435" s="47">
        <f t="shared" si="32"/>
        <v>0</v>
      </c>
      <c r="H435" s="47">
        <f t="shared" si="32"/>
        <v>328182.09999999998</v>
      </c>
      <c r="I435" s="47">
        <f t="shared" si="32"/>
        <v>0</v>
      </c>
      <c r="J435" s="47">
        <f t="shared" si="32"/>
        <v>0</v>
      </c>
      <c r="K435" s="47">
        <f t="shared" si="32"/>
        <v>0</v>
      </c>
      <c r="L435" s="47">
        <f t="shared" si="32"/>
        <v>328182.09999999998</v>
      </c>
      <c r="M435" s="8"/>
      <c r="N435" s="265"/>
    </row>
    <row r="436" spans="1:14" s="3" customFormat="1" ht="12.2" customHeight="1" x14ac:dyDescent="0.15">
      <c r="A436" s="78"/>
      <c r="B436" s="6"/>
      <c r="C436" s="6"/>
      <c r="D436" s="6"/>
      <c r="E436" s="6"/>
      <c r="F436" s="56"/>
      <c r="G436" s="56"/>
      <c r="H436" s="56"/>
      <c r="I436" s="56"/>
      <c r="J436" s="56"/>
      <c r="K436" s="56"/>
      <c r="L436" s="56"/>
      <c r="M436" s="8"/>
      <c r="N436" s="265"/>
    </row>
    <row r="437" spans="1:14" s="3" customFormat="1" ht="12.2" customHeight="1" x14ac:dyDescent="0.15">
      <c r="A437" s="34" t="s">
        <v>0</v>
      </c>
      <c r="K437" s="56"/>
      <c r="L437" s="13"/>
      <c r="M437" s="8"/>
      <c r="N437" s="265"/>
    </row>
    <row r="438" spans="1:14" s="3" customFormat="1" ht="12.2" customHeight="1" x14ac:dyDescent="0.15">
      <c r="A438" s="34" t="s">
        <v>1</v>
      </c>
      <c r="F438" s="23" t="s">
        <v>2</v>
      </c>
      <c r="G438" s="23" t="s">
        <v>3</v>
      </c>
      <c r="H438" s="23" t="s">
        <v>4</v>
      </c>
      <c r="I438" s="23" t="s">
        <v>5</v>
      </c>
      <c r="M438" s="8"/>
      <c r="N438" s="265"/>
    </row>
    <row r="439" spans="1:14" s="3" customFormat="1" ht="12.2" customHeight="1" x14ac:dyDescent="0.15">
      <c r="A439" s="34" t="s">
        <v>6</v>
      </c>
      <c r="B439" s="23"/>
      <c r="C439" s="23"/>
      <c r="D439" s="23"/>
      <c r="E439" s="23"/>
      <c r="F439" s="24" t="s">
        <v>288</v>
      </c>
      <c r="G439" s="24" t="s">
        <v>288</v>
      </c>
      <c r="H439" s="24" t="s">
        <v>288</v>
      </c>
      <c r="I439" s="24" t="s">
        <v>288</v>
      </c>
      <c r="J439" s="24" t="s">
        <v>288</v>
      </c>
      <c r="K439" s="24" t="s">
        <v>288</v>
      </c>
      <c r="L439" s="24" t="s">
        <v>288</v>
      </c>
      <c r="M439" s="8"/>
      <c r="N439" s="265"/>
    </row>
    <row r="440" spans="1:14" s="3" customFormat="1" ht="12.2" customHeight="1" x14ac:dyDescent="0.15">
      <c r="A440" s="3" t="s">
        <v>561</v>
      </c>
      <c r="B440" s="23">
        <v>18</v>
      </c>
      <c r="C440" s="6">
        <v>1</v>
      </c>
      <c r="D440" s="2" t="s">
        <v>432</v>
      </c>
      <c r="E440" s="6">
        <v>100</v>
      </c>
      <c r="F440" s="18"/>
      <c r="G440" s="18">
        <v>644698.92000000004</v>
      </c>
      <c r="H440" s="18">
        <v>10839.13</v>
      </c>
      <c r="I440" s="56">
        <f t="shared" ref="I440:I446" si="33">SUM(F440:H440)</f>
        <v>655538.05000000005</v>
      </c>
      <c r="J440" s="24" t="s">
        <v>288</v>
      </c>
      <c r="K440" s="24" t="s">
        <v>288</v>
      </c>
      <c r="L440" s="24" t="s">
        <v>288</v>
      </c>
      <c r="M440" s="8"/>
      <c r="N440" s="265"/>
    </row>
    <row r="441" spans="1:14" s="3" customFormat="1" ht="12.2" customHeight="1" x14ac:dyDescent="0.15">
      <c r="A441" s="69" t="s">
        <v>562</v>
      </c>
      <c r="B441" s="23">
        <v>18</v>
      </c>
      <c r="C441" s="6">
        <v>2</v>
      </c>
      <c r="D441" s="2" t="s">
        <v>432</v>
      </c>
      <c r="E441" s="6">
        <v>110</v>
      </c>
      <c r="F441" s="18"/>
      <c r="G441" s="18"/>
      <c r="H441" s="18"/>
      <c r="I441" s="56">
        <f t="shared" si="33"/>
        <v>0</v>
      </c>
      <c r="J441" s="24" t="s">
        <v>288</v>
      </c>
      <c r="K441" s="24" t="s">
        <v>288</v>
      </c>
      <c r="L441" s="24" t="s">
        <v>288</v>
      </c>
      <c r="M441" s="8"/>
      <c r="N441" s="265"/>
    </row>
    <row r="442" spans="1:14" s="3" customFormat="1" ht="12.2" customHeight="1" x14ac:dyDescent="0.15">
      <c r="A442" s="69" t="s">
        <v>603</v>
      </c>
      <c r="B442" s="23">
        <v>18</v>
      </c>
      <c r="C442" s="6">
        <v>3</v>
      </c>
      <c r="D442" s="2" t="s">
        <v>432</v>
      </c>
      <c r="E442" s="6">
        <v>130</v>
      </c>
      <c r="F442" s="18"/>
      <c r="G442" s="18"/>
      <c r="H442" s="18"/>
      <c r="I442" s="56">
        <f t="shared" si="33"/>
        <v>0</v>
      </c>
      <c r="J442" s="24" t="s">
        <v>288</v>
      </c>
      <c r="K442" s="24" t="s">
        <v>288</v>
      </c>
      <c r="L442" s="24" t="s">
        <v>288</v>
      </c>
      <c r="M442" s="8"/>
      <c r="N442" s="265"/>
    </row>
    <row r="443" spans="1:14" s="3" customFormat="1" ht="12.2" customHeight="1" x14ac:dyDescent="0.15">
      <c r="A443" s="69" t="s">
        <v>604</v>
      </c>
      <c r="B443" s="23">
        <v>18</v>
      </c>
      <c r="C443" s="6">
        <v>4</v>
      </c>
      <c r="D443" s="2" t="s">
        <v>432</v>
      </c>
      <c r="E443" s="6">
        <v>140</v>
      </c>
      <c r="F443" s="18"/>
      <c r="G443" s="18"/>
      <c r="H443" s="18"/>
      <c r="I443" s="56">
        <f t="shared" si="33"/>
        <v>0</v>
      </c>
      <c r="J443" s="24" t="s">
        <v>288</v>
      </c>
      <c r="K443" s="24" t="s">
        <v>288</v>
      </c>
      <c r="L443" s="24" t="s">
        <v>288</v>
      </c>
      <c r="M443" s="8"/>
      <c r="N443" s="265"/>
    </row>
    <row r="444" spans="1:14" s="3" customFormat="1" ht="12.2" customHeight="1" x14ac:dyDescent="0.15">
      <c r="A444" s="69" t="s">
        <v>565</v>
      </c>
      <c r="B444" s="23">
        <v>18</v>
      </c>
      <c r="C444" s="6">
        <v>5</v>
      </c>
      <c r="D444" s="2" t="s">
        <v>432</v>
      </c>
      <c r="E444" s="6">
        <v>150</v>
      </c>
      <c r="F444" s="18"/>
      <c r="G444" s="18"/>
      <c r="H444" s="18"/>
      <c r="I444" s="56">
        <f t="shared" si="33"/>
        <v>0</v>
      </c>
      <c r="J444" s="24" t="s">
        <v>288</v>
      </c>
      <c r="K444" s="24" t="s">
        <v>288</v>
      </c>
      <c r="L444" s="24" t="s">
        <v>288</v>
      </c>
      <c r="M444" s="8"/>
      <c r="N444" s="265"/>
    </row>
    <row r="445" spans="1:14" s="3" customFormat="1" ht="12.2" customHeight="1" x14ac:dyDescent="0.15">
      <c r="A445" s="69" t="s">
        <v>605</v>
      </c>
      <c r="B445" s="23">
        <v>18</v>
      </c>
      <c r="C445" s="6">
        <v>6</v>
      </c>
      <c r="D445" s="2" t="s">
        <v>432</v>
      </c>
      <c r="E445" s="6">
        <v>180</v>
      </c>
      <c r="F445" s="18"/>
      <c r="G445" s="18"/>
      <c r="H445" s="18"/>
      <c r="I445" s="56">
        <f t="shared" si="33"/>
        <v>0</v>
      </c>
      <c r="J445" s="24" t="s">
        <v>288</v>
      </c>
      <c r="K445" s="24" t="s">
        <v>288</v>
      </c>
      <c r="L445" s="24" t="s">
        <v>288</v>
      </c>
      <c r="M445" s="8"/>
      <c r="N445" s="265"/>
    </row>
    <row r="446" spans="1:14" s="3" customFormat="1" ht="12.2" customHeight="1" x14ac:dyDescent="0.15">
      <c r="A446" s="69" t="s">
        <v>606</v>
      </c>
      <c r="B446" s="23">
        <v>18</v>
      </c>
      <c r="C446" s="6">
        <v>7</v>
      </c>
      <c r="D446" s="2" t="s">
        <v>432</v>
      </c>
      <c r="E446" s="6">
        <v>190</v>
      </c>
      <c r="F446" s="18"/>
      <c r="G446" s="18"/>
      <c r="H446" s="18"/>
      <c r="I446" s="56">
        <f t="shared" si="33"/>
        <v>0</v>
      </c>
      <c r="J446" s="24" t="s">
        <v>288</v>
      </c>
      <c r="K446" s="24" t="s">
        <v>288</v>
      </c>
      <c r="L446" s="24" t="s">
        <v>288</v>
      </c>
      <c r="M446" s="8"/>
      <c r="N446" s="265"/>
    </row>
    <row r="447" spans="1:14" s="3" customFormat="1" ht="12.2" customHeight="1" thickBot="1" x14ac:dyDescent="0.2">
      <c r="A447" s="70" t="s">
        <v>404</v>
      </c>
      <c r="B447" s="23">
        <v>18</v>
      </c>
      <c r="C447" s="37">
        <v>8</v>
      </c>
      <c r="D447" s="2" t="s">
        <v>432</v>
      </c>
      <c r="E447" s="37"/>
      <c r="F447" s="13">
        <f>SUM(F440:F446)</f>
        <v>0</v>
      </c>
      <c r="G447" s="13">
        <f>SUM(G440:G446)</f>
        <v>644698.92000000004</v>
      </c>
      <c r="H447" s="13">
        <f>SUM(H440:H446)</f>
        <v>10839.13</v>
      </c>
      <c r="I447" s="13">
        <f>SUM(I440:I446)</f>
        <v>655538.05000000005</v>
      </c>
      <c r="J447" s="24" t="s">
        <v>288</v>
      </c>
      <c r="K447" s="24" t="s">
        <v>288</v>
      </c>
      <c r="L447" s="24" t="s">
        <v>288</v>
      </c>
      <c r="M447" s="8"/>
      <c r="N447" s="265"/>
    </row>
    <row r="448" spans="1:14" s="3" customFormat="1" ht="12.2" customHeight="1" thickTop="1" x14ac:dyDescent="0.15">
      <c r="A448" s="38" t="s">
        <v>7</v>
      </c>
      <c r="B448" s="44"/>
      <c r="C448" s="40"/>
      <c r="D448" s="40"/>
      <c r="E448" s="40"/>
      <c r="F448" s="45" t="s">
        <v>288</v>
      </c>
      <c r="G448" s="45" t="s">
        <v>288</v>
      </c>
      <c r="H448" s="45" t="s">
        <v>288</v>
      </c>
      <c r="I448" s="45" t="s">
        <v>288</v>
      </c>
      <c r="J448" s="24" t="s">
        <v>288</v>
      </c>
      <c r="K448" s="24" t="s">
        <v>288</v>
      </c>
      <c r="L448" s="24" t="s">
        <v>288</v>
      </c>
      <c r="M448" s="8"/>
      <c r="N448" s="265"/>
    </row>
    <row r="449" spans="1:86" s="3" customFormat="1" ht="12.2" customHeight="1" x14ac:dyDescent="0.15">
      <c r="A449" s="69" t="s">
        <v>569</v>
      </c>
      <c r="B449" s="23">
        <v>18</v>
      </c>
      <c r="C449" s="6">
        <v>9</v>
      </c>
      <c r="D449" s="2" t="s">
        <v>432</v>
      </c>
      <c r="E449" s="6">
        <v>400</v>
      </c>
      <c r="F449" s="18"/>
      <c r="G449" s="18"/>
      <c r="H449" s="18"/>
      <c r="I449" s="56">
        <f>SUM(F449:H449)</f>
        <v>0</v>
      </c>
      <c r="J449" s="24" t="s">
        <v>288</v>
      </c>
      <c r="K449" s="24" t="s">
        <v>288</v>
      </c>
      <c r="L449" s="24" t="s">
        <v>288</v>
      </c>
      <c r="M449" s="8"/>
      <c r="N449" s="265"/>
    </row>
    <row r="450" spans="1:86" s="3" customFormat="1" ht="12.2" customHeight="1" x14ac:dyDescent="0.15">
      <c r="A450" s="69" t="s">
        <v>607</v>
      </c>
      <c r="B450" s="23">
        <v>18</v>
      </c>
      <c r="C450" s="6">
        <v>10</v>
      </c>
      <c r="D450" s="2" t="s">
        <v>432</v>
      </c>
      <c r="E450" s="6">
        <v>410</v>
      </c>
      <c r="F450" s="18"/>
      <c r="G450" s="18"/>
      <c r="H450" s="18"/>
      <c r="I450" s="56">
        <f>SUM(F450:H450)</f>
        <v>0</v>
      </c>
      <c r="J450" s="24" t="s">
        <v>288</v>
      </c>
      <c r="K450" s="24" t="s">
        <v>288</v>
      </c>
      <c r="L450" s="24" t="s">
        <v>288</v>
      </c>
      <c r="M450" s="8"/>
      <c r="N450" s="265"/>
    </row>
    <row r="451" spans="1:86" s="3" customFormat="1" ht="12.2" customHeight="1" x14ac:dyDescent="0.15">
      <c r="A451" s="69" t="s">
        <v>570</v>
      </c>
      <c r="B451" s="23">
        <v>18</v>
      </c>
      <c r="C451" s="6">
        <v>11</v>
      </c>
      <c r="D451" s="2" t="s">
        <v>432</v>
      </c>
      <c r="E451" s="6">
        <v>420</v>
      </c>
      <c r="F451" s="18"/>
      <c r="G451" s="18"/>
      <c r="H451" s="18"/>
      <c r="I451" s="56">
        <f>SUM(F451:H451)</f>
        <v>0</v>
      </c>
      <c r="J451" s="24" t="s">
        <v>288</v>
      </c>
      <c r="K451" s="24" t="s">
        <v>288</v>
      </c>
      <c r="L451" s="24" t="s">
        <v>288</v>
      </c>
      <c r="M451" s="8"/>
      <c r="N451" s="265"/>
    </row>
    <row r="452" spans="1:86" s="3" customFormat="1" ht="12.2" customHeight="1" x14ac:dyDescent="0.15">
      <c r="A452" s="69" t="s">
        <v>608</v>
      </c>
      <c r="B452" s="23">
        <v>18</v>
      </c>
      <c r="C452" s="6">
        <v>12</v>
      </c>
      <c r="D452" s="2" t="s">
        <v>432</v>
      </c>
      <c r="E452" s="6">
        <v>490</v>
      </c>
      <c r="F452" s="18"/>
      <c r="G452" s="18"/>
      <c r="H452" s="18"/>
      <c r="I452" s="56">
        <f>SUM(F452:H452)</f>
        <v>0</v>
      </c>
      <c r="J452" s="24" t="s">
        <v>288</v>
      </c>
      <c r="K452" s="24" t="s">
        <v>288</v>
      </c>
      <c r="L452" s="24" t="s">
        <v>288</v>
      </c>
      <c r="M452" s="8"/>
      <c r="N452" s="265"/>
    </row>
    <row r="453" spans="1:86" s="3" customFormat="1" ht="12.2" customHeight="1" thickBot="1" x14ac:dyDescent="0.2">
      <c r="A453" s="74" t="s">
        <v>423</v>
      </c>
      <c r="B453" s="73">
        <v>18</v>
      </c>
      <c r="C453" s="71">
        <v>13</v>
      </c>
      <c r="D453" s="2" t="s">
        <v>432</v>
      </c>
      <c r="E453" s="71"/>
      <c r="F453" s="72">
        <f>SUM(F449:F452)</f>
        <v>0</v>
      </c>
      <c r="G453" s="72">
        <f>SUM(G449:G452)</f>
        <v>0</v>
      </c>
      <c r="H453" s="72">
        <f>SUM(H449:H452)</f>
        <v>0</v>
      </c>
      <c r="I453" s="72">
        <f>SUM(I449:I452)</f>
        <v>0</v>
      </c>
      <c r="J453" s="24" t="s">
        <v>288</v>
      </c>
      <c r="K453" s="24" t="s">
        <v>288</v>
      </c>
      <c r="L453" s="24" t="s">
        <v>288</v>
      </c>
      <c r="M453" s="8"/>
      <c r="N453" s="265"/>
    </row>
    <row r="454" spans="1:86" s="3" customFormat="1" ht="12.2" customHeight="1" thickTop="1" x14ac:dyDescent="0.15">
      <c r="A454" s="90" t="s">
        <v>8</v>
      </c>
      <c r="B454" s="36"/>
      <c r="C454" s="75"/>
      <c r="D454" s="75"/>
      <c r="E454" s="75"/>
      <c r="F454" s="24" t="s">
        <v>288</v>
      </c>
      <c r="G454" s="24" t="s">
        <v>288</v>
      </c>
      <c r="H454" s="24" t="s">
        <v>288</v>
      </c>
      <c r="I454" s="24" t="s">
        <v>288</v>
      </c>
      <c r="J454" s="24" t="s">
        <v>288</v>
      </c>
      <c r="K454" s="24" t="s">
        <v>288</v>
      </c>
      <c r="L454" s="24" t="s">
        <v>288</v>
      </c>
      <c r="M454" s="8"/>
      <c r="N454" s="265"/>
    </row>
    <row r="455" spans="1:86" s="3" customFormat="1" ht="12.2" customHeight="1" x14ac:dyDescent="0.15">
      <c r="A455" s="1" t="s">
        <v>858</v>
      </c>
      <c r="B455" s="23">
        <v>18</v>
      </c>
      <c r="C455" s="6">
        <v>14</v>
      </c>
      <c r="D455" s="2" t="s">
        <v>432</v>
      </c>
      <c r="E455" s="6">
        <v>753</v>
      </c>
      <c r="F455" s="18"/>
      <c r="G455" s="18"/>
      <c r="H455" s="18"/>
      <c r="I455" s="56">
        <f t="shared" ref="I455:I460" si="34">SUM(F455:H455)</f>
        <v>0</v>
      </c>
      <c r="J455" s="24" t="s">
        <v>288</v>
      </c>
      <c r="K455" s="24" t="s">
        <v>288</v>
      </c>
      <c r="L455" s="24" t="s">
        <v>288</v>
      </c>
      <c r="M455" s="8"/>
      <c r="N455" s="265"/>
    </row>
    <row r="456" spans="1:86" s="3" customFormat="1" ht="12.2" customHeight="1" x14ac:dyDescent="0.15">
      <c r="A456" s="1" t="s">
        <v>851</v>
      </c>
      <c r="B456" s="23">
        <v>18</v>
      </c>
      <c r="C456" s="6">
        <v>15</v>
      </c>
      <c r="D456" s="2"/>
      <c r="E456" s="6">
        <v>753</v>
      </c>
      <c r="F456" s="18"/>
      <c r="G456" s="18"/>
      <c r="H456" s="18"/>
      <c r="I456" s="56">
        <f t="shared" si="34"/>
        <v>0</v>
      </c>
      <c r="J456" s="24"/>
      <c r="K456" s="24"/>
      <c r="L456" s="24"/>
      <c r="M456" s="8"/>
      <c r="N456" s="265"/>
    </row>
    <row r="457" spans="1:86" s="3" customFormat="1" ht="12.2" customHeight="1" x14ac:dyDescent="0.15">
      <c r="A457" s="1" t="s">
        <v>609</v>
      </c>
      <c r="B457" s="23">
        <v>18</v>
      </c>
      <c r="C457" s="6">
        <v>16</v>
      </c>
      <c r="D457" s="2" t="s">
        <v>432</v>
      </c>
      <c r="E457" s="6">
        <v>754</v>
      </c>
      <c r="F457" s="18"/>
      <c r="G457" s="18"/>
      <c r="H457" s="18"/>
      <c r="I457" s="56">
        <f t="shared" si="34"/>
        <v>0</v>
      </c>
      <c r="J457" s="24" t="s">
        <v>288</v>
      </c>
      <c r="K457" s="24" t="s">
        <v>288</v>
      </c>
      <c r="L457" s="24" t="s">
        <v>288</v>
      </c>
      <c r="M457" s="68"/>
      <c r="N457" s="226"/>
      <c r="O457" s="58"/>
      <c r="P457" s="58"/>
    </row>
    <row r="458" spans="1:86" s="12" customFormat="1" ht="12.2" customHeight="1" thickBot="1" x14ac:dyDescent="0.25">
      <c r="A458" s="1" t="s">
        <v>854</v>
      </c>
      <c r="B458" s="23">
        <v>18</v>
      </c>
      <c r="C458" s="6">
        <v>17</v>
      </c>
      <c r="D458" s="2" t="s">
        <v>432</v>
      </c>
      <c r="E458" s="6">
        <v>756</v>
      </c>
      <c r="F458" s="18"/>
      <c r="G458" s="18"/>
      <c r="H458" s="18"/>
      <c r="I458" s="56">
        <f t="shared" si="34"/>
        <v>0</v>
      </c>
      <c r="J458" s="24" t="s">
        <v>288</v>
      </c>
      <c r="K458" s="24" t="s">
        <v>288</v>
      </c>
      <c r="L458" s="24" t="s">
        <v>288</v>
      </c>
      <c r="M458" s="52"/>
      <c r="N458" s="264"/>
      <c r="O458" s="52"/>
      <c r="P458" s="52"/>
      <c r="Q458" s="52"/>
      <c r="R458" s="52"/>
      <c r="S458" s="52"/>
      <c r="T458" s="52"/>
      <c r="U458" s="52"/>
      <c r="V458" s="52"/>
      <c r="W458" s="52"/>
      <c r="X458" s="52"/>
      <c r="Y458" s="52"/>
      <c r="Z458" s="52"/>
      <c r="AA458" s="52"/>
      <c r="AB458" s="52"/>
      <c r="AC458" s="52"/>
      <c r="AD458" s="52"/>
      <c r="AE458" s="52"/>
      <c r="AF458" s="52"/>
      <c r="AG458" s="52"/>
      <c r="AH458" s="52"/>
      <c r="AI458" s="52"/>
      <c r="AJ458" s="52"/>
      <c r="AK458" s="52"/>
      <c r="AL458" s="52"/>
      <c r="AM458" s="52"/>
      <c r="AN458" s="52"/>
      <c r="AO458" s="52"/>
      <c r="AP458" s="52"/>
      <c r="AQ458" s="52"/>
      <c r="AR458" s="52"/>
      <c r="AS458" s="52"/>
      <c r="AT458" s="52"/>
      <c r="AU458" s="52"/>
      <c r="AV458" s="52"/>
      <c r="AW458" s="52"/>
      <c r="AX458" s="52"/>
      <c r="AY458" s="52"/>
      <c r="AZ458" s="52"/>
      <c r="BA458" s="52"/>
      <c r="BB458" s="52"/>
      <c r="BC458" s="52"/>
      <c r="BD458" s="52"/>
      <c r="BE458" s="52"/>
      <c r="BF458" s="52"/>
      <c r="BG458" s="52"/>
      <c r="BH458" s="52"/>
      <c r="BI458" s="52"/>
      <c r="BJ458" s="52"/>
      <c r="BK458" s="52"/>
      <c r="BL458" s="52"/>
      <c r="BM458" s="52"/>
      <c r="BN458" s="52"/>
      <c r="BO458" s="52"/>
      <c r="BP458" s="52"/>
      <c r="BQ458" s="52"/>
      <c r="BR458" s="52"/>
      <c r="BS458" s="52"/>
      <c r="BT458" s="52"/>
      <c r="BU458" s="52"/>
      <c r="BV458" s="52"/>
      <c r="BW458" s="52"/>
      <c r="BX458" s="52"/>
      <c r="BY458" s="52"/>
      <c r="BZ458" s="52"/>
      <c r="CA458" s="52"/>
      <c r="CB458" s="52"/>
      <c r="CC458" s="52"/>
      <c r="CD458" s="52"/>
      <c r="CE458" s="52"/>
      <c r="CF458" s="52"/>
      <c r="CG458" s="52"/>
      <c r="CH458" s="52"/>
    </row>
    <row r="459" spans="1:86" s="12" customFormat="1" ht="12.2" customHeight="1" thickBot="1" x14ac:dyDescent="0.25">
      <c r="A459" s="1" t="s">
        <v>855</v>
      </c>
      <c r="B459" s="23">
        <v>18</v>
      </c>
      <c r="C459" s="6">
        <v>18</v>
      </c>
      <c r="D459" s="2"/>
      <c r="E459" s="6">
        <v>756</v>
      </c>
      <c r="F459" s="18"/>
      <c r="G459" s="18"/>
      <c r="H459" s="18"/>
      <c r="I459" s="56">
        <f t="shared" si="34"/>
        <v>0</v>
      </c>
      <c r="J459" s="24"/>
      <c r="K459" s="24"/>
      <c r="L459" s="24"/>
      <c r="M459" s="52"/>
      <c r="N459" s="264"/>
      <c r="O459" s="52"/>
      <c r="P459" s="52"/>
      <c r="Q459" s="52"/>
      <c r="R459" s="52"/>
      <c r="S459" s="52"/>
      <c r="T459" s="52"/>
      <c r="U459" s="52"/>
      <c r="V459" s="52"/>
      <c r="W459" s="52"/>
      <c r="X459" s="52"/>
      <c r="Y459" s="52"/>
      <c r="Z459" s="52"/>
      <c r="AA459" s="52"/>
      <c r="AB459" s="52"/>
      <c r="AC459" s="52"/>
      <c r="AD459" s="52"/>
      <c r="AE459" s="52"/>
      <c r="AF459" s="52"/>
      <c r="AG459" s="52"/>
      <c r="AH459" s="52"/>
      <c r="AI459" s="52"/>
      <c r="AJ459" s="52"/>
      <c r="AK459" s="52"/>
      <c r="AL459" s="52"/>
      <c r="AM459" s="52"/>
      <c r="AN459" s="52"/>
      <c r="AO459" s="52"/>
      <c r="AP459" s="52"/>
      <c r="AQ459" s="52"/>
      <c r="AR459" s="52"/>
      <c r="AS459" s="52"/>
      <c r="AT459" s="52"/>
      <c r="AU459" s="52"/>
      <c r="AV459" s="52"/>
      <c r="AW459" s="52"/>
      <c r="AX459" s="52"/>
      <c r="AY459" s="52"/>
      <c r="AZ459" s="52"/>
      <c r="BA459" s="52"/>
      <c r="BB459" s="52"/>
      <c r="BC459" s="52"/>
      <c r="BD459" s="52"/>
      <c r="BE459" s="52"/>
      <c r="BF459" s="52"/>
      <c r="BG459" s="52"/>
      <c r="BH459" s="52"/>
      <c r="BI459" s="52"/>
      <c r="BJ459" s="52"/>
      <c r="BK459" s="52"/>
      <c r="BL459" s="52"/>
      <c r="BM459" s="52"/>
      <c r="BN459" s="52"/>
      <c r="BO459" s="52"/>
      <c r="BP459" s="52"/>
      <c r="BQ459" s="52"/>
      <c r="BR459" s="52"/>
      <c r="BS459" s="52"/>
      <c r="BT459" s="52"/>
      <c r="BU459" s="52"/>
      <c r="BV459" s="52"/>
      <c r="BW459" s="52"/>
      <c r="BX459" s="52"/>
      <c r="BY459" s="52"/>
      <c r="BZ459" s="52"/>
      <c r="CA459" s="52"/>
      <c r="CB459" s="52"/>
      <c r="CC459" s="52"/>
      <c r="CD459" s="52"/>
      <c r="CE459" s="52"/>
      <c r="CF459" s="52"/>
      <c r="CG459" s="52"/>
      <c r="CH459" s="52"/>
    </row>
    <row r="460" spans="1:86" s="52" customFormat="1" ht="12.2" customHeight="1" thickBot="1" x14ac:dyDescent="0.25">
      <c r="A460" s="1" t="s">
        <v>579</v>
      </c>
      <c r="B460" s="23">
        <v>18</v>
      </c>
      <c r="C460" s="6">
        <v>19</v>
      </c>
      <c r="D460" s="2" t="s">
        <v>432</v>
      </c>
      <c r="E460" s="6">
        <v>760</v>
      </c>
      <c r="F460" s="18"/>
      <c r="G460" s="18">
        <v>644698.92000000004</v>
      </c>
      <c r="H460" s="18">
        <v>10839.13</v>
      </c>
      <c r="I460" s="56">
        <f t="shared" si="34"/>
        <v>655538.05000000005</v>
      </c>
      <c r="J460" s="24" t="s">
        <v>288</v>
      </c>
      <c r="K460" s="24" t="s">
        <v>288</v>
      </c>
      <c r="L460" s="24" t="s">
        <v>288</v>
      </c>
      <c r="N460" s="264"/>
    </row>
    <row r="461" spans="1:86" s="52" customFormat="1" ht="12.2" customHeight="1" thickTop="1" thickBot="1" x14ac:dyDescent="0.25">
      <c r="A461" s="50" t="s">
        <v>407</v>
      </c>
      <c r="B461" s="81">
        <v>18</v>
      </c>
      <c r="C461" s="51">
        <v>20</v>
      </c>
      <c r="D461" s="48" t="s">
        <v>432</v>
      </c>
      <c r="E461" s="51"/>
      <c r="F461" s="83">
        <f>SUM(F455:F460)</f>
        <v>0</v>
      </c>
      <c r="G461" s="83">
        <f>SUM(G455:G460)</f>
        <v>644698.92000000004</v>
      </c>
      <c r="H461" s="83">
        <f>SUM(H455:H460)</f>
        <v>10839.13</v>
      </c>
      <c r="I461" s="83">
        <f>SUM(I455:I460)</f>
        <v>655538.05000000005</v>
      </c>
      <c r="J461" s="24" t="s">
        <v>288</v>
      </c>
      <c r="K461" s="24" t="s">
        <v>288</v>
      </c>
      <c r="L461" s="24" t="s">
        <v>288</v>
      </c>
      <c r="N461" s="264"/>
    </row>
    <row r="462" spans="1:86" s="52" customFormat="1" ht="12.2" customHeight="1" thickTop="1" x14ac:dyDescent="0.2">
      <c r="A462" s="91" t="s">
        <v>424</v>
      </c>
      <c r="B462" s="44">
        <v>18</v>
      </c>
      <c r="C462" s="82">
        <v>21</v>
      </c>
      <c r="D462" s="157" t="s">
        <v>432</v>
      </c>
      <c r="E462" s="82"/>
      <c r="F462" s="42">
        <f>F453+F461</f>
        <v>0</v>
      </c>
      <c r="G462" s="42">
        <f>G453+G461</f>
        <v>644698.92000000004</v>
      </c>
      <c r="H462" s="42">
        <f>H453+H461</f>
        <v>10839.13</v>
      </c>
      <c r="I462" s="42">
        <f>I453+I461</f>
        <v>655538.05000000005</v>
      </c>
      <c r="J462" s="24" t="s">
        <v>288</v>
      </c>
      <c r="K462" s="24" t="s">
        <v>288</v>
      </c>
      <c r="L462" s="24" t="s">
        <v>288</v>
      </c>
      <c r="N462" s="264"/>
    </row>
    <row r="463" spans="1:86" s="52" customFormat="1" ht="12.2" customHeight="1" x14ac:dyDescent="0.2">
      <c r="A463" s="92"/>
      <c r="B463" s="75"/>
      <c r="C463" s="80"/>
      <c r="D463" s="80"/>
      <c r="E463" s="80"/>
      <c r="F463" s="53"/>
      <c r="G463" s="53"/>
      <c r="H463" s="53"/>
      <c r="I463" s="53"/>
      <c r="J463" s="53"/>
      <c r="K463" s="53"/>
      <c r="L463" s="53"/>
      <c r="N463" s="264"/>
    </row>
    <row r="464" spans="1:86" s="52" customFormat="1" ht="12.2" customHeight="1" x14ac:dyDescent="0.2">
      <c r="A464" s="92" t="s">
        <v>9</v>
      </c>
      <c r="B464" s="75"/>
      <c r="C464" s="80"/>
      <c r="D464" s="80"/>
      <c r="E464" s="80"/>
      <c r="F464" s="23" t="s">
        <v>273</v>
      </c>
      <c r="G464" s="23" t="s">
        <v>274</v>
      </c>
      <c r="H464" s="23" t="s">
        <v>275</v>
      </c>
      <c r="I464" s="23" t="s">
        <v>276</v>
      </c>
      <c r="J464" s="23" t="s">
        <v>277</v>
      </c>
      <c r="K464" s="53"/>
      <c r="L464" s="53"/>
      <c r="N464" s="264"/>
    </row>
    <row r="465" spans="1:14" s="52" customFormat="1" ht="12.2" customHeight="1" x14ac:dyDescent="0.2">
      <c r="A465" s="92"/>
      <c r="B465" s="75"/>
      <c r="C465" s="80"/>
      <c r="D465" s="80"/>
      <c r="E465" s="80"/>
      <c r="F465" s="84" t="s">
        <v>10</v>
      </c>
      <c r="G465" s="84" t="s">
        <v>11</v>
      </c>
      <c r="H465" s="84" t="s">
        <v>12</v>
      </c>
      <c r="I465" s="84" t="s">
        <v>13</v>
      </c>
      <c r="J465" s="84" t="s">
        <v>14</v>
      </c>
      <c r="K465" s="53"/>
      <c r="L465" s="53"/>
      <c r="N465" s="264"/>
    </row>
    <row r="466" spans="1:14" s="52" customFormat="1" ht="12.2" customHeight="1" x14ac:dyDescent="0.2">
      <c r="A466" s="188" t="s">
        <v>1629</v>
      </c>
      <c r="B466" s="105">
        <v>19</v>
      </c>
      <c r="C466" s="111">
        <v>1</v>
      </c>
      <c r="D466" s="2" t="s">
        <v>432</v>
      </c>
      <c r="E466" s="111"/>
      <c r="F466" s="18">
        <v>722767.32</v>
      </c>
      <c r="G466" s="18">
        <v>5055</v>
      </c>
      <c r="H466" s="18">
        <v>0</v>
      </c>
      <c r="I466" s="18"/>
      <c r="J466" s="18">
        <v>882712.3</v>
      </c>
      <c r="K466" s="24" t="s">
        <v>288</v>
      </c>
      <c r="L466" s="24" t="s">
        <v>288</v>
      </c>
      <c r="N466" s="264"/>
    </row>
    <row r="467" spans="1:14" s="52" customFormat="1" ht="12.2" customHeight="1" x14ac:dyDescent="0.2">
      <c r="A467" s="24" t="s">
        <v>288</v>
      </c>
      <c r="B467" s="24" t="s">
        <v>288</v>
      </c>
      <c r="C467" s="24" t="s">
        <v>288</v>
      </c>
      <c r="D467" s="24"/>
      <c r="E467" s="24"/>
      <c r="F467" s="24" t="s">
        <v>288</v>
      </c>
      <c r="G467" s="24" t="s">
        <v>288</v>
      </c>
      <c r="H467" s="24" t="s">
        <v>288</v>
      </c>
      <c r="I467" s="24" t="s">
        <v>288</v>
      </c>
      <c r="J467" s="24" t="s">
        <v>288</v>
      </c>
      <c r="K467" s="24" t="s">
        <v>288</v>
      </c>
      <c r="L467" s="24" t="s">
        <v>288</v>
      </c>
      <c r="N467" s="264"/>
    </row>
    <row r="468" spans="1:14" s="52" customFormat="1" ht="12.2" customHeight="1" x14ac:dyDescent="0.2">
      <c r="A468" s="94" t="s">
        <v>15</v>
      </c>
      <c r="B468" s="24" t="s">
        <v>288</v>
      </c>
      <c r="C468" s="24" t="s">
        <v>288</v>
      </c>
      <c r="D468" s="24"/>
      <c r="E468" s="24"/>
      <c r="F468" s="24" t="s">
        <v>288</v>
      </c>
      <c r="G468" s="24" t="s">
        <v>288</v>
      </c>
      <c r="H468" s="24" t="s">
        <v>288</v>
      </c>
      <c r="I468" s="24" t="s">
        <v>288</v>
      </c>
      <c r="J468" s="24" t="s">
        <v>288</v>
      </c>
      <c r="K468" s="24" t="s">
        <v>288</v>
      </c>
      <c r="L468" s="24" t="s">
        <v>288</v>
      </c>
      <c r="N468" s="264"/>
    </row>
    <row r="469" spans="1:14" s="52" customFormat="1" ht="12.2" customHeight="1" x14ac:dyDescent="0.2">
      <c r="A469" s="93" t="s">
        <v>610</v>
      </c>
      <c r="B469" s="75">
        <v>19</v>
      </c>
      <c r="C469" s="80">
        <v>2</v>
      </c>
      <c r="D469" s="2" t="s">
        <v>432</v>
      </c>
      <c r="E469" s="80"/>
      <c r="F469" s="18">
        <f>11300840.27</f>
        <v>11300840.27</v>
      </c>
      <c r="G469" s="18">
        <v>287785.45</v>
      </c>
      <c r="H469" s="18">
        <v>341390.89</v>
      </c>
      <c r="I469" s="18"/>
      <c r="J469" s="18">
        <f>100000+1007.85</f>
        <v>101007.85</v>
      </c>
      <c r="K469" s="24" t="s">
        <v>288</v>
      </c>
      <c r="L469" s="24" t="s">
        <v>288</v>
      </c>
      <c r="N469" s="264"/>
    </row>
    <row r="470" spans="1:14" s="52" customFormat="1" ht="12.2" customHeight="1" x14ac:dyDescent="0.2">
      <c r="A470" s="93" t="s">
        <v>611</v>
      </c>
      <c r="B470" s="75">
        <v>19</v>
      </c>
      <c r="C470" s="80">
        <v>3</v>
      </c>
      <c r="D470" s="2" t="s">
        <v>432</v>
      </c>
      <c r="E470" s="80"/>
      <c r="F470" s="18"/>
      <c r="G470" s="18"/>
      <c r="H470" s="18"/>
      <c r="I470" s="18"/>
      <c r="J470" s="18"/>
      <c r="K470" s="24" t="s">
        <v>288</v>
      </c>
      <c r="L470" s="24" t="s">
        <v>288</v>
      </c>
      <c r="N470" s="264"/>
    </row>
    <row r="471" spans="1:14" s="52" customFormat="1" ht="12.2" customHeight="1" x14ac:dyDescent="0.2">
      <c r="A471" s="92" t="s">
        <v>425</v>
      </c>
      <c r="B471" s="75">
        <v>19</v>
      </c>
      <c r="C471" s="80">
        <v>4</v>
      </c>
      <c r="D471" s="2" t="s">
        <v>432</v>
      </c>
      <c r="E471" s="80"/>
      <c r="F471" s="53">
        <f>SUM(F469:F470)</f>
        <v>11300840.27</v>
      </c>
      <c r="G471" s="53">
        <f>SUM(G469:G470)</f>
        <v>287785.45</v>
      </c>
      <c r="H471" s="53">
        <f>SUM(H469:H470)</f>
        <v>341390.89</v>
      </c>
      <c r="I471" s="53">
        <f>SUM(I469:I470)</f>
        <v>0</v>
      </c>
      <c r="J471" s="53">
        <f>SUM(J469:J470)</f>
        <v>101007.85</v>
      </c>
      <c r="K471" s="24" t="s">
        <v>288</v>
      </c>
      <c r="L471" s="24" t="s">
        <v>288</v>
      </c>
      <c r="N471" s="264"/>
    </row>
    <row r="472" spans="1:14" s="52" customFormat="1" ht="12.2" customHeight="1" x14ac:dyDescent="0.2">
      <c r="A472" s="94" t="s">
        <v>16</v>
      </c>
      <c r="B472" s="24" t="s">
        <v>288</v>
      </c>
      <c r="C472" s="24" t="s">
        <v>288</v>
      </c>
      <c r="D472" s="24"/>
      <c r="E472" s="24"/>
      <c r="F472" s="24" t="s">
        <v>288</v>
      </c>
      <c r="G472" s="24" t="s">
        <v>288</v>
      </c>
      <c r="H472" s="24" t="s">
        <v>288</v>
      </c>
      <c r="I472" s="24" t="s">
        <v>288</v>
      </c>
      <c r="J472" s="24" t="s">
        <v>288</v>
      </c>
      <c r="K472" s="24" t="s">
        <v>288</v>
      </c>
      <c r="L472" s="24" t="s">
        <v>288</v>
      </c>
      <c r="N472" s="264"/>
    </row>
    <row r="473" spans="1:14" s="52" customFormat="1" ht="12.2" customHeight="1" x14ac:dyDescent="0.2">
      <c r="A473" s="93" t="s">
        <v>612</v>
      </c>
      <c r="B473" s="75">
        <v>19</v>
      </c>
      <c r="C473" s="80">
        <v>5</v>
      </c>
      <c r="D473" s="2" t="s">
        <v>432</v>
      </c>
      <c r="E473" s="80"/>
      <c r="F473" s="18">
        <v>11596740.42</v>
      </c>
      <c r="G473" s="18">
        <v>226006</v>
      </c>
      <c r="H473" s="18">
        <f>347+53372.98+15987.03+178387.4+16926.93+76369.55</f>
        <v>341390.89</v>
      </c>
      <c r="I473" s="18"/>
      <c r="J473" s="18">
        <v>328182.09999999998</v>
      </c>
      <c r="K473" s="24" t="s">
        <v>288</v>
      </c>
      <c r="L473" s="24" t="s">
        <v>288</v>
      </c>
      <c r="N473" s="264"/>
    </row>
    <row r="474" spans="1:14" s="52" customFormat="1" ht="12.2" customHeight="1" x14ac:dyDescent="0.2">
      <c r="A474" s="93" t="s">
        <v>613</v>
      </c>
      <c r="B474" s="75">
        <v>19</v>
      </c>
      <c r="C474" s="80">
        <v>6</v>
      </c>
      <c r="D474" s="2" t="s">
        <v>432</v>
      </c>
      <c r="E474" s="80"/>
      <c r="F474" s="18"/>
      <c r="G474" s="18"/>
      <c r="H474" s="18"/>
      <c r="I474" s="18"/>
      <c r="J474" s="18"/>
      <c r="K474" s="24" t="s">
        <v>288</v>
      </c>
      <c r="L474" s="24" t="s">
        <v>288</v>
      </c>
      <c r="N474" s="264"/>
    </row>
    <row r="475" spans="1:14" s="52" customFormat="1" ht="12.2" customHeight="1" x14ac:dyDescent="0.2">
      <c r="A475" s="92" t="s">
        <v>426</v>
      </c>
      <c r="B475" s="75">
        <v>19</v>
      </c>
      <c r="C475" s="80">
        <v>7</v>
      </c>
      <c r="D475" s="2" t="s">
        <v>432</v>
      </c>
      <c r="E475" s="80"/>
      <c r="F475" s="53">
        <f>SUM(F473:F474)</f>
        <v>11596740.42</v>
      </c>
      <c r="G475" s="53">
        <f>SUM(G473:G474)</f>
        <v>226006</v>
      </c>
      <c r="H475" s="53">
        <f>SUM(H473:H474)</f>
        <v>341390.89</v>
      </c>
      <c r="I475" s="53">
        <f>SUM(I473:I474)</f>
        <v>0</v>
      </c>
      <c r="J475" s="53">
        <f>SUM(J473:J474)</f>
        <v>328182.09999999998</v>
      </c>
      <c r="K475" s="24" t="s">
        <v>288</v>
      </c>
      <c r="L475" s="24" t="s">
        <v>288</v>
      </c>
      <c r="N475" s="264"/>
    </row>
    <row r="476" spans="1:14" s="52" customFormat="1" ht="12.2" customHeight="1" x14ac:dyDescent="0.2">
      <c r="A476" s="24" t="s">
        <v>288</v>
      </c>
      <c r="B476" s="24" t="s">
        <v>288</v>
      </c>
      <c r="C476" s="24" t="s">
        <v>288</v>
      </c>
      <c r="D476" s="24"/>
      <c r="E476" s="24"/>
      <c r="F476" s="24" t="s">
        <v>288</v>
      </c>
      <c r="G476" s="24" t="s">
        <v>288</v>
      </c>
      <c r="H476" s="24" t="s">
        <v>288</v>
      </c>
      <c r="I476" s="24" t="s">
        <v>288</v>
      </c>
      <c r="J476" s="24" t="s">
        <v>288</v>
      </c>
      <c r="K476" s="24" t="s">
        <v>288</v>
      </c>
      <c r="L476" s="24" t="s">
        <v>288</v>
      </c>
      <c r="N476" s="264"/>
    </row>
    <row r="477" spans="1:14" s="52" customFormat="1" ht="12.2" customHeight="1" x14ac:dyDescent="0.2">
      <c r="A477" s="189" t="s">
        <v>1630</v>
      </c>
      <c r="B477" s="75">
        <v>19</v>
      </c>
      <c r="C477" s="115">
        <v>8</v>
      </c>
      <c r="D477" s="2" t="s">
        <v>432</v>
      </c>
      <c r="E477" s="115"/>
      <c r="F477" s="53">
        <f>(F466+F471)- F475</f>
        <v>426867.16999999993</v>
      </c>
      <c r="G477" s="53">
        <f>(G466+G471)- G475</f>
        <v>66834.450000000012</v>
      </c>
      <c r="H477" s="53">
        <f>(H466+H471)- H475</f>
        <v>0</v>
      </c>
      <c r="I477" s="53">
        <f>(I466+I471)- I475</f>
        <v>0</v>
      </c>
      <c r="J477" s="53">
        <f>(J466+J471)- J475</f>
        <v>655538.05000000005</v>
      </c>
      <c r="K477" s="24" t="s">
        <v>288</v>
      </c>
      <c r="L477" s="24" t="s">
        <v>288</v>
      </c>
      <c r="N477" s="264"/>
    </row>
    <row r="478" spans="1:14" s="52" customFormat="1" ht="12.2" customHeight="1" x14ac:dyDescent="0.2">
      <c r="A478" s="95"/>
      <c r="B478" s="95"/>
      <c r="C478" s="95"/>
      <c r="D478" s="95"/>
      <c r="E478" s="95"/>
      <c r="F478" s="95"/>
      <c r="G478" s="95"/>
      <c r="H478" s="95"/>
      <c r="I478" s="95"/>
      <c r="J478" s="95"/>
      <c r="K478" s="95"/>
      <c r="L478" s="95"/>
      <c r="N478" s="264"/>
    </row>
    <row r="479" spans="1:14" s="52" customFormat="1" ht="12.2" customHeight="1" x14ac:dyDescent="0.2">
      <c r="A479" s="95" t="s">
        <v>657</v>
      </c>
      <c r="B479" s="95"/>
      <c r="C479" s="95"/>
      <c r="D479" s="95"/>
      <c r="E479" s="95"/>
      <c r="F479" s="95"/>
      <c r="G479" s="95"/>
      <c r="H479" s="95"/>
      <c r="I479" s="95"/>
      <c r="J479" s="95"/>
      <c r="K479" s="95"/>
      <c r="L479" s="95"/>
      <c r="N479" s="264"/>
    </row>
    <row r="480" spans="1:14" s="52" customFormat="1" ht="12.2" customHeight="1" x14ac:dyDescent="0.2">
      <c r="A480" s="95" t="s">
        <v>695</v>
      </c>
      <c r="B480" s="112"/>
      <c r="C480" s="112"/>
      <c r="D480" s="112"/>
      <c r="E480" s="112"/>
      <c r="F480" s="112"/>
      <c r="G480" s="112"/>
      <c r="H480" s="112"/>
      <c r="I480" s="112" t="s">
        <v>17</v>
      </c>
      <c r="J480" s="112"/>
      <c r="K480" s="95"/>
      <c r="L480" s="95"/>
      <c r="N480" s="264"/>
    </row>
    <row r="481" spans="1:14" s="52" customFormat="1" ht="12.2" customHeight="1" x14ac:dyDescent="0.2">
      <c r="A481" s="18"/>
      <c r="B481" s="112"/>
      <c r="C481" s="112"/>
      <c r="D481" s="112"/>
      <c r="E481" s="112"/>
      <c r="F481" s="112"/>
      <c r="G481" s="112"/>
      <c r="H481" s="112"/>
      <c r="I481" s="112" t="s">
        <v>401</v>
      </c>
      <c r="J481" s="112"/>
      <c r="K481" s="95"/>
      <c r="L481" s="95"/>
      <c r="N481" s="264"/>
    </row>
    <row r="482" spans="1:14" s="52" customFormat="1" ht="12.2" customHeight="1" x14ac:dyDescent="0.2">
      <c r="A482" s="175"/>
      <c r="B482" s="112"/>
      <c r="C482" s="112"/>
      <c r="D482" s="112"/>
      <c r="E482" s="112"/>
      <c r="F482" s="112"/>
      <c r="G482" s="112"/>
      <c r="H482" s="112"/>
      <c r="I482" s="112" t="s">
        <v>650</v>
      </c>
      <c r="J482" s="112"/>
      <c r="K482" s="95"/>
      <c r="L482" s="95"/>
      <c r="N482" s="264"/>
    </row>
    <row r="483" spans="1:14" s="52" customFormat="1" ht="12.2" customHeight="1" x14ac:dyDescent="0.2">
      <c r="A483" s="95" t="s">
        <v>696</v>
      </c>
      <c r="B483" s="112"/>
      <c r="C483" s="112"/>
      <c r="D483" s="112"/>
      <c r="E483" s="112"/>
      <c r="F483" s="112"/>
      <c r="G483" s="112"/>
      <c r="H483" s="112"/>
      <c r="I483" s="112" t="s">
        <v>473</v>
      </c>
      <c r="J483" s="112"/>
      <c r="K483" s="95"/>
      <c r="L483" s="95"/>
      <c r="N483" s="264"/>
    </row>
    <row r="484" spans="1:14" s="52" customFormat="1" ht="12.2" customHeight="1" x14ac:dyDescent="0.2">
      <c r="A484" s="174"/>
      <c r="B484" s="112"/>
      <c r="C484" s="112"/>
      <c r="D484" s="112"/>
      <c r="E484" s="112"/>
      <c r="F484" s="112"/>
      <c r="G484" s="112"/>
      <c r="H484" s="112"/>
      <c r="I484" s="112" t="s">
        <v>18</v>
      </c>
      <c r="J484" s="112"/>
      <c r="K484" s="95"/>
      <c r="L484" s="95"/>
      <c r="N484" s="264"/>
    </row>
    <row r="485" spans="1:14" s="52" customFormat="1" ht="12.2" customHeight="1" x14ac:dyDescent="0.2">
      <c r="A485" s="174"/>
      <c r="B485" s="112"/>
      <c r="C485" s="112"/>
      <c r="D485" s="112"/>
      <c r="E485" s="112"/>
      <c r="F485" s="112"/>
      <c r="G485" s="112"/>
      <c r="H485" s="112"/>
      <c r="I485" s="112" t="s">
        <v>474</v>
      </c>
      <c r="J485" s="112"/>
      <c r="K485" s="95"/>
      <c r="L485" s="95"/>
      <c r="N485" s="264"/>
    </row>
    <row r="486" spans="1:14" s="52" customFormat="1" ht="12.2" customHeight="1" x14ac:dyDescent="0.2">
      <c r="A486" s="174"/>
      <c r="B486" s="112"/>
      <c r="C486" s="112"/>
      <c r="D486" s="112"/>
      <c r="E486" s="112"/>
      <c r="F486" s="112"/>
      <c r="G486" s="112"/>
      <c r="H486" s="112"/>
      <c r="I486" s="112" t="s">
        <v>475</v>
      </c>
      <c r="J486" s="112"/>
      <c r="K486" s="95"/>
      <c r="L486" s="95"/>
      <c r="N486" s="264"/>
    </row>
    <row r="487" spans="1:14" s="52" customFormat="1" ht="12.2" customHeight="1" x14ac:dyDescent="0.2">
      <c r="A487" s="22"/>
      <c r="B487" s="112"/>
      <c r="C487" s="112"/>
      <c r="D487" s="112"/>
      <c r="E487" s="112"/>
      <c r="F487" s="112"/>
      <c r="G487" s="112"/>
      <c r="H487" s="112"/>
      <c r="I487" s="112"/>
      <c r="J487" s="112"/>
      <c r="K487" s="95"/>
      <c r="L487" s="95"/>
      <c r="N487" s="264"/>
    </row>
    <row r="488" spans="1:14" s="52" customFormat="1" ht="12.2" customHeight="1" x14ac:dyDescent="0.2">
      <c r="A488" s="96" t="s">
        <v>19</v>
      </c>
      <c r="B488" s="105"/>
      <c r="C488" s="115"/>
      <c r="D488" s="115"/>
      <c r="E488" s="115"/>
      <c r="F488" s="116"/>
      <c r="G488" s="116"/>
      <c r="H488" s="116"/>
      <c r="I488" s="116"/>
      <c r="J488" s="116"/>
      <c r="K488" s="116"/>
      <c r="L488" s="116"/>
      <c r="N488" s="264"/>
    </row>
    <row r="489" spans="1:14" s="52" customFormat="1" ht="12.2" customHeight="1" x14ac:dyDescent="0.2">
      <c r="A489" s="337" t="s">
        <v>1631</v>
      </c>
      <c r="B489" s="105"/>
      <c r="C489" s="115"/>
      <c r="D489" s="115"/>
      <c r="E489" s="115"/>
      <c r="F489" s="15" t="s">
        <v>264</v>
      </c>
      <c r="G489" s="15" t="s">
        <v>265</v>
      </c>
      <c r="H489" s="15" t="s">
        <v>266</v>
      </c>
      <c r="I489" s="15" t="s">
        <v>267</v>
      </c>
      <c r="J489" s="15" t="s">
        <v>268</v>
      </c>
      <c r="K489" s="15" t="s">
        <v>269</v>
      </c>
      <c r="L489" s="116"/>
      <c r="N489" s="264"/>
    </row>
    <row r="490" spans="1:14" s="52" customFormat="1" ht="12.2" customHeight="1" x14ac:dyDescent="0.2">
      <c r="A490" s="96" t="s">
        <v>21</v>
      </c>
      <c r="B490" s="105"/>
      <c r="C490" s="115"/>
      <c r="D490" s="115"/>
      <c r="E490" s="115"/>
      <c r="F490" s="117" t="s">
        <v>22</v>
      </c>
      <c r="G490" s="117" t="s">
        <v>23</v>
      </c>
      <c r="H490" s="117" t="s">
        <v>24</v>
      </c>
      <c r="I490" s="117" t="s">
        <v>25</v>
      </c>
      <c r="J490" s="117" t="s">
        <v>26</v>
      </c>
      <c r="K490" s="117" t="s">
        <v>340</v>
      </c>
      <c r="L490" s="116"/>
      <c r="N490" s="264"/>
    </row>
    <row r="491" spans="1:14" s="52" customFormat="1" ht="12.2" customHeight="1" x14ac:dyDescent="0.2">
      <c r="A491" s="22" t="s">
        <v>614</v>
      </c>
      <c r="B491" s="75">
        <v>20</v>
      </c>
      <c r="C491" s="115">
        <v>1</v>
      </c>
      <c r="D491" s="2" t="s">
        <v>432</v>
      </c>
      <c r="E491" s="115"/>
      <c r="F491" s="154">
        <v>5</v>
      </c>
      <c r="G491" s="154"/>
      <c r="H491" s="154"/>
      <c r="I491" s="154"/>
      <c r="J491" s="154"/>
      <c r="K491" s="24" t="s">
        <v>288</v>
      </c>
      <c r="L491" s="24" t="s">
        <v>288</v>
      </c>
      <c r="N491" s="264"/>
    </row>
    <row r="492" spans="1:14" s="52" customFormat="1" ht="12.2" customHeight="1" x14ac:dyDescent="0.2">
      <c r="A492" s="22" t="s">
        <v>615</v>
      </c>
      <c r="B492" s="75">
        <v>20</v>
      </c>
      <c r="C492" s="115">
        <v>2</v>
      </c>
      <c r="D492" s="2" t="s">
        <v>432</v>
      </c>
      <c r="E492" s="115"/>
      <c r="F492" s="155" t="s">
        <v>1803</v>
      </c>
      <c r="G492" s="155"/>
      <c r="H492" s="154"/>
      <c r="I492" s="154"/>
      <c r="J492" s="154"/>
      <c r="K492" s="24" t="s">
        <v>288</v>
      </c>
      <c r="L492" s="24" t="s">
        <v>288</v>
      </c>
      <c r="N492" s="264"/>
    </row>
    <row r="493" spans="1:14" s="52" customFormat="1" ht="12.2" customHeight="1" x14ac:dyDescent="0.2">
      <c r="A493" s="22" t="s">
        <v>616</v>
      </c>
      <c r="B493" s="75">
        <v>20</v>
      </c>
      <c r="C493" s="115">
        <v>3</v>
      </c>
      <c r="D493" s="2" t="s">
        <v>432</v>
      </c>
      <c r="E493" s="115"/>
      <c r="F493" s="155" t="s">
        <v>1804</v>
      </c>
      <c r="G493" s="155"/>
      <c r="H493" s="154"/>
      <c r="I493" s="154"/>
      <c r="J493" s="154"/>
      <c r="K493" s="24" t="s">
        <v>288</v>
      </c>
      <c r="L493" s="24" t="s">
        <v>288</v>
      </c>
      <c r="N493" s="264"/>
    </row>
    <row r="494" spans="1:14" s="52" customFormat="1" ht="12.2" customHeight="1" x14ac:dyDescent="0.2">
      <c r="A494" s="22" t="s">
        <v>617</v>
      </c>
      <c r="B494" s="75">
        <v>20</v>
      </c>
      <c r="C494" s="115">
        <v>4</v>
      </c>
      <c r="D494" s="2" t="s">
        <v>432</v>
      </c>
      <c r="E494" s="115"/>
      <c r="F494" s="18">
        <v>66811.929999999993</v>
      </c>
      <c r="G494" s="18"/>
      <c r="H494" s="18"/>
      <c r="I494" s="18"/>
      <c r="J494" s="18"/>
      <c r="K494" s="24" t="s">
        <v>288</v>
      </c>
      <c r="L494" s="24" t="s">
        <v>288</v>
      </c>
      <c r="N494" s="264"/>
    </row>
    <row r="495" spans="1:14" s="52" customFormat="1" ht="12.2" customHeight="1" x14ac:dyDescent="0.2">
      <c r="A495" s="22" t="s">
        <v>618</v>
      </c>
      <c r="B495" s="75">
        <v>20</v>
      </c>
      <c r="C495" s="115">
        <v>5</v>
      </c>
      <c r="D495" s="2" t="s">
        <v>432</v>
      </c>
      <c r="E495" s="115"/>
      <c r="F495" s="18">
        <v>3.09</v>
      </c>
      <c r="G495" s="18"/>
      <c r="H495" s="18"/>
      <c r="I495" s="18"/>
      <c r="J495" s="18"/>
      <c r="K495" s="24" t="s">
        <v>288</v>
      </c>
      <c r="L495" s="24" t="s">
        <v>288</v>
      </c>
      <c r="N495" s="264"/>
    </row>
    <row r="496" spans="1:14" s="52" customFormat="1" ht="12.2" customHeight="1" x14ac:dyDescent="0.2">
      <c r="A496" s="22" t="s">
        <v>619</v>
      </c>
      <c r="B496" s="75">
        <v>20</v>
      </c>
      <c r="C496" s="115">
        <v>6</v>
      </c>
      <c r="D496" s="2" t="s">
        <v>432</v>
      </c>
      <c r="E496" s="115"/>
      <c r="F496" s="18">
        <v>27739.16</v>
      </c>
      <c r="G496" s="18"/>
      <c r="H496" s="18"/>
      <c r="I496" s="18"/>
      <c r="J496" s="18"/>
      <c r="K496" s="53">
        <f>SUM(F496:J496)</f>
        <v>27739.16</v>
      </c>
      <c r="L496" s="24" t="s">
        <v>288</v>
      </c>
      <c r="N496" s="264"/>
    </row>
    <row r="497" spans="1:14" s="52" customFormat="1" ht="12.2" customHeight="1" x14ac:dyDescent="0.2">
      <c r="A497" s="22" t="s">
        <v>620</v>
      </c>
      <c r="B497" s="75">
        <v>20</v>
      </c>
      <c r="C497" s="115">
        <v>7</v>
      </c>
      <c r="D497" s="2" t="s">
        <v>432</v>
      </c>
      <c r="E497" s="115"/>
      <c r="F497" s="18"/>
      <c r="G497" s="18"/>
      <c r="H497" s="18"/>
      <c r="I497" s="18"/>
      <c r="J497" s="18"/>
      <c r="K497" s="53">
        <f t="shared" ref="K497:K504" si="35">SUM(F497:J497)</f>
        <v>0</v>
      </c>
      <c r="L497" s="24" t="s">
        <v>288</v>
      </c>
      <c r="N497" s="264"/>
    </row>
    <row r="498" spans="1:14" s="52" customFormat="1" ht="12.2" customHeight="1" x14ac:dyDescent="0.2">
      <c r="A498" s="22" t="s">
        <v>621</v>
      </c>
      <c r="B498" s="75">
        <v>20</v>
      </c>
      <c r="C498" s="115">
        <v>8</v>
      </c>
      <c r="D498" s="2" t="s">
        <v>432</v>
      </c>
      <c r="E498" s="115"/>
      <c r="F498" s="18">
        <v>13658.56</v>
      </c>
      <c r="G498" s="18"/>
      <c r="H498" s="18"/>
      <c r="I498" s="18"/>
      <c r="J498" s="18"/>
      <c r="K498" s="53">
        <f t="shared" si="35"/>
        <v>13658.56</v>
      </c>
      <c r="L498" s="24" t="s">
        <v>288</v>
      </c>
      <c r="N498" s="264"/>
    </row>
    <row r="499" spans="1:14" s="52" customFormat="1" ht="12.2" customHeight="1" x14ac:dyDescent="0.2">
      <c r="A499" s="199" t="s">
        <v>622</v>
      </c>
      <c r="B499" s="200">
        <v>20</v>
      </c>
      <c r="C499" s="201">
        <v>9</v>
      </c>
      <c r="D499" s="202" t="s">
        <v>432</v>
      </c>
      <c r="E499" s="201"/>
      <c r="F499" s="203">
        <v>14080.6</v>
      </c>
      <c r="G499" s="203"/>
      <c r="H499" s="203"/>
      <c r="I499" s="203"/>
      <c r="J499" s="203"/>
      <c r="K499" s="204">
        <f t="shared" si="35"/>
        <v>14080.6</v>
      </c>
      <c r="L499" s="205" t="s">
        <v>288</v>
      </c>
      <c r="N499" s="264"/>
    </row>
    <row r="500" spans="1:14" s="52" customFormat="1" ht="12.2" customHeight="1" thickBot="1" x14ac:dyDescent="0.25">
      <c r="A500" s="22" t="s">
        <v>623</v>
      </c>
      <c r="B500" s="75">
        <v>20</v>
      </c>
      <c r="C500" s="115">
        <v>10</v>
      </c>
      <c r="D500" s="2" t="s">
        <v>432</v>
      </c>
      <c r="E500" s="115"/>
      <c r="F500" s="18">
        <v>435.1</v>
      </c>
      <c r="G500" s="18"/>
      <c r="H500" s="18"/>
      <c r="I500" s="18"/>
      <c r="J500" s="18"/>
      <c r="K500" s="53">
        <f t="shared" si="35"/>
        <v>435.1</v>
      </c>
      <c r="L500" s="24" t="s">
        <v>288</v>
      </c>
      <c r="N500" s="264"/>
    </row>
    <row r="501" spans="1:14" s="52" customFormat="1" ht="12.2" customHeight="1" thickTop="1" x14ac:dyDescent="0.2">
      <c r="A501" s="139" t="s">
        <v>624</v>
      </c>
      <c r="B501" s="44">
        <v>20</v>
      </c>
      <c r="C501" s="194">
        <v>11</v>
      </c>
      <c r="D501" s="39" t="s">
        <v>432</v>
      </c>
      <c r="E501" s="194"/>
      <c r="F501" s="42">
        <f>SUM(F499:F500)</f>
        <v>14515.7</v>
      </c>
      <c r="G501" s="42">
        <f>SUM(G499:G500)</f>
        <v>0</v>
      </c>
      <c r="H501" s="42">
        <f>SUM(H499:H500)</f>
        <v>0</v>
      </c>
      <c r="I501" s="42">
        <f>SUM(I499:I500)</f>
        <v>0</v>
      </c>
      <c r="J501" s="42">
        <f>SUM(J499:J500)</f>
        <v>0</v>
      </c>
      <c r="K501" s="42">
        <f t="shared" si="35"/>
        <v>14515.7</v>
      </c>
      <c r="L501" s="45" t="s">
        <v>288</v>
      </c>
      <c r="N501" s="264"/>
    </row>
    <row r="502" spans="1:14" s="52" customFormat="1" ht="12.2" customHeight="1" x14ac:dyDescent="0.2">
      <c r="A502" s="199" t="s">
        <v>651</v>
      </c>
      <c r="B502" s="200">
        <v>20</v>
      </c>
      <c r="C502" s="201">
        <v>12</v>
      </c>
      <c r="D502" s="202" t="s">
        <v>432</v>
      </c>
      <c r="E502" s="201"/>
      <c r="F502" s="203">
        <v>14080.6</v>
      </c>
      <c r="G502" s="203"/>
      <c r="H502" s="203"/>
      <c r="I502" s="203"/>
      <c r="J502" s="203"/>
      <c r="K502" s="204">
        <f t="shared" si="35"/>
        <v>14080.6</v>
      </c>
      <c r="L502" s="205" t="s">
        <v>288</v>
      </c>
      <c r="N502" s="264"/>
    </row>
    <row r="503" spans="1:14" s="52" customFormat="1" ht="12.2" customHeight="1" thickBot="1" x14ac:dyDescent="0.25">
      <c r="A503" s="22" t="s">
        <v>625</v>
      </c>
      <c r="B503" s="75">
        <v>20</v>
      </c>
      <c r="C503" s="115">
        <v>13</v>
      </c>
      <c r="D503" s="2" t="s">
        <v>432</v>
      </c>
      <c r="E503" s="115"/>
      <c r="F503" s="18">
        <v>435.1</v>
      </c>
      <c r="G503" s="18"/>
      <c r="H503" s="18"/>
      <c r="I503" s="18"/>
      <c r="J503" s="18"/>
      <c r="K503" s="53">
        <f t="shared" si="35"/>
        <v>435.1</v>
      </c>
      <c r="L503" s="24" t="s">
        <v>288</v>
      </c>
      <c r="N503" s="264"/>
    </row>
    <row r="504" spans="1:14" s="52" customFormat="1" ht="12.2" customHeight="1" thickTop="1" x14ac:dyDescent="0.2">
      <c r="A504" s="139" t="s">
        <v>626</v>
      </c>
      <c r="B504" s="44">
        <v>20</v>
      </c>
      <c r="C504" s="194">
        <v>14</v>
      </c>
      <c r="D504" s="39" t="s">
        <v>432</v>
      </c>
      <c r="E504" s="194"/>
      <c r="F504" s="42">
        <f>SUM(F502:F503)</f>
        <v>14515.7</v>
      </c>
      <c r="G504" s="42">
        <f>SUM(G502:G503)</f>
        <v>0</v>
      </c>
      <c r="H504" s="42">
        <f>SUM(H502:H503)</f>
        <v>0</v>
      </c>
      <c r="I504" s="42">
        <f>SUM(I502:I503)</f>
        <v>0</v>
      </c>
      <c r="J504" s="42">
        <f>SUM(J502:J503)</f>
        <v>0</v>
      </c>
      <c r="K504" s="42">
        <f t="shared" si="35"/>
        <v>14515.7</v>
      </c>
      <c r="L504" s="45" t="s">
        <v>288</v>
      </c>
      <c r="N504" s="264"/>
    </row>
    <row r="505" spans="1:14" s="52" customFormat="1" ht="12.2" customHeight="1" x14ac:dyDescent="0.2">
      <c r="A505" s="96"/>
      <c r="B505" s="105"/>
      <c r="C505" s="115"/>
      <c r="D505" s="115"/>
      <c r="E505" s="115"/>
      <c r="F505" s="103"/>
      <c r="G505" s="103"/>
      <c r="H505" s="106"/>
      <c r="I505" s="106"/>
      <c r="J505" s="106"/>
      <c r="K505" s="106"/>
      <c r="L505" s="106"/>
      <c r="N505" s="264"/>
    </row>
    <row r="506" spans="1:14" s="52" customFormat="1" ht="12.2" customHeight="1" x14ac:dyDescent="0.2">
      <c r="C506" s="115"/>
      <c r="D506" s="115"/>
      <c r="E506" s="115"/>
      <c r="F506" s="103"/>
      <c r="G506" s="103"/>
      <c r="H506" s="106"/>
      <c r="I506" s="106"/>
      <c r="J506" s="106"/>
      <c r="K506" s="106"/>
      <c r="L506" s="106"/>
      <c r="N506" s="264"/>
    </row>
    <row r="507" spans="1:14" s="52" customFormat="1" ht="12.2" customHeight="1" x14ac:dyDescent="0.2">
      <c r="B507" s="105"/>
      <c r="F507" s="52" t="s">
        <v>41</v>
      </c>
      <c r="G507" s="103" t="s">
        <v>42</v>
      </c>
      <c r="H507" s="103" t="s">
        <v>43</v>
      </c>
      <c r="I507" s="106" t="s">
        <v>44</v>
      </c>
      <c r="J507" s="24" t="s">
        <v>288</v>
      </c>
      <c r="K507" s="24" t="s">
        <v>288</v>
      </c>
      <c r="L507" s="24" t="s">
        <v>288</v>
      </c>
      <c r="N507" s="264"/>
    </row>
    <row r="508" spans="1:14" s="52" customFormat="1" ht="12.2" customHeight="1" x14ac:dyDescent="0.2">
      <c r="A508" s="96" t="s">
        <v>40</v>
      </c>
      <c r="B508" s="105">
        <v>20</v>
      </c>
      <c r="C508" s="115">
        <v>15</v>
      </c>
      <c r="D508" s="2" t="s">
        <v>432</v>
      </c>
      <c r="E508" s="115"/>
      <c r="F508" s="144"/>
      <c r="G508" s="144"/>
      <c r="H508" s="144"/>
      <c r="I508" s="144"/>
      <c r="J508" s="24" t="s">
        <v>288</v>
      </c>
      <c r="K508" s="24" t="s">
        <v>288</v>
      </c>
      <c r="L508" s="24" t="s">
        <v>288</v>
      </c>
      <c r="N508" s="264"/>
    </row>
    <row r="509" spans="1:14" s="52" customFormat="1" ht="12.2" customHeight="1" x14ac:dyDescent="0.2">
      <c r="A509" s="96" t="s">
        <v>45</v>
      </c>
      <c r="B509" s="22"/>
      <c r="C509" s="22"/>
      <c r="D509" s="22"/>
      <c r="E509" s="22"/>
      <c r="F509" s="22"/>
      <c r="G509" s="22"/>
      <c r="H509" s="22"/>
      <c r="I509" s="22"/>
      <c r="J509" s="53"/>
      <c r="K509" s="53"/>
      <c r="L509" s="53"/>
      <c r="N509" s="264"/>
    </row>
    <row r="510" spans="1:14" s="52" customFormat="1" ht="12.2" customHeight="1" x14ac:dyDescent="0.2">
      <c r="A510" s="337" t="s">
        <v>1632</v>
      </c>
      <c r="B510" s="22"/>
      <c r="C510" s="22"/>
      <c r="D510" s="22"/>
      <c r="E510" s="22"/>
      <c r="F510" s="122" t="s">
        <v>46</v>
      </c>
      <c r="G510" s="122"/>
      <c r="H510" s="123" t="s">
        <v>47</v>
      </c>
      <c r="I510" s="123"/>
      <c r="J510" s="53"/>
      <c r="K510" s="53"/>
      <c r="L510" s="53"/>
      <c r="N510" s="264"/>
    </row>
    <row r="511" spans="1:14" s="52" customFormat="1" ht="12.2" customHeight="1" x14ac:dyDescent="0.2">
      <c r="A511" s="96"/>
      <c r="B511" s="22"/>
      <c r="C511" s="22"/>
      <c r="D511" s="22"/>
      <c r="E511" s="22"/>
      <c r="F511" s="113" t="s">
        <v>48</v>
      </c>
      <c r="G511" s="113" t="s">
        <v>49</v>
      </c>
      <c r="H511" s="114" t="s">
        <v>48</v>
      </c>
      <c r="I511" s="114" t="s">
        <v>49</v>
      </c>
      <c r="J511" s="53"/>
      <c r="K511" s="53"/>
      <c r="L511" s="53"/>
      <c r="N511" s="264"/>
    </row>
    <row r="512" spans="1:14" s="52" customFormat="1" ht="12.2" customHeight="1" x14ac:dyDescent="0.2">
      <c r="A512" s="22" t="s">
        <v>627</v>
      </c>
      <c r="B512" s="75">
        <v>20</v>
      </c>
      <c r="C512" s="115">
        <v>16</v>
      </c>
      <c r="D512" s="2" t="s">
        <v>432</v>
      </c>
      <c r="E512" s="115">
        <v>210</v>
      </c>
      <c r="F512" s="18"/>
      <c r="G512" s="24" t="s">
        <v>288</v>
      </c>
      <c r="H512" s="18"/>
      <c r="I512" s="24" t="s">
        <v>288</v>
      </c>
      <c r="J512" s="24" t="s">
        <v>288</v>
      </c>
      <c r="K512" s="24" t="s">
        <v>288</v>
      </c>
      <c r="L512" s="24" t="s">
        <v>288</v>
      </c>
      <c r="N512" s="264"/>
    </row>
    <row r="513" spans="1:14" s="52" customFormat="1" ht="12.2" customHeight="1" x14ac:dyDescent="0.2">
      <c r="A513" s="22" t="s">
        <v>628</v>
      </c>
      <c r="B513" s="75">
        <v>20</v>
      </c>
      <c r="C513" s="115">
        <v>17</v>
      </c>
      <c r="D513" s="2" t="s">
        <v>432</v>
      </c>
      <c r="E513" s="115">
        <v>220</v>
      </c>
      <c r="F513" s="18"/>
      <c r="G513" s="24" t="s">
        <v>288</v>
      </c>
      <c r="H513" s="18"/>
      <c r="I513" s="24" t="s">
        <v>288</v>
      </c>
      <c r="J513" s="24" t="s">
        <v>288</v>
      </c>
      <c r="K513" s="24" t="s">
        <v>288</v>
      </c>
      <c r="L513" s="24" t="s">
        <v>288</v>
      </c>
      <c r="N513" s="264"/>
    </row>
    <row r="514" spans="1:14" s="52" customFormat="1" ht="12.2" customHeight="1" x14ac:dyDescent="0.2">
      <c r="A514" s="22" t="s">
        <v>629</v>
      </c>
      <c r="B514" s="75">
        <v>20</v>
      </c>
      <c r="C514" s="115">
        <v>18</v>
      </c>
      <c r="D514" s="2" t="s">
        <v>432</v>
      </c>
      <c r="E514" s="115">
        <v>230</v>
      </c>
      <c r="F514" s="18"/>
      <c r="G514" s="24" t="s">
        <v>288</v>
      </c>
      <c r="H514" s="18"/>
      <c r="I514" s="24" t="s">
        <v>288</v>
      </c>
      <c r="J514" s="24" t="s">
        <v>288</v>
      </c>
      <c r="K514" s="24" t="s">
        <v>288</v>
      </c>
      <c r="L514" s="24" t="s">
        <v>288</v>
      </c>
      <c r="N514" s="264"/>
    </row>
    <row r="515" spans="1:14" s="52" customFormat="1" ht="12.2" customHeight="1" x14ac:dyDescent="0.2">
      <c r="A515" s="22" t="s">
        <v>630</v>
      </c>
      <c r="B515" s="75">
        <v>20</v>
      </c>
      <c r="C515" s="115">
        <v>19</v>
      </c>
      <c r="D515" s="2" t="s">
        <v>432</v>
      </c>
      <c r="E515" s="115">
        <v>240</v>
      </c>
      <c r="F515" s="18"/>
      <c r="G515" s="24" t="s">
        <v>288</v>
      </c>
      <c r="H515" s="18"/>
      <c r="I515" s="24" t="s">
        <v>288</v>
      </c>
      <c r="J515" s="24" t="s">
        <v>288</v>
      </c>
      <c r="K515" s="24" t="s">
        <v>288</v>
      </c>
      <c r="L515" s="24" t="s">
        <v>288</v>
      </c>
      <c r="N515" s="264"/>
    </row>
    <row r="516" spans="1:14" s="52" customFormat="1" ht="12.2" customHeight="1" x14ac:dyDescent="0.2">
      <c r="A516" s="22" t="s">
        <v>631</v>
      </c>
      <c r="B516" s="75">
        <v>20</v>
      </c>
      <c r="C516" s="115">
        <v>20</v>
      </c>
      <c r="D516" s="2" t="s">
        <v>432</v>
      </c>
      <c r="E516" s="115">
        <v>250</v>
      </c>
      <c r="F516" s="18"/>
      <c r="G516" s="24" t="s">
        <v>288</v>
      </c>
      <c r="H516" s="18"/>
      <c r="I516" s="24" t="s">
        <v>288</v>
      </c>
      <c r="J516" s="24" t="s">
        <v>288</v>
      </c>
      <c r="K516" s="24" t="s">
        <v>288</v>
      </c>
      <c r="L516" s="24" t="s">
        <v>288</v>
      </c>
      <c r="N516" s="264"/>
    </row>
    <row r="517" spans="1:14" s="52" customFormat="1" ht="12.2" customHeight="1" thickBot="1" x14ac:dyDescent="0.25">
      <c r="A517" s="22" t="s">
        <v>632</v>
      </c>
      <c r="B517" s="75">
        <v>20</v>
      </c>
      <c r="C517" s="115">
        <v>21</v>
      </c>
      <c r="D517" s="2" t="s">
        <v>432</v>
      </c>
      <c r="E517" s="115">
        <v>710</v>
      </c>
      <c r="F517" s="24" t="s">
        <v>288</v>
      </c>
      <c r="G517" s="18"/>
      <c r="H517" s="24" t="s">
        <v>288</v>
      </c>
      <c r="I517" s="18"/>
      <c r="J517" s="24" t="s">
        <v>288</v>
      </c>
      <c r="K517" s="24" t="s">
        <v>288</v>
      </c>
      <c r="L517" s="24" t="s">
        <v>288</v>
      </c>
      <c r="N517" s="264"/>
    </row>
    <row r="518" spans="1:14" s="52" customFormat="1" ht="12.2" customHeight="1" thickTop="1" x14ac:dyDescent="0.2">
      <c r="A518" s="96" t="s">
        <v>427</v>
      </c>
      <c r="B518" s="75">
        <v>20</v>
      </c>
      <c r="C518" s="115">
        <v>22</v>
      </c>
      <c r="D518" s="2" t="s">
        <v>432</v>
      </c>
      <c r="E518" s="115"/>
      <c r="F518" s="42">
        <f>SUM(F512:F517)</f>
        <v>0</v>
      </c>
      <c r="G518" s="42">
        <f>SUM(G512:G517)</f>
        <v>0</v>
      </c>
      <c r="H518" s="42">
        <f>SUM(H512:H517)</f>
        <v>0</v>
      </c>
      <c r="I518" s="42">
        <f>SUM(I512:I517)</f>
        <v>0</v>
      </c>
      <c r="J518" s="24" t="s">
        <v>288</v>
      </c>
      <c r="K518" s="24" t="s">
        <v>288</v>
      </c>
      <c r="L518" s="24" t="s">
        <v>288</v>
      </c>
      <c r="N518" s="264"/>
    </row>
    <row r="519" spans="1:14" s="52" customFormat="1" ht="12.2" customHeight="1" x14ac:dyDescent="0.2">
      <c r="A519" s="96" t="s">
        <v>698</v>
      </c>
      <c r="B519" s="105"/>
      <c r="C519" s="115"/>
      <c r="D519" s="115"/>
      <c r="E519" s="115"/>
      <c r="F519" s="176" t="s">
        <v>689</v>
      </c>
      <c r="G519" s="176" t="s">
        <v>690</v>
      </c>
      <c r="H519" s="176" t="s">
        <v>691</v>
      </c>
      <c r="I519" s="176" t="s">
        <v>692</v>
      </c>
      <c r="J519" s="176" t="s">
        <v>693</v>
      </c>
      <c r="K519" s="176" t="s">
        <v>694</v>
      </c>
      <c r="L519" s="106"/>
      <c r="N519" s="264"/>
    </row>
    <row r="520" spans="1:14" s="52" customFormat="1" ht="12.2" customHeight="1" x14ac:dyDescent="0.2">
      <c r="A520" s="177" t="s">
        <v>697</v>
      </c>
      <c r="B520" s="105"/>
      <c r="C520" s="115"/>
      <c r="D520" s="115"/>
      <c r="E520" s="115"/>
      <c r="F520" s="103" t="s">
        <v>54</v>
      </c>
      <c r="G520" s="103" t="s">
        <v>55</v>
      </c>
      <c r="H520" s="106" t="s">
        <v>56</v>
      </c>
      <c r="I520" s="106" t="s">
        <v>57</v>
      </c>
      <c r="J520" s="106" t="s">
        <v>58</v>
      </c>
      <c r="K520" s="106" t="s">
        <v>59</v>
      </c>
      <c r="L520" s="106" t="s">
        <v>5</v>
      </c>
      <c r="N520" s="264"/>
    </row>
    <row r="521" spans="1:14" s="52" customFormat="1" ht="12.2" customHeight="1" x14ac:dyDescent="0.2">
      <c r="A521" s="96" t="s">
        <v>60</v>
      </c>
      <c r="B521" s="105"/>
      <c r="C521" s="115"/>
      <c r="D521" s="115"/>
      <c r="E521" s="115"/>
      <c r="F521" s="24" t="s">
        <v>288</v>
      </c>
      <c r="G521" s="24" t="s">
        <v>288</v>
      </c>
      <c r="H521" s="24" t="s">
        <v>288</v>
      </c>
      <c r="I521" s="24" t="s">
        <v>288</v>
      </c>
      <c r="J521" s="24" t="s">
        <v>288</v>
      </c>
      <c r="K521" s="24" t="s">
        <v>288</v>
      </c>
      <c r="L521" s="24" t="s">
        <v>288</v>
      </c>
      <c r="N521" s="264"/>
    </row>
    <row r="522" spans="1:14" s="52" customFormat="1" ht="12.2" customHeight="1" x14ac:dyDescent="0.2">
      <c r="A522" s="22" t="s">
        <v>633</v>
      </c>
      <c r="B522" s="105">
        <v>21</v>
      </c>
      <c r="C522" s="115">
        <v>1</v>
      </c>
      <c r="D522" s="2" t="s">
        <v>432</v>
      </c>
      <c r="E522" s="115"/>
      <c r="F522" s="18">
        <f>3642.67+654010.47</f>
        <v>657653.14</v>
      </c>
      <c r="G522" s="18">
        <f>278.69+259467.13</f>
        <v>259745.82</v>
      </c>
      <c r="H522" s="18">
        <f>85167.32+28770.2+3594.25+80047.46+115633.24+660.94</f>
        <v>313873.41000000003</v>
      </c>
      <c r="I522" s="18">
        <f>3147.45</f>
        <v>3147.45</v>
      </c>
      <c r="J522" s="18">
        <v>3594</v>
      </c>
      <c r="K522" s="18"/>
      <c r="L522" s="88">
        <f>SUM(F522:K522)</f>
        <v>1238013.82</v>
      </c>
      <c r="N522" s="264"/>
    </row>
    <row r="523" spans="1:14" s="52" customFormat="1" ht="12.2" customHeight="1" x14ac:dyDescent="0.2">
      <c r="A523" s="22" t="s">
        <v>634</v>
      </c>
      <c r="B523" s="105">
        <v>21</v>
      </c>
      <c r="C523" s="115">
        <v>2</v>
      </c>
      <c r="D523" s="2" t="s">
        <v>432</v>
      </c>
      <c r="E523" s="115"/>
      <c r="F523" s="18"/>
      <c r="G523" s="18"/>
      <c r="H523" s="18"/>
      <c r="I523" s="18"/>
      <c r="J523" s="18"/>
      <c r="K523" s="18"/>
      <c r="L523" s="88">
        <f>SUM(F523:K523)</f>
        <v>0</v>
      </c>
      <c r="N523" s="264"/>
    </row>
    <row r="524" spans="1:14" s="52" customFormat="1" ht="12.2" customHeight="1" thickBot="1" x14ac:dyDescent="0.25">
      <c r="A524" s="22" t="s">
        <v>635</v>
      </c>
      <c r="B524" s="105">
        <v>21</v>
      </c>
      <c r="C524" s="115">
        <v>3</v>
      </c>
      <c r="D524" s="2" t="s">
        <v>432</v>
      </c>
      <c r="E524" s="115"/>
      <c r="F524" s="18"/>
      <c r="G524" s="18"/>
      <c r="H524" s="18">
        <f>44539.39+307483.16+288332.28</f>
        <v>640354.83000000007</v>
      </c>
      <c r="I524" s="18"/>
      <c r="J524" s="18"/>
      <c r="K524" s="18"/>
      <c r="L524" s="88">
        <f>SUM(F524:K524)</f>
        <v>640354.83000000007</v>
      </c>
      <c r="N524" s="264"/>
    </row>
    <row r="525" spans="1:14" s="52" customFormat="1" ht="12.2" customHeight="1" thickTop="1" x14ac:dyDescent="0.2">
      <c r="A525" s="139" t="s">
        <v>63</v>
      </c>
      <c r="B525" s="107">
        <v>21</v>
      </c>
      <c r="C525" s="194">
        <v>4</v>
      </c>
      <c r="D525" s="195" t="s">
        <v>432</v>
      </c>
      <c r="E525" s="194"/>
      <c r="F525" s="108">
        <f>SUM(F522:F524)</f>
        <v>657653.14</v>
      </c>
      <c r="G525" s="108">
        <f t="shared" ref="G525:L525" si="36">SUM(G522:G524)</f>
        <v>259745.82</v>
      </c>
      <c r="H525" s="108">
        <f t="shared" si="36"/>
        <v>954228.24000000011</v>
      </c>
      <c r="I525" s="108">
        <f t="shared" si="36"/>
        <v>3147.45</v>
      </c>
      <c r="J525" s="108">
        <f t="shared" si="36"/>
        <v>3594</v>
      </c>
      <c r="K525" s="108">
        <f t="shared" si="36"/>
        <v>0</v>
      </c>
      <c r="L525" s="89">
        <f t="shared" si="36"/>
        <v>1878368.6500000001</v>
      </c>
      <c r="N525" s="264"/>
    </row>
    <row r="526" spans="1:14" s="3" customFormat="1" ht="12.2" customHeight="1" x14ac:dyDescent="0.15">
      <c r="A526" s="96" t="s">
        <v>64</v>
      </c>
      <c r="B526" s="105"/>
      <c r="C526" s="115"/>
      <c r="D526" s="115"/>
      <c r="E526" s="115"/>
      <c r="F526" s="24" t="s">
        <v>288</v>
      </c>
      <c r="G526" s="24" t="s">
        <v>288</v>
      </c>
      <c r="H526" s="24" t="s">
        <v>288</v>
      </c>
      <c r="I526" s="24" t="s">
        <v>288</v>
      </c>
      <c r="J526" s="24" t="s">
        <v>288</v>
      </c>
      <c r="K526" s="24" t="s">
        <v>288</v>
      </c>
      <c r="L526" s="24" t="s">
        <v>288</v>
      </c>
      <c r="M526" s="8"/>
      <c r="N526" s="265"/>
    </row>
    <row r="527" spans="1:14" s="3" customFormat="1" ht="12.2" customHeight="1" x14ac:dyDescent="0.15">
      <c r="A527" s="22" t="s">
        <v>633</v>
      </c>
      <c r="B527" s="105">
        <v>21</v>
      </c>
      <c r="C527" s="115">
        <v>5</v>
      </c>
      <c r="D527" s="2" t="s">
        <v>432</v>
      </c>
      <c r="E527" s="115"/>
      <c r="F527" s="18">
        <f>143203.15+47250+90500</f>
        <v>280953.15000000002</v>
      </c>
      <c r="G527" s="18">
        <f>70504.27+3850.48+43986.85</f>
        <v>118341.6</v>
      </c>
      <c r="H527" s="18">
        <f>44337.05+5210+2898.67+3880.75</f>
        <v>56326.47</v>
      </c>
      <c r="I527" s="18">
        <f>416.46+2213.2+354.99+135.5</f>
        <v>3120.1499999999996</v>
      </c>
      <c r="J527" s="18">
        <f>5510.61+1053</f>
        <v>6563.61</v>
      </c>
      <c r="K527" s="18"/>
      <c r="L527" s="88">
        <f>SUM(F527:K527)</f>
        <v>465304.98</v>
      </c>
      <c r="M527" s="8"/>
      <c r="N527" s="265"/>
    </row>
    <row r="528" spans="1:14" s="3" customFormat="1" ht="12.2" customHeight="1" x14ac:dyDescent="0.15">
      <c r="A528" s="22" t="s">
        <v>634</v>
      </c>
      <c r="B528" s="105">
        <v>21</v>
      </c>
      <c r="C528" s="115">
        <v>6</v>
      </c>
      <c r="D528" s="2" t="s">
        <v>432</v>
      </c>
      <c r="E528" s="115"/>
      <c r="F528" s="18"/>
      <c r="G528" s="18"/>
      <c r="H528" s="18"/>
      <c r="I528" s="18"/>
      <c r="J528" s="18"/>
      <c r="K528" s="18"/>
      <c r="L528" s="88">
        <f>SUM(F528:K528)</f>
        <v>0</v>
      </c>
      <c r="M528" s="8"/>
      <c r="N528" s="265"/>
    </row>
    <row r="529" spans="1:14" s="3" customFormat="1" ht="12.2" customHeight="1" thickBot="1" x14ac:dyDescent="0.2">
      <c r="A529" s="22" t="s">
        <v>635</v>
      </c>
      <c r="B529" s="118">
        <v>21</v>
      </c>
      <c r="C529" s="118">
        <v>7</v>
      </c>
      <c r="D529" s="2" t="s">
        <v>432</v>
      </c>
      <c r="E529" s="118"/>
      <c r="F529" s="18"/>
      <c r="G529" s="18"/>
      <c r="H529" s="18">
        <f>3555+10214.59</f>
        <v>13769.59</v>
      </c>
      <c r="I529" s="18"/>
      <c r="J529" s="18"/>
      <c r="K529" s="18"/>
      <c r="L529" s="88">
        <f>SUM(F529:K529)</f>
        <v>13769.59</v>
      </c>
      <c r="M529" s="8"/>
      <c r="N529" s="265"/>
    </row>
    <row r="530" spans="1:14" s="3" customFormat="1" ht="12.2" customHeight="1" thickTop="1" x14ac:dyDescent="0.15">
      <c r="A530" s="139" t="s">
        <v>65</v>
      </c>
      <c r="B530" s="107">
        <v>21</v>
      </c>
      <c r="C530" s="107">
        <v>8</v>
      </c>
      <c r="D530" s="158" t="s">
        <v>432</v>
      </c>
      <c r="E530" s="107"/>
      <c r="F530" s="89">
        <f>SUM(F527:F529)</f>
        <v>280953.15000000002</v>
      </c>
      <c r="G530" s="89">
        <f t="shared" ref="G530:L530" si="37">SUM(G527:G529)</f>
        <v>118341.6</v>
      </c>
      <c r="H530" s="89">
        <f t="shared" si="37"/>
        <v>70096.06</v>
      </c>
      <c r="I530" s="89">
        <f t="shared" si="37"/>
        <v>3120.1499999999996</v>
      </c>
      <c r="J530" s="89">
        <f t="shared" si="37"/>
        <v>6563.61</v>
      </c>
      <c r="K530" s="89">
        <f t="shared" si="37"/>
        <v>0</v>
      </c>
      <c r="L530" s="89">
        <f t="shared" si="37"/>
        <v>479074.57</v>
      </c>
      <c r="M530" s="8"/>
      <c r="N530" s="265"/>
    </row>
    <row r="531" spans="1:14" s="3" customFormat="1" ht="12.2" customHeight="1" x14ac:dyDescent="0.15">
      <c r="A531" s="97" t="s">
        <v>66</v>
      </c>
      <c r="B531" s="105"/>
      <c r="C531" s="105"/>
      <c r="D531" s="105"/>
      <c r="E531" s="105"/>
      <c r="F531" s="24" t="s">
        <v>288</v>
      </c>
      <c r="G531" s="24" t="s">
        <v>288</v>
      </c>
      <c r="H531" s="24" t="s">
        <v>288</v>
      </c>
      <c r="I531" s="24" t="s">
        <v>288</v>
      </c>
      <c r="J531" s="24" t="s">
        <v>288</v>
      </c>
      <c r="K531" s="24" t="s">
        <v>288</v>
      </c>
      <c r="L531" s="24" t="s">
        <v>288</v>
      </c>
      <c r="M531" s="8"/>
      <c r="N531" s="265"/>
    </row>
    <row r="532" spans="1:14" s="3" customFormat="1" ht="12.2" customHeight="1" x14ac:dyDescent="0.15">
      <c r="A532" s="22" t="s">
        <v>633</v>
      </c>
      <c r="B532" s="105">
        <v>21</v>
      </c>
      <c r="C532" s="105">
        <v>9</v>
      </c>
      <c r="D532" s="2" t="s">
        <v>432</v>
      </c>
      <c r="E532" s="105"/>
      <c r="F532" s="18">
        <v>153700</v>
      </c>
      <c r="G532" s="18">
        <f>63044.66</f>
        <v>63044.66</v>
      </c>
      <c r="H532" s="18">
        <f>5605.31</f>
        <v>5605.31</v>
      </c>
      <c r="I532" s="18">
        <v>520.45000000000005</v>
      </c>
      <c r="J532" s="18"/>
      <c r="K532" s="18">
        <v>1551.48</v>
      </c>
      <c r="L532" s="88">
        <f>SUM(F532:K532)</f>
        <v>224421.90000000002</v>
      </c>
      <c r="M532" s="8"/>
      <c r="N532" s="265"/>
    </row>
    <row r="533" spans="1:14" s="3" customFormat="1" ht="12.2" customHeight="1" x14ac:dyDescent="0.15">
      <c r="A533" s="22" t="s">
        <v>634</v>
      </c>
      <c r="B533" s="105">
        <v>21</v>
      </c>
      <c r="C533" s="105">
        <v>10</v>
      </c>
      <c r="D533" s="2" t="s">
        <v>432</v>
      </c>
      <c r="E533" s="105"/>
      <c r="F533" s="18"/>
      <c r="G533" s="18"/>
      <c r="H533" s="18"/>
      <c r="I533" s="18"/>
      <c r="J533" s="18"/>
      <c r="K533" s="18"/>
      <c r="L533" s="88">
        <f>SUM(F533:K533)</f>
        <v>0</v>
      </c>
      <c r="M533" s="8"/>
      <c r="N533" s="265"/>
    </row>
    <row r="534" spans="1:14" s="3" customFormat="1" ht="12.2" customHeight="1" thickBot="1" x14ac:dyDescent="0.2">
      <c r="A534" s="22" t="s">
        <v>635</v>
      </c>
      <c r="B534" s="105">
        <v>21</v>
      </c>
      <c r="C534" s="105">
        <v>11</v>
      </c>
      <c r="D534" s="2" t="s">
        <v>432</v>
      </c>
      <c r="E534" s="105"/>
      <c r="F534" s="18"/>
      <c r="G534" s="18"/>
      <c r="H534" s="18"/>
      <c r="I534" s="18"/>
      <c r="J534" s="18"/>
      <c r="K534" s="18"/>
      <c r="L534" s="88">
        <f>SUM(F534:K534)</f>
        <v>0</v>
      </c>
      <c r="M534" s="8"/>
      <c r="N534" s="265"/>
    </row>
    <row r="535" spans="1:14" s="3" customFormat="1" ht="12.2" customHeight="1" thickTop="1" x14ac:dyDescent="0.15">
      <c r="A535" s="139" t="s">
        <v>67</v>
      </c>
      <c r="B535" s="107">
        <v>21</v>
      </c>
      <c r="C535" s="107">
        <v>12</v>
      </c>
      <c r="D535" s="158" t="s">
        <v>432</v>
      </c>
      <c r="E535" s="107"/>
      <c r="F535" s="89">
        <f>SUM(F532:F534)</f>
        <v>153700</v>
      </c>
      <c r="G535" s="89">
        <f t="shared" ref="G535:L535" si="38">SUM(G532:G534)</f>
        <v>63044.66</v>
      </c>
      <c r="H535" s="89">
        <f t="shared" si="38"/>
        <v>5605.31</v>
      </c>
      <c r="I535" s="89">
        <f t="shared" si="38"/>
        <v>520.45000000000005</v>
      </c>
      <c r="J535" s="89">
        <f t="shared" si="38"/>
        <v>0</v>
      </c>
      <c r="K535" s="89">
        <f t="shared" si="38"/>
        <v>1551.48</v>
      </c>
      <c r="L535" s="89">
        <f t="shared" si="38"/>
        <v>224421.90000000002</v>
      </c>
      <c r="M535" s="8"/>
      <c r="N535" s="265"/>
    </row>
    <row r="536" spans="1:14" s="3" customFormat="1" ht="12.2" customHeight="1" x14ac:dyDescent="0.15">
      <c r="A536" s="97" t="s">
        <v>68</v>
      </c>
      <c r="B536" s="105"/>
      <c r="C536" s="105"/>
      <c r="D536" s="105"/>
      <c r="E536" s="105"/>
      <c r="F536" s="193" t="s">
        <v>288</v>
      </c>
      <c r="G536" s="193" t="s">
        <v>288</v>
      </c>
      <c r="H536" s="193" t="s">
        <v>288</v>
      </c>
      <c r="I536" s="193" t="s">
        <v>288</v>
      </c>
      <c r="J536" s="193" t="s">
        <v>288</v>
      </c>
      <c r="K536" s="193" t="s">
        <v>288</v>
      </c>
      <c r="L536" s="193" t="s">
        <v>288</v>
      </c>
      <c r="M536" s="8"/>
      <c r="N536" s="265"/>
    </row>
    <row r="537" spans="1:14" s="3" customFormat="1" ht="12.2" customHeight="1" x14ac:dyDescent="0.15">
      <c r="A537" s="22" t="s">
        <v>633</v>
      </c>
      <c r="B537" s="105">
        <v>21</v>
      </c>
      <c r="C537" s="105">
        <v>13</v>
      </c>
      <c r="D537" s="2" t="s">
        <v>432</v>
      </c>
      <c r="E537" s="105"/>
      <c r="F537" s="18"/>
      <c r="G537" s="18"/>
      <c r="H537" s="18"/>
      <c r="I537" s="18"/>
      <c r="J537" s="18"/>
      <c r="K537" s="18"/>
      <c r="L537" s="88">
        <f>SUM(F537:K537)</f>
        <v>0</v>
      </c>
      <c r="M537" s="8"/>
      <c r="N537" s="265"/>
    </row>
    <row r="538" spans="1:14" s="3" customFormat="1" ht="12.2" customHeight="1" x14ac:dyDescent="0.15">
      <c r="A538" s="22" t="s">
        <v>634</v>
      </c>
      <c r="B538" s="105">
        <v>21</v>
      </c>
      <c r="C538" s="105">
        <v>14</v>
      </c>
      <c r="D538" s="2" t="s">
        <v>432</v>
      </c>
      <c r="E538" s="105"/>
      <c r="F538" s="18"/>
      <c r="G538" s="18"/>
      <c r="H538" s="18"/>
      <c r="I538" s="18"/>
      <c r="J538" s="18"/>
      <c r="K538" s="18"/>
      <c r="L538" s="88">
        <f>SUM(F538:K538)</f>
        <v>0</v>
      </c>
      <c r="M538" s="8"/>
      <c r="N538" s="265"/>
    </row>
    <row r="539" spans="1:14" s="3" customFormat="1" ht="12.2" customHeight="1" thickBot="1" x14ac:dyDescent="0.2">
      <c r="A539" s="22" t="s">
        <v>635</v>
      </c>
      <c r="B539" s="105">
        <v>21</v>
      </c>
      <c r="C539" s="105">
        <v>15</v>
      </c>
      <c r="D539" s="2" t="s">
        <v>432</v>
      </c>
      <c r="E539" s="105"/>
      <c r="F539" s="18"/>
      <c r="G539" s="18"/>
      <c r="H539" s="18"/>
      <c r="I539" s="18"/>
      <c r="J539" s="18"/>
      <c r="K539" s="18"/>
      <c r="L539" s="88">
        <f>SUM(F539:K539)</f>
        <v>0</v>
      </c>
      <c r="M539" s="8"/>
      <c r="N539" s="265"/>
    </row>
    <row r="540" spans="1:14" s="3" customFormat="1" ht="12.2" customHeight="1" thickTop="1" x14ac:dyDescent="0.15">
      <c r="A540" s="139" t="s">
        <v>69</v>
      </c>
      <c r="B540" s="107">
        <v>21</v>
      </c>
      <c r="C540" s="107">
        <v>16</v>
      </c>
      <c r="D540" s="158" t="s">
        <v>432</v>
      </c>
      <c r="E540" s="107"/>
      <c r="F540" s="89">
        <f>SUM(F537:F539)</f>
        <v>0</v>
      </c>
      <c r="G540" s="89">
        <f t="shared" ref="G540:L540" si="39">SUM(G537:G539)</f>
        <v>0</v>
      </c>
      <c r="H540" s="89">
        <f t="shared" si="39"/>
        <v>0</v>
      </c>
      <c r="I540" s="89">
        <f t="shared" si="39"/>
        <v>0</v>
      </c>
      <c r="J540" s="89">
        <f t="shared" si="39"/>
        <v>0</v>
      </c>
      <c r="K540" s="89">
        <f t="shared" si="39"/>
        <v>0</v>
      </c>
      <c r="L540" s="89">
        <f t="shared" si="39"/>
        <v>0</v>
      </c>
      <c r="M540" s="8"/>
      <c r="N540" s="265"/>
    </row>
    <row r="541" spans="1:14" s="3" customFormat="1" ht="12.2" customHeight="1" x14ac:dyDescent="0.15">
      <c r="A541" s="97" t="s">
        <v>70</v>
      </c>
      <c r="B541" s="105"/>
      <c r="C541" s="105"/>
      <c r="D541" s="105"/>
      <c r="E541" s="105"/>
      <c r="F541" s="24" t="s">
        <v>288</v>
      </c>
      <c r="G541" s="24" t="s">
        <v>288</v>
      </c>
      <c r="H541" s="24" t="s">
        <v>288</v>
      </c>
      <c r="I541" s="24" t="s">
        <v>288</v>
      </c>
      <c r="J541" s="24" t="s">
        <v>288</v>
      </c>
      <c r="K541" s="24" t="s">
        <v>288</v>
      </c>
      <c r="L541" s="24" t="s">
        <v>288</v>
      </c>
      <c r="M541" s="8"/>
      <c r="N541" s="265"/>
    </row>
    <row r="542" spans="1:14" s="3" customFormat="1" ht="12.2" customHeight="1" x14ac:dyDescent="0.15">
      <c r="A542" s="22" t="s">
        <v>633</v>
      </c>
      <c r="B542" s="105">
        <v>21</v>
      </c>
      <c r="C542" s="105">
        <v>17</v>
      </c>
      <c r="D542" s="2" t="s">
        <v>432</v>
      </c>
      <c r="E542" s="105"/>
      <c r="F542" s="18"/>
      <c r="G542" s="18"/>
      <c r="H542" s="18">
        <v>91013</v>
      </c>
      <c r="I542" s="18"/>
      <c r="J542" s="18"/>
      <c r="K542" s="18"/>
      <c r="L542" s="88">
        <f>SUM(F542:K542)</f>
        <v>91013</v>
      </c>
      <c r="M542" s="8"/>
      <c r="N542" s="265"/>
    </row>
    <row r="543" spans="1:14" s="3" customFormat="1" ht="12.2" customHeight="1" x14ac:dyDescent="0.15">
      <c r="A543" s="22" t="s">
        <v>634</v>
      </c>
      <c r="B543" s="105">
        <v>21</v>
      </c>
      <c r="C543" s="105">
        <v>18</v>
      </c>
      <c r="D543" s="2" t="s">
        <v>432</v>
      </c>
      <c r="E543" s="105"/>
      <c r="F543" s="18"/>
      <c r="G543" s="18"/>
      <c r="H543" s="18">
        <v>168206</v>
      </c>
      <c r="I543" s="18"/>
      <c r="J543" s="18"/>
      <c r="K543" s="18"/>
      <c r="L543" s="88">
        <f>SUM(F543:K543)</f>
        <v>168206</v>
      </c>
      <c r="M543" s="8"/>
      <c r="N543" s="265"/>
    </row>
    <row r="544" spans="1:14" s="3" customFormat="1" ht="12.2" customHeight="1" thickBot="1" x14ac:dyDescent="0.2">
      <c r="A544" s="22" t="s">
        <v>635</v>
      </c>
      <c r="B544" s="105">
        <v>21</v>
      </c>
      <c r="C544" s="105">
        <v>19</v>
      </c>
      <c r="D544" s="2" t="s">
        <v>432</v>
      </c>
      <c r="E544" s="105"/>
      <c r="F544" s="18"/>
      <c r="G544" s="18"/>
      <c r="H544" s="18"/>
      <c r="I544" s="18"/>
      <c r="J544" s="18"/>
      <c r="K544" s="18"/>
      <c r="L544" s="88">
        <f>SUM(F544:K544)</f>
        <v>0</v>
      </c>
      <c r="M544" s="8"/>
      <c r="N544" s="265"/>
    </row>
    <row r="545" spans="1:14" s="3" customFormat="1" ht="12.2" customHeight="1" thickTop="1" thickBot="1" x14ac:dyDescent="0.2">
      <c r="A545" s="130" t="s">
        <v>71</v>
      </c>
      <c r="B545" s="190">
        <v>21</v>
      </c>
      <c r="C545" s="190">
        <v>20</v>
      </c>
      <c r="D545" s="191" t="s">
        <v>432</v>
      </c>
      <c r="E545" s="190"/>
      <c r="F545" s="192">
        <f>SUM(F542:F544)</f>
        <v>0</v>
      </c>
      <c r="G545" s="192">
        <f t="shared" ref="G545:L545" si="40">SUM(G542:G544)</f>
        <v>0</v>
      </c>
      <c r="H545" s="192">
        <f t="shared" si="40"/>
        <v>259219</v>
      </c>
      <c r="I545" s="192">
        <f t="shared" si="40"/>
        <v>0</v>
      </c>
      <c r="J545" s="192">
        <f t="shared" si="40"/>
        <v>0</v>
      </c>
      <c r="K545" s="192">
        <f t="shared" si="40"/>
        <v>0</v>
      </c>
      <c r="L545" s="192">
        <f t="shared" si="40"/>
        <v>259219</v>
      </c>
      <c r="M545" s="8"/>
      <c r="N545" s="265"/>
    </row>
    <row r="546" spans="1:14" s="3" customFormat="1" ht="12.2" customHeight="1" thickTop="1" x14ac:dyDescent="0.15">
      <c r="A546" s="98" t="s">
        <v>72</v>
      </c>
      <c r="B546" s="107">
        <v>21</v>
      </c>
      <c r="C546" s="107">
        <v>21</v>
      </c>
      <c r="D546" s="158" t="s">
        <v>432</v>
      </c>
      <c r="E546" s="107"/>
      <c r="F546" s="89">
        <f>F525+F530+F535+F540+F545</f>
        <v>1092306.29</v>
      </c>
      <c r="G546" s="89">
        <f t="shared" ref="G546:L546" si="41">G525+G530+G535+G540+G545</f>
        <v>441132.08000000007</v>
      </c>
      <c r="H546" s="89">
        <f t="shared" si="41"/>
        <v>1289148.6100000001</v>
      </c>
      <c r="I546" s="89">
        <f t="shared" si="41"/>
        <v>6788.0499999999993</v>
      </c>
      <c r="J546" s="89">
        <f t="shared" si="41"/>
        <v>10157.61</v>
      </c>
      <c r="K546" s="89">
        <f t="shared" si="41"/>
        <v>1551.48</v>
      </c>
      <c r="L546" s="89">
        <f t="shared" si="41"/>
        <v>2841084.12</v>
      </c>
      <c r="M546" s="8"/>
      <c r="N546" s="265"/>
    </row>
    <row r="547" spans="1:14" s="3" customFormat="1" ht="12.2" customHeight="1" x14ac:dyDescent="0.15">
      <c r="A547" s="99"/>
      <c r="B547" s="105"/>
      <c r="C547" s="105"/>
      <c r="D547" s="105"/>
      <c r="E547" s="105"/>
      <c r="F547" s="87"/>
      <c r="G547" s="87"/>
      <c r="H547" s="87"/>
      <c r="I547" s="87"/>
      <c r="J547" s="87"/>
      <c r="K547" s="87"/>
      <c r="L547" s="87"/>
      <c r="M547" s="8"/>
      <c r="N547" s="265"/>
    </row>
    <row r="548" spans="1:14" s="3" customFormat="1" ht="12.2" customHeight="1" x14ac:dyDescent="0.15">
      <c r="A548" s="100" t="s">
        <v>73</v>
      </c>
      <c r="B548" s="105"/>
      <c r="C548" s="105"/>
      <c r="D548" s="105"/>
      <c r="E548" s="105"/>
      <c r="F548" s="101" t="s">
        <v>74</v>
      </c>
      <c r="G548" s="87" t="s">
        <v>75</v>
      </c>
      <c r="H548" s="87" t="s">
        <v>76</v>
      </c>
      <c r="I548" s="101" t="s">
        <v>77</v>
      </c>
      <c r="J548" s="87" t="s">
        <v>78</v>
      </c>
      <c r="K548" s="101" t="s">
        <v>79</v>
      </c>
      <c r="L548" s="24" t="s">
        <v>288</v>
      </c>
      <c r="M548" s="8"/>
      <c r="N548" s="265"/>
    </row>
    <row r="549" spans="1:14" s="3" customFormat="1" ht="12.2" customHeight="1" x14ac:dyDescent="0.15">
      <c r="A549" s="100" t="s">
        <v>250</v>
      </c>
      <c r="B549" s="105"/>
      <c r="C549" s="105"/>
      <c r="D549" s="105"/>
      <c r="E549" s="105"/>
      <c r="F549" s="101" t="s">
        <v>80</v>
      </c>
      <c r="G549" s="101" t="s">
        <v>81</v>
      </c>
      <c r="H549" s="101" t="s">
        <v>82</v>
      </c>
      <c r="I549" s="101" t="s">
        <v>83</v>
      </c>
      <c r="J549" s="101" t="s">
        <v>84</v>
      </c>
      <c r="K549" s="87"/>
      <c r="L549" s="24" t="s">
        <v>288</v>
      </c>
      <c r="M549" s="8"/>
      <c r="N549" s="265"/>
    </row>
    <row r="550" spans="1:14" s="3" customFormat="1" ht="12.2" customHeight="1" x14ac:dyDescent="0.15">
      <c r="A550" s="22" t="s">
        <v>633</v>
      </c>
      <c r="B550" s="75">
        <v>21</v>
      </c>
      <c r="C550" s="75">
        <v>22</v>
      </c>
      <c r="D550" s="2" t="s">
        <v>432</v>
      </c>
      <c r="E550" s="75"/>
      <c r="F550" s="87">
        <f>L522</f>
        <v>1238013.82</v>
      </c>
      <c r="G550" s="87">
        <f>L527</f>
        <v>465304.98</v>
      </c>
      <c r="H550" s="87">
        <f>L532</f>
        <v>224421.90000000002</v>
      </c>
      <c r="I550" s="87">
        <f>L537</f>
        <v>0</v>
      </c>
      <c r="J550" s="87">
        <f>L542</f>
        <v>91013</v>
      </c>
      <c r="K550" s="87">
        <f>SUM(F550:J550)</f>
        <v>2018753.7000000002</v>
      </c>
      <c r="L550" s="24" t="s">
        <v>288</v>
      </c>
      <c r="M550" s="8"/>
      <c r="N550" s="265"/>
    </row>
    <row r="551" spans="1:14" s="3" customFormat="1" ht="12.2" customHeight="1" x14ac:dyDescent="0.15">
      <c r="A551" s="22" t="s">
        <v>634</v>
      </c>
      <c r="B551" s="75">
        <v>21</v>
      </c>
      <c r="C551" s="75">
        <v>23</v>
      </c>
      <c r="D551" s="2" t="s">
        <v>432</v>
      </c>
      <c r="E551" s="75"/>
      <c r="F551" s="87">
        <f>L523</f>
        <v>0</v>
      </c>
      <c r="G551" s="87">
        <f>L528</f>
        <v>0</v>
      </c>
      <c r="H551" s="87">
        <f>L533</f>
        <v>0</v>
      </c>
      <c r="I551" s="87">
        <f>L538</f>
        <v>0</v>
      </c>
      <c r="J551" s="87">
        <f>L543</f>
        <v>168206</v>
      </c>
      <c r="K551" s="87">
        <f>SUM(F551:J551)</f>
        <v>168206</v>
      </c>
      <c r="L551" s="24" t="s">
        <v>288</v>
      </c>
      <c r="M551" s="8"/>
      <c r="N551" s="265"/>
    </row>
    <row r="552" spans="1:14" s="3" customFormat="1" ht="12.2" customHeight="1" thickBot="1" x14ac:dyDescent="0.2">
      <c r="A552" s="22" t="s">
        <v>635</v>
      </c>
      <c r="B552" s="75">
        <v>21</v>
      </c>
      <c r="C552" s="75">
        <v>24</v>
      </c>
      <c r="D552" s="2" t="s">
        <v>432</v>
      </c>
      <c r="E552" s="75"/>
      <c r="F552" s="87">
        <f>L524</f>
        <v>640354.83000000007</v>
      </c>
      <c r="G552" s="87">
        <f>L529</f>
        <v>13769.59</v>
      </c>
      <c r="H552" s="87">
        <f>L534</f>
        <v>0</v>
      </c>
      <c r="I552" s="87">
        <f>L539</f>
        <v>0</v>
      </c>
      <c r="J552" s="87">
        <f>L544</f>
        <v>0</v>
      </c>
      <c r="K552" s="87">
        <f>SUM(F552:J552)</f>
        <v>654124.42000000004</v>
      </c>
      <c r="L552" s="24" t="s">
        <v>288</v>
      </c>
      <c r="M552" s="8"/>
      <c r="N552" s="265"/>
    </row>
    <row r="553" spans="1:14" s="3" customFormat="1" ht="12.2" customHeight="1" thickTop="1" x14ac:dyDescent="0.15">
      <c r="A553" s="172" t="s">
        <v>340</v>
      </c>
      <c r="B553" s="44">
        <v>21</v>
      </c>
      <c r="C553" s="44">
        <v>25</v>
      </c>
      <c r="D553" s="39" t="s">
        <v>432</v>
      </c>
      <c r="E553" s="44"/>
      <c r="F553" s="89">
        <f t="shared" ref="F553:K553" si="42">SUM(F550:F552)</f>
        <v>1878368.6500000001</v>
      </c>
      <c r="G553" s="89">
        <f t="shared" si="42"/>
        <v>479074.57</v>
      </c>
      <c r="H553" s="89">
        <f t="shared" si="42"/>
        <v>224421.90000000002</v>
      </c>
      <c r="I553" s="89">
        <f t="shared" si="42"/>
        <v>0</v>
      </c>
      <c r="J553" s="89">
        <f t="shared" si="42"/>
        <v>259219</v>
      </c>
      <c r="K553" s="89">
        <f t="shared" si="42"/>
        <v>2841084.12</v>
      </c>
      <c r="L553" s="24"/>
      <c r="M553" s="8"/>
      <c r="N553" s="265"/>
    </row>
    <row r="554" spans="1:14" s="3" customFormat="1" ht="12.2" customHeight="1" x14ac:dyDescent="0.15">
      <c r="A554" s="96" t="s">
        <v>580</v>
      </c>
      <c r="B554" s="105"/>
      <c r="C554" s="105"/>
      <c r="D554" s="105"/>
      <c r="E554" s="105"/>
      <c r="F554" s="87"/>
      <c r="G554" s="87"/>
      <c r="H554" s="87"/>
      <c r="I554" s="87"/>
      <c r="J554" s="87"/>
      <c r="K554" s="87"/>
      <c r="L554" s="87"/>
      <c r="M554" s="8"/>
      <c r="N554" s="265"/>
    </row>
    <row r="555" spans="1:14" s="3" customFormat="1" ht="12.2" customHeight="1" x14ac:dyDescent="0.15">
      <c r="B555" s="105"/>
      <c r="C555" s="115"/>
      <c r="D555" s="115"/>
      <c r="E555" s="115"/>
      <c r="F555" s="176" t="s">
        <v>689</v>
      </c>
      <c r="G555" s="176" t="s">
        <v>690</v>
      </c>
      <c r="H555" s="176" t="s">
        <v>691</v>
      </c>
      <c r="I555" s="176" t="s">
        <v>692</v>
      </c>
      <c r="J555" s="176" t="s">
        <v>693</v>
      </c>
      <c r="K555" s="176" t="s">
        <v>694</v>
      </c>
      <c r="L555" s="106"/>
      <c r="M555" s="8"/>
      <c r="N555" s="265"/>
    </row>
    <row r="556" spans="1:14" s="3" customFormat="1" ht="12.2" customHeight="1" x14ac:dyDescent="0.15">
      <c r="A556" s="96" t="s">
        <v>50</v>
      </c>
      <c r="B556" s="105"/>
      <c r="C556" s="115"/>
      <c r="D556" s="115"/>
      <c r="E556" s="115"/>
      <c r="F556" s="103" t="s">
        <v>54</v>
      </c>
      <c r="G556" s="103" t="s">
        <v>55</v>
      </c>
      <c r="H556" s="106" t="s">
        <v>56</v>
      </c>
      <c r="I556" s="106" t="s">
        <v>57</v>
      </c>
      <c r="J556" s="106" t="s">
        <v>58</v>
      </c>
      <c r="K556" s="106" t="s">
        <v>59</v>
      </c>
      <c r="L556" s="106" t="s">
        <v>5</v>
      </c>
      <c r="M556" s="8"/>
      <c r="N556" s="265"/>
    </row>
    <row r="557" spans="1:14" s="3" customFormat="1" ht="12.2" customHeight="1" x14ac:dyDescent="0.15">
      <c r="A557" s="96" t="s">
        <v>85</v>
      </c>
      <c r="B557" s="105"/>
      <c r="C557" s="115"/>
      <c r="D557" s="115"/>
      <c r="E557" s="115"/>
      <c r="F557" s="24" t="s">
        <v>288</v>
      </c>
      <c r="G557" s="24" t="s">
        <v>288</v>
      </c>
      <c r="H557" s="24" t="s">
        <v>288</v>
      </c>
      <c r="I557" s="24" t="s">
        <v>288</v>
      </c>
      <c r="J557" s="24" t="s">
        <v>288</v>
      </c>
      <c r="K557" s="24" t="s">
        <v>288</v>
      </c>
      <c r="L557" s="24" t="s">
        <v>288</v>
      </c>
      <c r="M557" s="8"/>
      <c r="N557" s="265"/>
    </row>
    <row r="558" spans="1:14" s="3" customFormat="1" ht="12.2" customHeight="1" x14ac:dyDescent="0.15">
      <c r="A558" s="22" t="s">
        <v>633</v>
      </c>
      <c r="B558" s="105">
        <v>22</v>
      </c>
      <c r="C558" s="115">
        <v>1</v>
      </c>
      <c r="D558" s="2" t="s">
        <v>432</v>
      </c>
      <c r="E558" s="115"/>
      <c r="F558" s="18"/>
      <c r="G558" s="18"/>
      <c r="H558" s="18"/>
      <c r="I558" s="18"/>
      <c r="J558" s="18"/>
      <c r="K558" s="18"/>
      <c r="L558" s="88">
        <f>SUM(F558:K558)</f>
        <v>0</v>
      </c>
      <c r="M558" s="8"/>
      <c r="N558" s="265"/>
    </row>
    <row r="559" spans="1:14" s="3" customFormat="1" ht="12.2" customHeight="1" x14ac:dyDescent="0.15">
      <c r="A559" s="22" t="s">
        <v>634</v>
      </c>
      <c r="B559" s="105">
        <v>22</v>
      </c>
      <c r="C559" s="115">
        <v>2</v>
      </c>
      <c r="D559" s="2" t="s">
        <v>432</v>
      </c>
      <c r="E559" s="115"/>
      <c r="F559" s="18"/>
      <c r="G559" s="18"/>
      <c r="H559" s="18"/>
      <c r="I559" s="18"/>
      <c r="J559" s="18"/>
      <c r="K559" s="18"/>
      <c r="L559" s="88">
        <f>SUM(F559:K559)</f>
        <v>0</v>
      </c>
      <c r="M559" s="8"/>
      <c r="N559" s="265"/>
    </row>
    <row r="560" spans="1:14" s="3" customFormat="1" ht="12.2" customHeight="1" thickBot="1" x14ac:dyDescent="0.2">
      <c r="A560" s="22" t="s">
        <v>635</v>
      </c>
      <c r="B560" s="105">
        <v>22</v>
      </c>
      <c r="C560" s="115">
        <v>3</v>
      </c>
      <c r="D560" s="2" t="s">
        <v>432</v>
      </c>
      <c r="E560" s="115"/>
      <c r="F560" s="18"/>
      <c r="G560" s="18"/>
      <c r="H560" s="18"/>
      <c r="I560" s="18"/>
      <c r="J560" s="18"/>
      <c r="K560" s="18"/>
      <c r="L560" s="88">
        <f>SUM(F560:K560)</f>
        <v>0</v>
      </c>
      <c r="M560" s="8"/>
      <c r="N560" s="265"/>
    </row>
    <row r="561" spans="1:14" s="3" customFormat="1" ht="12.2" customHeight="1" thickTop="1" x14ac:dyDescent="0.15">
      <c r="A561" s="139" t="s">
        <v>63</v>
      </c>
      <c r="B561" s="107">
        <v>22</v>
      </c>
      <c r="C561" s="194">
        <v>4</v>
      </c>
      <c r="D561" s="195" t="s">
        <v>432</v>
      </c>
      <c r="E561" s="194"/>
      <c r="F561" s="108">
        <f t="shared" ref="F561:L561" si="43">SUM(F558:F560)</f>
        <v>0</v>
      </c>
      <c r="G561" s="108">
        <f t="shared" si="43"/>
        <v>0</v>
      </c>
      <c r="H561" s="108">
        <f t="shared" si="43"/>
        <v>0</v>
      </c>
      <c r="I561" s="108">
        <f t="shared" si="43"/>
        <v>0</v>
      </c>
      <c r="J561" s="108">
        <f t="shared" si="43"/>
        <v>0</v>
      </c>
      <c r="K561" s="108">
        <f t="shared" si="43"/>
        <v>0</v>
      </c>
      <c r="L561" s="89">
        <f t="shared" si="43"/>
        <v>0</v>
      </c>
      <c r="M561" s="8"/>
      <c r="N561" s="265"/>
    </row>
    <row r="562" spans="1:14" s="3" customFormat="1" ht="12.2" customHeight="1" x14ac:dyDescent="0.15">
      <c r="A562" s="96" t="s">
        <v>86</v>
      </c>
      <c r="B562" s="105"/>
      <c r="C562" s="115"/>
      <c r="D562" s="115"/>
      <c r="E562" s="115"/>
      <c r="F562" s="24" t="s">
        <v>288</v>
      </c>
      <c r="G562" s="24" t="s">
        <v>288</v>
      </c>
      <c r="H562" s="24" t="s">
        <v>288</v>
      </c>
      <c r="I562" s="24" t="s">
        <v>288</v>
      </c>
      <c r="J562" s="24" t="s">
        <v>288</v>
      </c>
      <c r="K562" s="24" t="s">
        <v>288</v>
      </c>
      <c r="L562" s="24" t="s">
        <v>288</v>
      </c>
      <c r="M562" s="8"/>
      <c r="N562" s="265"/>
    </row>
    <row r="563" spans="1:14" s="3" customFormat="1" ht="12.2" customHeight="1" x14ac:dyDescent="0.15">
      <c r="A563" s="22" t="s">
        <v>633</v>
      </c>
      <c r="B563" s="105">
        <v>22</v>
      </c>
      <c r="C563" s="115">
        <v>5</v>
      </c>
      <c r="D563" s="2" t="s">
        <v>432</v>
      </c>
      <c r="E563" s="115"/>
      <c r="F563" s="18"/>
      <c r="G563" s="18"/>
      <c r="H563" s="18"/>
      <c r="I563" s="18"/>
      <c r="J563" s="18"/>
      <c r="K563" s="18"/>
      <c r="L563" s="88">
        <f>SUM(F563:K563)</f>
        <v>0</v>
      </c>
      <c r="M563" s="8"/>
      <c r="N563" s="265"/>
    </row>
    <row r="564" spans="1:14" s="3" customFormat="1" ht="12.2" customHeight="1" x14ac:dyDescent="0.15">
      <c r="A564" s="22" t="s">
        <v>634</v>
      </c>
      <c r="B564" s="105">
        <v>22</v>
      </c>
      <c r="C564" s="115">
        <v>6</v>
      </c>
      <c r="D564" s="2" t="s">
        <v>432</v>
      </c>
      <c r="E564" s="115"/>
      <c r="F564" s="18"/>
      <c r="G564" s="18"/>
      <c r="H564" s="18"/>
      <c r="I564" s="18"/>
      <c r="J564" s="18"/>
      <c r="K564" s="18"/>
      <c r="L564" s="88">
        <f>SUM(F564:K564)</f>
        <v>0</v>
      </c>
      <c r="M564" s="8"/>
      <c r="N564" s="265"/>
    </row>
    <row r="565" spans="1:14" s="3" customFormat="1" ht="12.2" customHeight="1" thickBot="1" x14ac:dyDescent="0.2">
      <c r="A565" s="22" t="s">
        <v>635</v>
      </c>
      <c r="B565" s="105">
        <v>22</v>
      </c>
      <c r="C565" s="118">
        <v>7</v>
      </c>
      <c r="D565" s="2" t="s">
        <v>432</v>
      </c>
      <c r="E565" s="118"/>
      <c r="F565" s="18"/>
      <c r="G565" s="18"/>
      <c r="H565" s="18"/>
      <c r="I565" s="18"/>
      <c r="J565" s="18"/>
      <c r="K565" s="18"/>
      <c r="L565" s="88">
        <f>SUM(F565:K565)</f>
        <v>0</v>
      </c>
      <c r="M565" s="8"/>
      <c r="N565" s="265"/>
    </row>
    <row r="566" spans="1:14" s="3" customFormat="1" ht="12.2" customHeight="1" thickTop="1" x14ac:dyDescent="0.15">
      <c r="A566" s="139" t="s">
        <v>65</v>
      </c>
      <c r="B566" s="107">
        <v>22</v>
      </c>
      <c r="C566" s="107">
        <v>8</v>
      </c>
      <c r="D566" s="195" t="s">
        <v>432</v>
      </c>
      <c r="E566" s="107"/>
      <c r="F566" s="89">
        <f t="shared" ref="F566:L566" si="44">SUM(F563:F565)</f>
        <v>0</v>
      </c>
      <c r="G566" s="89">
        <f t="shared" si="44"/>
        <v>0</v>
      </c>
      <c r="H566" s="89">
        <f t="shared" si="44"/>
        <v>0</v>
      </c>
      <c r="I566" s="89">
        <f t="shared" si="44"/>
        <v>0</v>
      </c>
      <c r="J566" s="89">
        <f t="shared" si="44"/>
        <v>0</v>
      </c>
      <c r="K566" s="89">
        <f t="shared" si="44"/>
        <v>0</v>
      </c>
      <c r="L566" s="89">
        <f t="shared" si="44"/>
        <v>0</v>
      </c>
      <c r="M566" s="8"/>
      <c r="N566" s="265"/>
    </row>
    <row r="567" spans="1:14" s="3" customFormat="1" ht="12.2" customHeight="1" x14ac:dyDescent="0.15">
      <c r="A567" s="97" t="s">
        <v>87</v>
      </c>
      <c r="B567" s="105"/>
      <c r="C567" s="105"/>
      <c r="D567" s="105"/>
      <c r="E567" s="105"/>
      <c r="F567" s="24" t="s">
        <v>288</v>
      </c>
      <c r="G567" s="24" t="s">
        <v>288</v>
      </c>
      <c r="H567" s="24" t="s">
        <v>288</v>
      </c>
      <c r="I567" s="24" t="s">
        <v>288</v>
      </c>
      <c r="J567" s="24" t="s">
        <v>288</v>
      </c>
      <c r="K567" s="24" t="s">
        <v>288</v>
      </c>
      <c r="L567" s="24" t="s">
        <v>288</v>
      </c>
      <c r="M567" s="8"/>
      <c r="N567" s="265"/>
    </row>
    <row r="568" spans="1:14" s="3" customFormat="1" ht="12.2" customHeight="1" x14ac:dyDescent="0.15">
      <c r="A568" s="22" t="s">
        <v>633</v>
      </c>
      <c r="B568" s="105">
        <v>22</v>
      </c>
      <c r="C568" s="105">
        <v>9</v>
      </c>
      <c r="D568" s="2" t="s">
        <v>432</v>
      </c>
      <c r="E568" s="105"/>
      <c r="F568" s="18"/>
      <c r="G568" s="18"/>
      <c r="H568" s="18"/>
      <c r="I568" s="18"/>
      <c r="J568" s="18"/>
      <c r="K568" s="18"/>
      <c r="L568" s="88">
        <f>SUM(F568:K568)</f>
        <v>0</v>
      </c>
      <c r="M568" s="8"/>
      <c r="N568" s="265"/>
    </row>
    <row r="569" spans="1:14" s="3" customFormat="1" ht="12.2" customHeight="1" x14ac:dyDescent="0.15">
      <c r="A569" s="22" t="s">
        <v>634</v>
      </c>
      <c r="B569" s="105">
        <v>22</v>
      </c>
      <c r="C569" s="105">
        <v>10</v>
      </c>
      <c r="D569" s="2" t="s">
        <v>432</v>
      </c>
      <c r="E569" s="105"/>
      <c r="F569" s="18"/>
      <c r="G569" s="18"/>
      <c r="H569" s="18"/>
      <c r="I569" s="18"/>
      <c r="J569" s="18"/>
      <c r="K569" s="18"/>
      <c r="L569" s="88">
        <f>SUM(F569:K569)</f>
        <v>0</v>
      </c>
      <c r="M569" s="8"/>
      <c r="N569" s="265"/>
    </row>
    <row r="570" spans="1:14" s="3" customFormat="1" ht="12.2" customHeight="1" thickBot="1" x14ac:dyDescent="0.2">
      <c r="A570" s="22" t="s">
        <v>635</v>
      </c>
      <c r="B570" s="105">
        <v>22</v>
      </c>
      <c r="C570" s="105">
        <v>11</v>
      </c>
      <c r="D570" s="2" t="s">
        <v>432</v>
      </c>
      <c r="E570" s="105"/>
      <c r="F570" s="18"/>
      <c r="G570" s="18"/>
      <c r="H570" s="18"/>
      <c r="I570" s="18"/>
      <c r="J570" s="18"/>
      <c r="K570" s="18"/>
      <c r="L570" s="88">
        <f>SUM(F570:K570)</f>
        <v>0</v>
      </c>
      <c r="M570" s="8"/>
      <c r="N570" s="265"/>
    </row>
    <row r="571" spans="1:14" s="3" customFormat="1" ht="12.2" customHeight="1" thickTop="1" thickBot="1" x14ac:dyDescent="0.2">
      <c r="A571" s="130" t="s">
        <v>67</v>
      </c>
      <c r="B571" s="190">
        <v>22</v>
      </c>
      <c r="C571" s="190">
        <v>12</v>
      </c>
      <c r="D571" s="196" t="s">
        <v>432</v>
      </c>
      <c r="E571" s="190"/>
      <c r="F571" s="192">
        <f>SUM(F568:F570)</f>
        <v>0</v>
      </c>
      <c r="G571" s="192">
        <f t="shared" ref="G571:L571" si="45">SUM(G568:G570)</f>
        <v>0</v>
      </c>
      <c r="H571" s="192">
        <f t="shared" si="45"/>
        <v>0</v>
      </c>
      <c r="I571" s="192">
        <f t="shared" si="45"/>
        <v>0</v>
      </c>
      <c r="J571" s="192">
        <f t="shared" si="45"/>
        <v>0</v>
      </c>
      <c r="K571" s="192">
        <f t="shared" si="45"/>
        <v>0</v>
      </c>
      <c r="L571" s="192">
        <f t="shared" si="45"/>
        <v>0</v>
      </c>
      <c r="M571" s="8"/>
      <c r="N571" s="265"/>
    </row>
    <row r="572" spans="1:14" s="3" customFormat="1" ht="12.2" customHeight="1" thickTop="1" x14ac:dyDescent="0.15">
      <c r="A572" s="98" t="s">
        <v>88</v>
      </c>
      <c r="B572" s="107">
        <v>22</v>
      </c>
      <c r="C572" s="107">
        <v>13</v>
      </c>
      <c r="D572" s="158" t="s">
        <v>432</v>
      </c>
      <c r="E572" s="107"/>
      <c r="F572" s="89">
        <f>F561+F566+F571</f>
        <v>0</v>
      </c>
      <c r="G572" s="89">
        <f t="shared" ref="G572:L572" si="46">G561+G566+G571</f>
        <v>0</v>
      </c>
      <c r="H572" s="89">
        <f t="shared" si="46"/>
        <v>0</v>
      </c>
      <c r="I572" s="89">
        <f t="shared" si="46"/>
        <v>0</v>
      </c>
      <c r="J572" s="89">
        <f t="shared" si="46"/>
        <v>0</v>
      </c>
      <c r="K572" s="89">
        <f t="shared" si="46"/>
        <v>0</v>
      </c>
      <c r="L572" s="89">
        <f t="shared" si="46"/>
        <v>0</v>
      </c>
      <c r="M572" s="8"/>
      <c r="N572" s="265"/>
    </row>
    <row r="573" spans="1:14" s="3" customFormat="1" ht="12.2" customHeight="1" x14ac:dyDescent="0.15">
      <c r="A573" s="97"/>
      <c r="B573" s="75"/>
      <c r="C573" s="75"/>
      <c r="D573" s="75"/>
      <c r="E573" s="75"/>
      <c r="F573" s="87"/>
      <c r="G573" s="87"/>
      <c r="H573" s="87"/>
      <c r="I573" s="87"/>
      <c r="J573" s="87"/>
      <c r="K573" s="87"/>
      <c r="L573" s="87"/>
      <c r="M573" s="8"/>
      <c r="N573" s="265"/>
    </row>
    <row r="574" spans="1:14" s="3" customFormat="1" ht="12.2" customHeight="1" x14ac:dyDescent="0.15">
      <c r="A574" s="97" t="s">
        <v>771</v>
      </c>
      <c r="B574" s="75"/>
      <c r="C574" s="75"/>
      <c r="D574" s="75"/>
      <c r="E574" s="75"/>
      <c r="F574" s="87"/>
      <c r="G574" s="87"/>
      <c r="H574" s="87"/>
      <c r="I574" s="87"/>
      <c r="J574" s="87"/>
      <c r="K574" s="87"/>
      <c r="L574" s="87"/>
      <c r="M574" s="8"/>
      <c r="N574" s="265"/>
    </row>
    <row r="575" spans="1:14" s="3" customFormat="1" ht="12.2" customHeight="1" x14ac:dyDescent="0.15">
      <c r="A575" s="97" t="s">
        <v>89</v>
      </c>
      <c r="B575" s="75"/>
      <c r="C575" s="75"/>
      <c r="D575" s="75"/>
      <c r="E575" s="75" t="s">
        <v>95</v>
      </c>
      <c r="F575" s="101" t="s">
        <v>90</v>
      </c>
      <c r="G575" s="101" t="s">
        <v>91</v>
      </c>
      <c r="H575" s="101" t="s">
        <v>92</v>
      </c>
      <c r="I575" s="101" t="s">
        <v>93</v>
      </c>
      <c r="J575" s="24" t="s">
        <v>288</v>
      </c>
      <c r="K575" s="24" t="s">
        <v>288</v>
      </c>
      <c r="L575" s="24" t="s">
        <v>288</v>
      </c>
      <c r="M575" s="8"/>
      <c r="N575" s="265"/>
    </row>
    <row r="576" spans="1:14" s="3" customFormat="1" ht="12.2" customHeight="1" x14ac:dyDescent="0.15">
      <c r="A576" s="99" t="s">
        <v>669</v>
      </c>
      <c r="B576" s="75">
        <v>22</v>
      </c>
      <c r="C576" s="75">
        <v>14</v>
      </c>
      <c r="D576" s="2" t="s">
        <v>432</v>
      </c>
      <c r="E576" s="75">
        <v>561</v>
      </c>
      <c r="F576" s="18"/>
      <c r="G576" s="18"/>
      <c r="H576" s="18">
        <v>3481400.75</v>
      </c>
      <c r="I576" s="87">
        <f>SUM(F576:H576)</f>
        <v>3481400.75</v>
      </c>
      <c r="J576" s="24" t="s">
        <v>288</v>
      </c>
      <c r="K576" s="24" t="s">
        <v>288</v>
      </c>
      <c r="L576" s="24" t="s">
        <v>288</v>
      </c>
      <c r="M576" s="8"/>
      <c r="N576" s="265"/>
    </row>
    <row r="577" spans="1:14" s="3" customFormat="1" ht="12.2" customHeight="1" x14ac:dyDescent="0.15">
      <c r="A577" s="99" t="s">
        <v>670</v>
      </c>
      <c r="B577" s="75">
        <v>22</v>
      </c>
      <c r="C577" s="75">
        <v>15</v>
      </c>
      <c r="D577" s="2" t="s">
        <v>432</v>
      </c>
      <c r="E577" s="75">
        <v>562</v>
      </c>
      <c r="F577" s="18"/>
      <c r="G577" s="18"/>
      <c r="H577" s="18"/>
      <c r="I577" s="87">
        <f t="shared" ref="I577:I588" si="47">SUM(F577:H577)</f>
        <v>0</v>
      </c>
      <c r="J577" s="24" t="s">
        <v>288</v>
      </c>
      <c r="K577" s="24" t="s">
        <v>288</v>
      </c>
      <c r="L577" s="24" t="s">
        <v>288</v>
      </c>
      <c r="M577" s="8"/>
      <c r="N577" s="265"/>
    </row>
    <row r="578" spans="1:14" s="3" customFormat="1" ht="12.2" customHeight="1" x14ac:dyDescent="0.15">
      <c r="A578" s="99" t="s">
        <v>740</v>
      </c>
      <c r="B578" s="75">
        <v>22</v>
      </c>
      <c r="C578" s="75">
        <v>16</v>
      </c>
      <c r="D578" s="2" t="s">
        <v>432</v>
      </c>
      <c r="E578" s="75">
        <v>563</v>
      </c>
      <c r="F578" s="24" t="s">
        <v>288</v>
      </c>
      <c r="G578" s="24" t="s">
        <v>288</v>
      </c>
      <c r="H578" s="18">
        <v>54792</v>
      </c>
      <c r="I578" s="87">
        <f t="shared" si="47"/>
        <v>54792</v>
      </c>
      <c r="J578" s="24" t="s">
        <v>288</v>
      </c>
      <c r="K578" s="24" t="s">
        <v>288</v>
      </c>
      <c r="L578" s="24" t="s">
        <v>288</v>
      </c>
      <c r="M578" s="8"/>
      <c r="N578" s="265"/>
    </row>
    <row r="579" spans="1:14" s="3" customFormat="1" ht="12.2" customHeight="1" x14ac:dyDescent="0.15">
      <c r="A579" s="99" t="s">
        <v>674</v>
      </c>
      <c r="B579" s="75">
        <v>22</v>
      </c>
      <c r="C579" s="75">
        <v>17</v>
      </c>
      <c r="D579" s="2" t="s">
        <v>432</v>
      </c>
      <c r="E579" s="75">
        <v>564</v>
      </c>
      <c r="F579" s="18"/>
      <c r="G579" s="18"/>
      <c r="H579" s="18">
        <v>1869.8</v>
      </c>
      <c r="I579" s="87">
        <f t="shared" si="47"/>
        <v>1869.8</v>
      </c>
      <c r="J579" s="24" t="s">
        <v>288</v>
      </c>
      <c r="K579" s="24" t="s">
        <v>288</v>
      </c>
      <c r="L579" s="24" t="s">
        <v>288</v>
      </c>
      <c r="M579" s="8"/>
      <c r="N579" s="265"/>
    </row>
    <row r="580" spans="1:14" s="3" customFormat="1" ht="12.2" customHeight="1" x14ac:dyDescent="0.15">
      <c r="A580" s="99" t="s">
        <v>671</v>
      </c>
      <c r="B580" s="75">
        <v>22</v>
      </c>
      <c r="C580" s="75">
        <v>18</v>
      </c>
      <c r="D580" s="2" t="s">
        <v>432</v>
      </c>
      <c r="E580" s="75">
        <v>561</v>
      </c>
      <c r="F580" s="18"/>
      <c r="G580" s="18"/>
      <c r="H580" s="18">
        <f>307483.16</f>
        <v>307483.15999999997</v>
      </c>
      <c r="I580" s="87">
        <f t="shared" si="47"/>
        <v>307483.15999999997</v>
      </c>
      <c r="J580" s="24" t="s">
        <v>288</v>
      </c>
      <c r="K580" s="24" t="s">
        <v>288</v>
      </c>
      <c r="L580" s="24" t="s">
        <v>288</v>
      </c>
      <c r="M580" s="8"/>
      <c r="N580" s="265"/>
    </row>
    <row r="581" spans="1:14" s="3" customFormat="1" ht="12.2" customHeight="1" x14ac:dyDescent="0.15">
      <c r="A581" s="99" t="s">
        <v>672</v>
      </c>
      <c r="B581" s="75">
        <v>22</v>
      </c>
      <c r="C581" s="75">
        <v>19</v>
      </c>
      <c r="D581" s="2" t="s">
        <v>432</v>
      </c>
      <c r="E581" s="75">
        <v>562</v>
      </c>
      <c r="F581" s="18"/>
      <c r="G581" s="18"/>
      <c r="H581" s="18"/>
      <c r="I581" s="87">
        <f t="shared" si="47"/>
        <v>0</v>
      </c>
      <c r="J581" s="24" t="s">
        <v>288</v>
      </c>
      <c r="K581" s="24" t="s">
        <v>288</v>
      </c>
      <c r="L581" s="24" t="s">
        <v>288</v>
      </c>
      <c r="M581" s="8"/>
      <c r="N581" s="265"/>
    </row>
    <row r="582" spans="1:14" s="3" customFormat="1" ht="12.2" customHeight="1" x14ac:dyDescent="0.15">
      <c r="A582" s="146" t="s">
        <v>741</v>
      </c>
      <c r="B582" s="75">
        <v>22</v>
      </c>
      <c r="C582" s="75">
        <v>20</v>
      </c>
      <c r="D582" s="2" t="s">
        <v>432</v>
      </c>
      <c r="E582" s="75">
        <v>563</v>
      </c>
      <c r="F582" s="24" t="s">
        <v>288</v>
      </c>
      <c r="G582" s="24" t="s">
        <v>288</v>
      </c>
      <c r="H582" s="18"/>
      <c r="I582" s="87">
        <f t="shared" si="47"/>
        <v>0</v>
      </c>
      <c r="J582" s="24" t="s">
        <v>288</v>
      </c>
      <c r="K582" s="24" t="s">
        <v>288</v>
      </c>
      <c r="L582" s="24" t="s">
        <v>288</v>
      </c>
      <c r="M582" s="8"/>
      <c r="N582" s="265"/>
    </row>
    <row r="583" spans="1:14" s="3" customFormat="1" ht="12.2" customHeight="1" x14ac:dyDescent="0.15">
      <c r="A583" s="146" t="s">
        <v>673</v>
      </c>
      <c r="B583" s="75">
        <v>22</v>
      </c>
      <c r="C583" s="75">
        <v>21</v>
      </c>
      <c r="D583" s="2" t="s">
        <v>432</v>
      </c>
      <c r="E583" s="75">
        <v>564</v>
      </c>
      <c r="F583" s="18">
        <v>115633.24</v>
      </c>
      <c r="G583" s="18"/>
      <c r="H583" s="18">
        <v>288332.28000000003</v>
      </c>
      <c r="I583" s="87">
        <f t="shared" si="47"/>
        <v>403965.52</v>
      </c>
      <c r="J583" s="24" t="s">
        <v>288</v>
      </c>
      <c r="K583" s="24" t="s">
        <v>288</v>
      </c>
      <c r="L583" s="24" t="s">
        <v>288</v>
      </c>
      <c r="M583" s="8"/>
      <c r="N583" s="265"/>
    </row>
    <row r="584" spans="1:14" s="3" customFormat="1" ht="12.2" customHeight="1" x14ac:dyDescent="0.15">
      <c r="A584" s="146" t="s">
        <v>636</v>
      </c>
      <c r="B584" s="75">
        <v>22</v>
      </c>
      <c r="C584" s="75">
        <v>22</v>
      </c>
      <c r="D584" s="2" t="s">
        <v>432</v>
      </c>
      <c r="E584" s="75">
        <v>569</v>
      </c>
      <c r="F584" s="18"/>
      <c r="G584" s="18"/>
      <c r="H584" s="18"/>
      <c r="I584" s="87">
        <f t="shared" si="47"/>
        <v>0</v>
      </c>
      <c r="J584" s="24" t="s">
        <v>288</v>
      </c>
      <c r="K584" s="24" t="s">
        <v>288</v>
      </c>
      <c r="L584" s="24" t="s">
        <v>288</v>
      </c>
      <c r="M584" s="8"/>
      <c r="N584" s="265"/>
    </row>
    <row r="585" spans="1:14" s="3" customFormat="1" ht="12.2" customHeight="1" x14ac:dyDescent="0.15">
      <c r="A585" s="22" t="s">
        <v>675</v>
      </c>
      <c r="B585" s="75">
        <v>22</v>
      </c>
      <c r="C585" s="75">
        <v>23</v>
      </c>
      <c r="D585" s="2" t="s">
        <v>432</v>
      </c>
      <c r="E585" s="75">
        <v>561</v>
      </c>
      <c r="F585" s="18"/>
      <c r="G585" s="18"/>
      <c r="H585" s="18"/>
      <c r="I585" s="87">
        <f t="shared" si="47"/>
        <v>0</v>
      </c>
      <c r="J585" s="24" t="s">
        <v>288</v>
      </c>
      <c r="K585" s="24" t="s">
        <v>288</v>
      </c>
      <c r="L585" s="24" t="s">
        <v>288</v>
      </c>
      <c r="M585" s="8"/>
      <c r="N585" s="265"/>
    </row>
    <row r="586" spans="1:14" s="3" customFormat="1" ht="12.2" customHeight="1" x14ac:dyDescent="0.15">
      <c r="A586" s="22" t="s">
        <v>676</v>
      </c>
      <c r="B586" s="75">
        <v>22</v>
      </c>
      <c r="C586" s="75">
        <v>24</v>
      </c>
      <c r="D586" s="2" t="s">
        <v>432</v>
      </c>
      <c r="E586" s="75">
        <v>562</v>
      </c>
      <c r="F586" s="18"/>
      <c r="G586" s="18"/>
      <c r="H586" s="18"/>
      <c r="I586" s="87">
        <f t="shared" si="47"/>
        <v>0</v>
      </c>
      <c r="J586" s="24" t="s">
        <v>288</v>
      </c>
      <c r="K586" s="24" t="s">
        <v>288</v>
      </c>
      <c r="L586" s="24" t="s">
        <v>288</v>
      </c>
      <c r="M586" s="8"/>
      <c r="N586" s="265"/>
    </row>
    <row r="587" spans="1:14" s="3" customFormat="1" ht="12.2" customHeight="1" x14ac:dyDescent="0.15">
      <c r="A587" s="22" t="s">
        <v>742</v>
      </c>
      <c r="B587" s="75">
        <v>22</v>
      </c>
      <c r="C587" s="75">
        <v>25</v>
      </c>
      <c r="D587" s="2" t="s">
        <v>432</v>
      </c>
      <c r="E587" s="75">
        <v>563</v>
      </c>
      <c r="F587" s="24" t="s">
        <v>288</v>
      </c>
      <c r="G587" s="24" t="s">
        <v>288</v>
      </c>
      <c r="H587" s="18"/>
      <c r="I587" s="87">
        <f t="shared" si="47"/>
        <v>0</v>
      </c>
      <c r="J587" s="24" t="s">
        <v>288</v>
      </c>
      <c r="K587" s="24" t="s">
        <v>288</v>
      </c>
      <c r="L587" s="24" t="s">
        <v>288</v>
      </c>
      <c r="M587" s="8"/>
      <c r="N587" s="265"/>
    </row>
    <row r="588" spans="1:14" s="3" customFormat="1" ht="12.2" customHeight="1" x14ac:dyDescent="0.15">
      <c r="A588" s="22" t="s">
        <v>677</v>
      </c>
      <c r="B588" s="75">
        <v>22</v>
      </c>
      <c r="C588" s="75">
        <v>26</v>
      </c>
      <c r="D588" s="2" t="s">
        <v>432</v>
      </c>
      <c r="E588" s="75">
        <v>564</v>
      </c>
      <c r="F588" s="18"/>
      <c r="G588" s="18"/>
      <c r="H588" s="18"/>
      <c r="I588" s="87">
        <f t="shared" si="47"/>
        <v>0</v>
      </c>
      <c r="J588" s="24" t="s">
        <v>288</v>
      </c>
      <c r="K588" s="24" t="s">
        <v>288</v>
      </c>
      <c r="L588" s="24" t="s">
        <v>288</v>
      </c>
      <c r="M588" s="8"/>
      <c r="N588" s="265"/>
    </row>
    <row r="589" spans="1:14" s="3" customFormat="1" ht="12.2" customHeight="1" x14ac:dyDescent="0.15">
      <c r="A589" s="173" t="s">
        <v>743</v>
      </c>
      <c r="B589" s="105"/>
      <c r="C589" s="105"/>
      <c r="D589" s="105"/>
      <c r="E589" s="105"/>
      <c r="F589" s="103"/>
      <c r="G589" s="103"/>
      <c r="H589" s="103"/>
      <c r="I589" s="103"/>
      <c r="J589" s="103"/>
      <c r="K589" s="103"/>
      <c r="L589" s="103"/>
      <c r="M589" s="8"/>
      <c r="N589" s="265"/>
    </row>
    <row r="590" spans="1:14" s="3" customFormat="1" ht="12.2" customHeight="1" x14ac:dyDescent="0.15">
      <c r="A590" s="147" t="s">
        <v>654</v>
      </c>
      <c r="B590" s="105"/>
      <c r="C590" s="105"/>
      <c r="D590" s="105"/>
      <c r="E590" s="105"/>
      <c r="F590" s="103"/>
      <c r="G590" s="103"/>
      <c r="H590" s="103"/>
      <c r="I590" s="103"/>
      <c r="J590" s="103"/>
      <c r="K590" s="103"/>
      <c r="L590" s="103"/>
      <c r="M590" s="8"/>
      <c r="N590" s="265"/>
    </row>
    <row r="591" spans="1:14" s="3" customFormat="1" ht="12.2" customHeight="1" x14ac:dyDescent="0.15">
      <c r="A591" s="96" t="s">
        <v>89</v>
      </c>
      <c r="B591" s="105"/>
      <c r="C591" s="105"/>
      <c r="D591" s="105"/>
      <c r="E591" s="105"/>
      <c r="F591" s="103" t="s">
        <v>94</v>
      </c>
      <c r="G591" s="103" t="s">
        <v>95</v>
      </c>
      <c r="H591" s="103" t="s">
        <v>61</v>
      </c>
      <c r="I591" s="103" t="s">
        <v>96</v>
      </c>
      <c r="J591" s="103" t="s">
        <v>62</v>
      </c>
      <c r="K591" s="103" t="s">
        <v>5</v>
      </c>
      <c r="L591" s="103"/>
      <c r="M591" s="8"/>
      <c r="N591" s="265"/>
    </row>
    <row r="592" spans="1:14" s="3" customFormat="1" ht="12.2" customHeight="1" x14ac:dyDescent="0.15">
      <c r="A592" s="3" t="s">
        <v>637</v>
      </c>
      <c r="B592" s="75">
        <v>23</v>
      </c>
      <c r="C592" s="75">
        <v>1</v>
      </c>
      <c r="D592" s="2" t="s">
        <v>432</v>
      </c>
      <c r="E592" s="75"/>
      <c r="F592" s="102">
        <v>2721</v>
      </c>
      <c r="G592" s="103" t="s">
        <v>97</v>
      </c>
      <c r="H592" s="18">
        <v>345640.03</v>
      </c>
      <c r="I592" s="18"/>
      <c r="J592" s="18">
        <v>115213.88</v>
      </c>
      <c r="K592" s="104">
        <f t="shared" ref="K592:K598" si="48">SUM(H592:J592)</f>
        <v>460853.91000000003</v>
      </c>
      <c r="L592" s="24" t="s">
        <v>288</v>
      </c>
      <c r="M592" s="8"/>
      <c r="N592" s="265"/>
    </row>
    <row r="593" spans="1:14" s="3" customFormat="1" ht="12.2" customHeight="1" x14ac:dyDescent="0.15">
      <c r="A593" s="3" t="s">
        <v>638</v>
      </c>
      <c r="B593" s="75">
        <v>23</v>
      </c>
      <c r="C593" s="75">
        <v>2</v>
      </c>
      <c r="D593" s="2" t="s">
        <v>432</v>
      </c>
      <c r="E593" s="75"/>
      <c r="F593" s="102">
        <v>2722</v>
      </c>
      <c r="G593" s="103" t="s">
        <v>97</v>
      </c>
      <c r="H593" s="18">
        <v>91013</v>
      </c>
      <c r="I593" s="18"/>
      <c r="J593" s="18">
        <v>168206</v>
      </c>
      <c r="K593" s="104">
        <f t="shared" si="48"/>
        <v>259219</v>
      </c>
      <c r="L593" s="24" t="s">
        <v>288</v>
      </c>
      <c r="M593" s="8"/>
      <c r="N593" s="265"/>
    </row>
    <row r="594" spans="1:14" s="3" customFormat="1" ht="12.2" customHeight="1" x14ac:dyDescent="0.15">
      <c r="A594" s="3" t="s">
        <v>639</v>
      </c>
      <c r="B594" s="75">
        <v>23</v>
      </c>
      <c r="C594" s="75">
        <v>3</v>
      </c>
      <c r="D594" s="2" t="s">
        <v>432</v>
      </c>
      <c r="E594" s="75"/>
      <c r="F594" s="102">
        <v>2723</v>
      </c>
      <c r="G594" s="103" t="s">
        <v>97</v>
      </c>
      <c r="H594" s="18"/>
      <c r="I594" s="18"/>
      <c r="J594" s="18"/>
      <c r="K594" s="104">
        <f t="shared" si="48"/>
        <v>0</v>
      </c>
      <c r="L594" s="24" t="s">
        <v>288</v>
      </c>
      <c r="M594" s="8"/>
      <c r="N594" s="265"/>
    </row>
    <row r="595" spans="1:14" s="3" customFormat="1" ht="12.2" customHeight="1" x14ac:dyDescent="0.15">
      <c r="A595" s="22" t="s">
        <v>640</v>
      </c>
      <c r="B595" s="75">
        <v>23</v>
      </c>
      <c r="C595" s="75">
        <v>4</v>
      </c>
      <c r="D595" s="2" t="s">
        <v>432</v>
      </c>
      <c r="E595" s="75"/>
      <c r="F595" s="102">
        <v>2724</v>
      </c>
      <c r="G595" s="103" t="s">
        <v>97</v>
      </c>
      <c r="H595" s="18">
        <v>3972.22</v>
      </c>
      <c r="I595" s="18"/>
      <c r="J595" s="18"/>
      <c r="K595" s="104">
        <f t="shared" si="48"/>
        <v>3972.22</v>
      </c>
      <c r="L595" s="24" t="s">
        <v>288</v>
      </c>
      <c r="M595" s="8"/>
      <c r="N595" s="265"/>
    </row>
    <row r="596" spans="1:14" s="3" customFormat="1" ht="12.2" customHeight="1" x14ac:dyDescent="0.15">
      <c r="A596" s="171" t="s">
        <v>652</v>
      </c>
      <c r="B596" s="75">
        <v>23</v>
      </c>
      <c r="C596" s="75">
        <v>5</v>
      </c>
      <c r="D596" s="2" t="s">
        <v>432</v>
      </c>
      <c r="E596" s="75"/>
      <c r="F596" s="102">
        <v>2725</v>
      </c>
      <c r="G596" s="103" t="s">
        <v>97</v>
      </c>
      <c r="H596" s="18">
        <v>3747.57</v>
      </c>
      <c r="I596" s="18"/>
      <c r="J596" s="18"/>
      <c r="K596" s="104">
        <f t="shared" si="48"/>
        <v>3747.57</v>
      </c>
      <c r="L596" s="24" t="s">
        <v>288</v>
      </c>
      <c r="M596" s="8"/>
      <c r="N596" s="265"/>
    </row>
    <row r="597" spans="1:14" s="3" customFormat="1" ht="12.2" customHeight="1" x14ac:dyDescent="0.15">
      <c r="A597" s="22" t="s">
        <v>641</v>
      </c>
      <c r="B597" s="75">
        <v>23</v>
      </c>
      <c r="C597" s="75">
        <v>6</v>
      </c>
      <c r="D597" s="2" t="s">
        <v>432</v>
      </c>
      <c r="E597" s="75"/>
      <c r="F597" s="102">
        <v>2726</v>
      </c>
      <c r="G597" s="103" t="s">
        <v>97</v>
      </c>
      <c r="H597" s="18"/>
      <c r="I597" s="18"/>
      <c r="J597" s="18"/>
      <c r="K597" s="104">
        <f t="shared" si="48"/>
        <v>0</v>
      </c>
      <c r="L597" s="24" t="s">
        <v>288</v>
      </c>
      <c r="M597" s="8"/>
      <c r="N597" s="265"/>
    </row>
    <row r="598" spans="1:14" s="3" customFormat="1" ht="12.2" customHeight="1" thickBot="1" x14ac:dyDescent="0.2">
      <c r="A598" s="3" t="s">
        <v>655</v>
      </c>
      <c r="B598" s="75">
        <v>23</v>
      </c>
      <c r="C598" s="75">
        <v>7</v>
      </c>
      <c r="D598" s="2" t="s">
        <v>432</v>
      </c>
      <c r="E598" s="75"/>
      <c r="F598" s="102">
        <v>2729</v>
      </c>
      <c r="G598" s="103" t="s">
        <v>97</v>
      </c>
      <c r="H598" s="18">
        <v>725.27</v>
      </c>
      <c r="I598" s="18"/>
      <c r="J598" s="18"/>
      <c r="K598" s="104">
        <f t="shared" si="48"/>
        <v>725.27</v>
      </c>
      <c r="L598" s="24" t="s">
        <v>288</v>
      </c>
      <c r="M598" s="8"/>
      <c r="N598" s="265"/>
    </row>
    <row r="599" spans="1:14" s="3" customFormat="1" ht="12.2" customHeight="1" thickTop="1" x14ac:dyDescent="0.15">
      <c r="A599" s="98" t="s">
        <v>340</v>
      </c>
      <c r="B599" s="44">
        <v>23</v>
      </c>
      <c r="C599" s="44">
        <v>8</v>
      </c>
      <c r="D599" s="39" t="s">
        <v>432</v>
      </c>
      <c r="E599" s="44"/>
      <c r="F599" s="148">
        <v>2700</v>
      </c>
      <c r="G599" s="149" t="s">
        <v>97</v>
      </c>
      <c r="H599" s="108">
        <f>SUM(H592:H598)</f>
        <v>445098.09</v>
      </c>
      <c r="I599" s="108">
        <f>SUM(I592:I598)</f>
        <v>0</v>
      </c>
      <c r="J599" s="108">
        <f>SUM(J592:J598)</f>
        <v>283419.88</v>
      </c>
      <c r="K599" s="108">
        <f>SUM(K592:K598)</f>
        <v>728517.97</v>
      </c>
      <c r="L599" s="24" t="s">
        <v>288</v>
      </c>
      <c r="M599" s="8"/>
      <c r="N599" s="265"/>
    </row>
    <row r="600" spans="1:14" s="3" customFormat="1" ht="12.2" customHeight="1" x14ac:dyDescent="0.15">
      <c r="A600" s="22"/>
      <c r="B600" s="105"/>
      <c r="C600" s="105"/>
      <c r="D600" s="105"/>
      <c r="E600" s="105"/>
      <c r="F600" s="103"/>
      <c r="G600" s="103"/>
      <c r="H600" s="103"/>
      <c r="I600" s="103"/>
      <c r="J600" s="103"/>
      <c r="K600" s="103"/>
      <c r="L600" s="103"/>
      <c r="M600" s="8"/>
      <c r="N600" s="265"/>
    </row>
    <row r="601" spans="1:14" s="3" customFormat="1" ht="12.2" customHeight="1" x14ac:dyDescent="0.15">
      <c r="A601" s="96" t="s">
        <v>98</v>
      </c>
      <c r="B601" s="105"/>
      <c r="C601" s="105"/>
      <c r="D601" s="105"/>
      <c r="E601" s="105"/>
      <c r="F601" s="103"/>
      <c r="G601" s="103"/>
      <c r="H601" s="103"/>
      <c r="I601" s="103"/>
      <c r="J601" s="103"/>
      <c r="K601" s="103"/>
      <c r="L601" s="103"/>
      <c r="M601" s="8"/>
      <c r="N601" s="265"/>
    </row>
    <row r="602" spans="1:14" s="3" customFormat="1" ht="12.2" customHeight="1" x14ac:dyDescent="0.15">
      <c r="A602" s="96" t="s">
        <v>89</v>
      </c>
      <c r="B602" s="105"/>
      <c r="C602" s="105"/>
      <c r="D602" s="105"/>
      <c r="E602" s="105"/>
      <c r="F602" s="103" t="s">
        <v>94</v>
      </c>
      <c r="G602" s="103" t="s">
        <v>95</v>
      </c>
      <c r="H602" s="103" t="s">
        <v>61</v>
      </c>
      <c r="I602" s="103" t="s">
        <v>96</v>
      </c>
      <c r="J602" s="103" t="s">
        <v>62</v>
      </c>
      <c r="K602" s="103" t="s">
        <v>5</v>
      </c>
      <c r="L602" s="103"/>
      <c r="M602" s="8"/>
      <c r="N602" s="265"/>
    </row>
    <row r="603" spans="1:14" s="3" customFormat="1" ht="12.2" customHeight="1" x14ac:dyDescent="0.15">
      <c r="A603" s="22" t="s">
        <v>642</v>
      </c>
      <c r="B603" s="105">
        <v>23</v>
      </c>
      <c r="C603" s="105">
        <v>9</v>
      </c>
      <c r="D603" s="2" t="s">
        <v>432</v>
      </c>
      <c r="E603" s="105"/>
      <c r="F603" s="103" t="s">
        <v>476</v>
      </c>
      <c r="G603" s="102">
        <v>710</v>
      </c>
      <c r="H603" s="18"/>
      <c r="I603" s="18"/>
      <c r="J603" s="18"/>
      <c r="K603" s="104">
        <f>SUM(H603:J603)</f>
        <v>0</v>
      </c>
      <c r="L603" s="24" t="s">
        <v>288</v>
      </c>
      <c r="M603" s="8"/>
      <c r="N603" s="265"/>
    </row>
    <row r="604" spans="1:14" s="3" customFormat="1" ht="12.2" customHeight="1" x14ac:dyDescent="0.15">
      <c r="A604" s="22" t="s">
        <v>643</v>
      </c>
      <c r="B604" s="105">
        <v>23</v>
      </c>
      <c r="C604" s="105">
        <v>10</v>
      </c>
      <c r="D604" s="2" t="s">
        <v>432</v>
      </c>
      <c r="E604" s="105"/>
      <c r="F604" s="103" t="s">
        <v>476</v>
      </c>
      <c r="G604" s="102">
        <v>720</v>
      </c>
      <c r="H604" s="18"/>
      <c r="I604" s="18"/>
      <c r="J604" s="18"/>
      <c r="K604" s="104">
        <f>SUM(H604:J604)</f>
        <v>0</v>
      </c>
      <c r="L604" s="24" t="s">
        <v>288</v>
      </c>
      <c r="M604" s="8"/>
      <c r="N604" s="265"/>
    </row>
    <row r="605" spans="1:14" s="3" customFormat="1" ht="12.2" customHeight="1" thickBot="1" x14ac:dyDescent="0.2">
      <c r="A605" s="22" t="s">
        <v>644</v>
      </c>
      <c r="B605" s="105">
        <v>23</v>
      </c>
      <c r="C605" s="105">
        <v>11</v>
      </c>
      <c r="D605" s="2" t="s">
        <v>432</v>
      </c>
      <c r="E605" s="105"/>
      <c r="F605" s="103" t="s">
        <v>476</v>
      </c>
      <c r="G605" s="102">
        <v>730</v>
      </c>
      <c r="H605" s="18">
        <f>2269.96+3594+661.11+5510.61+1053+18612.7+27487.22+917.77+10467.99</f>
        <v>70574.36</v>
      </c>
      <c r="I605" s="18"/>
      <c r="J605" s="18"/>
      <c r="K605" s="104">
        <f>SUM(H605:J605)</f>
        <v>70574.36</v>
      </c>
      <c r="L605" s="24" t="s">
        <v>288</v>
      </c>
      <c r="M605" s="8"/>
      <c r="N605" s="265"/>
    </row>
    <row r="606" spans="1:14" s="3" customFormat="1" ht="12.2" customHeight="1" thickTop="1" x14ac:dyDescent="0.15">
      <c r="A606" s="98" t="s">
        <v>340</v>
      </c>
      <c r="B606" s="44">
        <v>23</v>
      </c>
      <c r="C606" s="44">
        <v>12</v>
      </c>
      <c r="D606" s="39" t="s">
        <v>432</v>
      </c>
      <c r="E606" s="44"/>
      <c r="F606" s="149" t="s">
        <v>476</v>
      </c>
      <c r="G606" s="148">
        <v>700</v>
      </c>
      <c r="H606" s="108">
        <f>SUM(H603:H605)</f>
        <v>70574.36</v>
      </c>
      <c r="I606" s="108">
        <f>SUM(I603:I605)</f>
        <v>0</v>
      </c>
      <c r="J606" s="108">
        <f>SUM(J603:J605)</f>
        <v>0</v>
      </c>
      <c r="K606" s="108">
        <f>SUM(K603:K605)</f>
        <v>70574.36</v>
      </c>
      <c r="L606" s="24" t="s">
        <v>288</v>
      </c>
      <c r="M606" s="8"/>
      <c r="N606" s="265"/>
    </row>
    <row r="607" spans="1:14" s="3" customFormat="1" ht="12.2" customHeight="1" x14ac:dyDescent="0.15">
      <c r="A607" s="22"/>
      <c r="B607" s="105"/>
      <c r="C607" s="105"/>
      <c r="D607" s="105"/>
      <c r="E607" s="105"/>
      <c r="F607" s="103"/>
      <c r="G607" s="103"/>
      <c r="H607" s="103"/>
      <c r="I607" s="103"/>
      <c r="J607" s="103"/>
      <c r="K607" s="103"/>
      <c r="L607" s="88"/>
      <c r="M607" s="8"/>
      <c r="N607" s="265"/>
    </row>
    <row r="608" spans="1:14" s="3" customFormat="1" ht="12.2" customHeight="1" x14ac:dyDescent="0.15">
      <c r="A608" s="96"/>
      <c r="B608" s="105"/>
      <c r="C608" s="105"/>
      <c r="D608" s="105"/>
      <c r="E608" s="105"/>
      <c r="F608" s="103"/>
      <c r="G608" s="103"/>
      <c r="H608" s="103"/>
      <c r="I608" s="103"/>
      <c r="J608" s="103"/>
      <c r="K608" s="103"/>
      <c r="L608" s="88"/>
      <c r="M608" s="8"/>
      <c r="N608" s="265"/>
    </row>
    <row r="609" spans="1:14" s="3" customFormat="1" ht="12.2" customHeight="1" x14ac:dyDescent="0.15">
      <c r="A609" s="96" t="s">
        <v>581</v>
      </c>
      <c r="B609" s="105"/>
      <c r="C609" s="105"/>
      <c r="D609" s="105"/>
      <c r="E609" s="105"/>
      <c r="F609" s="103"/>
      <c r="G609" s="103"/>
      <c r="H609" s="103"/>
      <c r="I609" s="103"/>
      <c r="J609" s="103"/>
      <c r="K609" s="103"/>
      <c r="L609" s="88"/>
      <c r="M609" s="8"/>
      <c r="N609" s="265"/>
    </row>
    <row r="610" spans="1:14" s="3" customFormat="1" ht="12.2" customHeight="1" x14ac:dyDescent="0.15">
      <c r="B610" s="105"/>
      <c r="C610" s="105"/>
      <c r="D610" s="105"/>
      <c r="E610" s="105"/>
      <c r="F610" s="176" t="s">
        <v>689</v>
      </c>
      <c r="G610" s="176" t="s">
        <v>690</v>
      </c>
      <c r="H610" s="176" t="s">
        <v>691</v>
      </c>
      <c r="I610" s="176" t="s">
        <v>692</v>
      </c>
      <c r="J610" s="176" t="s">
        <v>693</v>
      </c>
      <c r="K610" s="176" t="s">
        <v>694</v>
      </c>
      <c r="L610" s="88"/>
      <c r="M610" s="8"/>
      <c r="N610" s="265"/>
    </row>
    <row r="611" spans="1:14" s="3" customFormat="1" ht="12.2" customHeight="1" x14ac:dyDescent="0.15">
      <c r="A611" s="96" t="s">
        <v>89</v>
      </c>
      <c r="B611" s="105"/>
      <c r="C611" s="105"/>
      <c r="D611" s="105"/>
      <c r="E611" s="105"/>
      <c r="F611" s="103" t="s">
        <v>54</v>
      </c>
      <c r="G611" s="103" t="s">
        <v>55</v>
      </c>
      <c r="H611" s="103" t="s">
        <v>56</v>
      </c>
      <c r="I611" s="103" t="s">
        <v>57</v>
      </c>
      <c r="J611" s="103" t="s">
        <v>58</v>
      </c>
      <c r="K611" s="103" t="s">
        <v>59</v>
      </c>
      <c r="L611" s="106" t="s">
        <v>5</v>
      </c>
      <c r="M611" s="8"/>
      <c r="N611" s="265"/>
    </row>
    <row r="612" spans="1:14" s="3" customFormat="1" ht="12.2" customHeight="1" x14ac:dyDescent="0.15">
      <c r="A612" s="22" t="s">
        <v>633</v>
      </c>
      <c r="B612" s="75">
        <v>23</v>
      </c>
      <c r="C612" s="75">
        <v>13</v>
      </c>
      <c r="D612" s="2" t="s">
        <v>432</v>
      </c>
      <c r="E612" s="75"/>
      <c r="F612" s="18">
        <f>24168.75+22163</f>
        <v>46331.75</v>
      </c>
      <c r="G612" s="18">
        <f>5752.64+1695.47</f>
        <v>7448.1100000000006</v>
      </c>
      <c r="H612" s="18"/>
      <c r="I612" s="18"/>
      <c r="J612" s="18"/>
      <c r="K612" s="18"/>
      <c r="L612" s="88">
        <f>SUM(F612:K612)</f>
        <v>53779.86</v>
      </c>
      <c r="M612" s="8"/>
      <c r="N612" s="265"/>
    </row>
    <row r="613" spans="1:14" s="3" customFormat="1" ht="12.2" customHeight="1" x14ac:dyDescent="0.15">
      <c r="A613" s="22" t="s">
        <v>634</v>
      </c>
      <c r="B613" s="75">
        <v>23</v>
      </c>
      <c r="C613" s="75">
        <v>14</v>
      </c>
      <c r="D613" s="2" t="s">
        <v>432</v>
      </c>
      <c r="E613" s="75"/>
      <c r="F613" s="18"/>
      <c r="G613" s="18"/>
      <c r="H613" s="18"/>
      <c r="I613" s="18"/>
      <c r="J613" s="18"/>
      <c r="K613" s="18"/>
      <c r="L613" s="88">
        <f>SUM(F613:K613)</f>
        <v>0</v>
      </c>
      <c r="M613" s="8"/>
      <c r="N613" s="265"/>
    </row>
    <row r="614" spans="1:14" s="3" customFormat="1" ht="12.2" customHeight="1" thickBot="1" x14ac:dyDescent="0.2">
      <c r="A614" s="22" t="s">
        <v>645</v>
      </c>
      <c r="B614" s="75">
        <v>23</v>
      </c>
      <c r="C614" s="75">
        <v>15</v>
      </c>
      <c r="D614" s="2" t="s">
        <v>432</v>
      </c>
      <c r="E614" s="75"/>
      <c r="F614" s="18"/>
      <c r="G614" s="18"/>
      <c r="H614" s="18"/>
      <c r="I614" s="18"/>
      <c r="J614" s="18"/>
      <c r="K614" s="18"/>
      <c r="L614" s="88">
        <f>SUM(F614:K614)</f>
        <v>0</v>
      </c>
      <c r="M614" s="8"/>
      <c r="N614" s="265"/>
    </row>
    <row r="615" spans="1:14" s="3" customFormat="1" ht="12.2" customHeight="1" thickTop="1" x14ac:dyDescent="0.15">
      <c r="A615" s="98" t="s">
        <v>340</v>
      </c>
      <c r="B615" s="107">
        <v>23</v>
      </c>
      <c r="C615" s="107">
        <v>16</v>
      </c>
      <c r="D615" s="39" t="s">
        <v>432</v>
      </c>
      <c r="E615" s="107"/>
      <c r="F615" s="108">
        <f t="shared" ref="F615:L615" si="49">SUM(F612:F614)</f>
        <v>46331.75</v>
      </c>
      <c r="G615" s="108">
        <f t="shared" si="49"/>
        <v>7448.1100000000006</v>
      </c>
      <c r="H615" s="108">
        <f t="shared" si="49"/>
        <v>0</v>
      </c>
      <c r="I615" s="108">
        <f t="shared" si="49"/>
        <v>0</v>
      </c>
      <c r="J615" s="108">
        <f t="shared" si="49"/>
        <v>0</v>
      </c>
      <c r="K615" s="108">
        <f t="shared" si="49"/>
        <v>0</v>
      </c>
      <c r="L615" s="89">
        <f t="shared" si="49"/>
        <v>53779.86</v>
      </c>
      <c r="M615" s="8"/>
    </row>
    <row r="616" spans="1:14" s="3" customFormat="1" ht="12.2" customHeight="1" x14ac:dyDescent="0.15">
      <c r="A616" s="97"/>
      <c r="B616" s="105"/>
      <c r="C616" s="105"/>
      <c r="D616" s="105"/>
      <c r="E616" s="105"/>
      <c r="F616" s="109"/>
      <c r="G616" s="109"/>
      <c r="H616" s="109"/>
      <c r="I616" s="109"/>
      <c r="J616" s="109"/>
      <c r="K616" s="109"/>
      <c r="L616" s="109"/>
      <c r="M616" s="8"/>
    </row>
    <row r="617" spans="1:14" s="3" customFormat="1" ht="12.2" customHeight="1" x14ac:dyDescent="0.15">
      <c r="A617" s="97"/>
      <c r="B617" s="105"/>
      <c r="C617" s="105"/>
      <c r="D617" s="105"/>
      <c r="E617" s="105"/>
      <c r="F617" s="150" t="s">
        <v>53</v>
      </c>
      <c r="G617" s="151"/>
      <c r="H617" s="151"/>
      <c r="I617" s="150" t="s">
        <v>53</v>
      </c>
      <c r="J617" s="109"/>
      <c r="K617" s="109"/>
      <c r="L617" s="109"/>
      <c r="M617" s="8"/>
    </row>
    <row r="618" spans="1:14" s="3" customFormat="1" ht="12.2" customHeight="1" x14ac:dyDescent="0.15">
      <c r="A618" s="97" t="s">
        <v>99</v>
      </c>
      <c r="B618" s="105"/>
      <c r="C618" s="105"/>
      <c r="D618" s="105"/>
      <c r="E618" s="105"/>
      <c r="F618" s="121" t="s">
        <v>683</v>
      </c>
      <c r="G618" s="109">
        <f>SUM(F19)</f>
        <v>597494.63</v>
      </c>
      <c r="H618" s="109">
        <f>SUM(F52)</f>
        <v>597494.63000000012</v>
      </c>
      <c r="I618" s="121" t="s">
        <v>875</v>
      </c>
      <c r="J618" s="109">
        <f>G618-H618</f>
        <v>0</v>
      </c>
      <c r="K618" s="109"/>
      <c r="L618" s="109"/>
      <c r="M618" s="8"/>
    </row>
    <row r="619" spans="1:14" s="3" customFormat="1" ht="12.2" customHeight="1" x14ac:dyDescent="0.15">
      <c r="A619" s="97" t="s">
        <v>100</v>
      </c>
      <c r="B619" s="105"/>
      <c r="C619" s="105"/>
      <c r="D619" s="105"/>
      <c r="E619" s="105"/>
      <c r="F619" s="121" t="s">
        <v>684</v>
      </c>
      <c r="G619" s="109">
        <f>SUM(G19)</f>
        <v>69023.14</v>
      </c>
      <c r="H619" s="109">
        <f>SUM(G52)</f>
        <v>69023.140000000014</v>
      </c>
      <c r="I619" s="121" t="s">
        <v>876</v>
      </c>
      <c r="J619" s="109">
        <f>G619-H619</f>
        <v>0</v>
      </c>
      <c r="K619" s="109"/>
      <c r="L619" s="109"/>
      <c r="M619" s="8"/>
    </row>
    <row r="620" spans="1:14" s="3" customFormat="1" ht="12.2" customHeight="1" x14ac:dyDescent="0.15">
      <c r="A620" s="97"/>
      <c r="B620" s="105"/>
      <c r="C620" s="105"/>
      <c r="D620" s="105"/>
      <c r="E620" s="105"/>
      <c r="F620" s="121" t="s">
        <v>685</v>
      </c>
      <c r="G620" s="109">
        <f>SUM(H19)</f>
        <v>66701.19</v>
      </c>
      <c r="H620" s="109">
        <f>SUM(H52)</f>
        <v>66701.19</v>
      </c>
      <c r="I620" s="121" t="s">
        <v>877</v>
      </c>
      <c r="J620" s="109">
        <f>G620-H620</f>
        <v>0</v>
      </c>
      <c r="K620" s="109"/>
      <c r="L620" s="109"/>
      <c r="M620" s="8"/>
    </row>
    <row r="621" spans="1:14" s="3" customFormat="1" ht="12.2" customHeight="1" x14ac:dyDescent="0.15">
      <c r="A621" s="97"/>
      <c r="B621" s="105"/>
      <c r="C621" s="105"/>
      <c r="D621" s="105"/>
      <c r="E621" s="105"/>
      <c r="F621" s="121" t="s">
        <v>686</v>
      </c>
      <c r="G621" s="109">
        <f>SUM(I19)</f>
        <v>0</v>
      </c>
      <c r="H621" s="109">
        <f>SUM(I52)</f>
        <v>0</v>
      </c>
      <c r="I621" s="121" t="s">
        <v>878</v>
      </c>
      <c r="J621" s="109">
        <f>G621-H621</f>
        <v>0</v>
      </c>
      <c r="K621" s="109"/>
      <c r="L621" s="109"/>
      <c r="M621" s="8"/>
    </row>
    <row r="622" spans="1:14" s="3" customFormat="1" ht="12.2" customHeight="1" x14ac:dyDescent="0.15">
      <c r="A622" s="97"/>
      <c r="B622" s="105"/>
      <c r="C622" s="105"/>
      <c r="D622" s="105"/>
      <c r="E622" s="105"/>
      <c r="F622" s="121" t="s">
        <v>687</v>
      </c>
      <c r="G622" s="109">
        <f>SUM(J19)</f>
        <v>655538.05000000005</v>
      </c>
      <c r="H622" s="109">
        <f>SUM(J52)</f>
        <v>655538.05000000005</v>
      </c>
      <c r="I622" s="121" t="s">
        <v>879</v>
      </c>
      <c r="J622" s="109">
        <f>G622-H622</f>
        <v>0</v>
      </c>
      <c r="K622" s="109"/>
      <c r="L622" s="109"/>
      <c r="M622" s="8"/>
    </row>
    <row r="623" spans="1:14" s="3" customFormat="1" ht="12.2" customHeight="1" x14ac:dyDescent="0.15">
      <c r="A623" s="97"/>
      <c r="B623" s="105"/>
      <c r="C623" s="105"/>
      <c r="D623" s="105"/>
      <c r="E623" s="105"/>
      <c r="F623" s="121" t="s">
        <v>865</v>
      </c>
      <c r="G623" s="109">
        <f>F51</f>
        <v>426867.17000000004</v>
      </c>
      <c r="H623" s="109">
        <f>F477</f>
        <v>426867.16999999993</v>
      </c>
      <c r="I623" s="121" t="s">
        <v>101</v>
      </c>
      <c r="J623" s="109">
        <f t="shared" ref="J623:J656" si="50">G623-H623</f>
        <v>0</v>
      </c>
      <c r="K623" s="109"/>
      <c r="L623" s="109"/>
      <c r="M623" s="8"/>
    </row>
    <row r="624" spans="1:14" s="3" customFormat="1" ht="12.2" customHeight="1" x14ac:dyDescent="0.15">
      <c r="A624" s="97"/>
      <c r="B624" s="105"/>
      <c r="C624" s="119"/>
      <c r="D624" s="119"/>
      <c r="E624" s="119"/>
      <c r="F624" s="119" t="s">
        <v>866</v>
      </c>
      <c r="G624" s="109">
        <f>G51</f>
        <v>66834.45</v>
      </c>
      <c r="H624" s="109">
        <f>G477</f>
        <v>66834.450000000012</v>
      </c>
      <c r="I624" s="121" t="s">
        <v>102</v>
      </c>
      <c r="J624" s="109">
        <f t="shared" si="50"/>
        <v>0</v>
      </c>
      <c r="K624" s="109"/>
      <c r="L624" s="109"/>
      <c r="M624" s="8"/>
    </row>
    <row r="625" spans="1:13" s="3" customFormat="1" ht="12.2" customHeight="1" x14ac:dyDescent="0.15">
      <c r="A625" s="97"/>
      <c r="B625" s="105"/>
      <c r="C625" s="105"/>
      <c r="D625" s="105"/>
      <c r="E625" s="105"/>
      <c r="F625" s="120" t="s">
        <v>867</v>
      </c>
      <c r="G625" s="109">
        <f>H51</f>
        <v>0</v>
      </c>
      <c r="H625" s="109">
        <f>H477</f>
        <v>0</v>
      </c>
      <c r="I625" s="121" t="s">
        <v>103</v>
      </c>
      <c r="J625" s="109">
        <f t="shared" si="50"/>
        <v>0</v>
      </c>
      <c r="K625" s="109"/>
      <c r="L625" s="109"/>
      <c r="M625" s="8"/>
    </row>
    <row r="626" spans="1:13" s="3" customFormat="1" ht="12.2" customHeight="1" x14ac:dyDescent="0.15">
      <c r="A626" s="97"/>
      <c r="B626" s="105"/>
      <c r="C626" s="105"/>
      <c r="D626" s="105"/>
      <c r="E626" s="105"/>
      <c r="F626" s="120" t="s">
        <v>868</v>
      </c>
      <c r="G626" s="109">
        <f>I51</f>
        <v>0</v>
      </c>
      <c r="H626" s="109">
        <f>I477</f>
        <v>0</v>
      </c>
      <c r="I626" s="121" t="s">
        <v>104</v>
      </c>
      <c r="J626" s="109">
        <f t="shared" si="50"/>
        <v>0</v>
      </c>
      <c r="K626" s="109"/>
      <c r="L626" s="109"/>
      <c r="M626" s="8"/>
    </row>
    <row r="627" spans="1:13" s="3" customFormat="1" ht="12.2" customHeight="1" x14ac:dyDescent="0.15">
      <c r="A627" s="22"/>
      <c r="B627" s="105"/>
      <c r="C627" s="105"/>
      <c r="D627" s="105"/>
      <c r="E627" s="105"/>
      <c r="F627" s="120" t="s">
        <v>869</v>
      </c>
      <c r="G627" s="109">
        <f>J51</f>
        <v>655538.05000000005</v>
      </c>
      <c r="H627" s="109">
        <f>J477</f>
        <v>655538.05000000005</v>
      </c>
      <c r="I627" s="140" t="s">
        <v>105</v>
      </c>
      <c r="J627" s="109">
        <f t="shared" si="50"/>
        <v>0</v>
      </c>
      <c r="K627" s="85"/>
      <c r="L627" s="88"/>
      <c r="M627" s="8"/>
    </row>
    <row r="628" spans="1:13" s="3" customFormat="1" ht="12.2" customHeight="1" x14ac:dyDescent="0.15">
      <c r="A628" s="22"/>
      <c r="B628" s="105"/>
      <c r="C628" s="105"/>
      <c r="D628" s="105"/>
      <c r="E628" s="105"/>
      <c r="F628" s="120" t="s">
        <v>658</v>
      </c>
      <c r="G628" s="109">
        <f>F194</f>
        <v>11300840.270000001</v>
      </c>
      <c r="H628" s="104">
        <f>SUM(F469)</f>
        <v>11300840.27</v>
      </c>
      <c r="I628" s="140" t="s">
        <v>106</v>
      </c>
      <c r="J628" s="109">
        <f>G628-H628</f>
        <v>0</v>
      </c>
      <c r="K628" s="85"/>
      <c r="L628" s="88"/>
      <c r="M628" s="8"/>
    </row>
    <row r="629" spans="1:13" s="3" customFormat="1" ht="12.2" customHeight="1" x14ac:dyDescent="0.15">
      <c r="A629" s="22"/>
      <c r="B629" s="105"/>
      <c r="C629" s="105"/>
      <c r="D629" s="105"/>
      <c r="E629" s="105"/>
      <c r="F629" s="120" t="s">
        <v>659</v>
      </c>
      <c r="G629" s="109">
        <f>G194</f>
        <v>287785.45</v>
      </c>
      <c r="H629" s="104">
        <f>SUM(G469)</f>
        <v>287785.45</v>
      </c>
      <c r="I629" s="140" t="s">
        <v>107</v>
      </c>
      <c r="J629" s="109">
        <f>G629-H629</f>
        <v>0</v>
      </c>
      <c r="K629" s="85"/>
      <c r="L629" s="88"/>
      <c r="M629" s="8"/>
    </row>
    <row r="630" spans="1:13" s="3" customFormat="1" ht="12.2" customHeight="1" x14ac:dyDescent="0.15">
      <c r="A630" s="22"/>
      <c r="B630" s="105"/>
      <c r="C630" s="105"/>
      <c r="D630" s="105"/>
      <c r="E630" s="105"/>
      <c r="F630" s="120" t="s">
        <v>660</v>
      </c>
      <c r="G630" s="109">
        <f>H194</f>
        <v>341390.89</v>
      </c>
      <c r="H630" s="104">
        <f>SUM(H469)</f>
        <v>341390.89</v>
      </c>
      <c r="I630" s="140" t="s">
        <v>108</v>
      </c>
      <c r="J630" s="109">
        <f>G630-H630</f>
        <v>0</v>
      </c>
      <c r="K630" s="85"/>
      <c r="L630" s="88"/>
      <c r="M630" s="8"/>
    </row>
    <row r="631" spans="1:13" s="3" customFormat="1" ht="12.2" customHeight="1" x14ac:dyDescent="0.15">
      <c r="A631" s="22"/>
      <c r="B631" s="105"/>
      <c r="C631" s="105"/>
      <c r="D631" s="105"/>
      <c r="E631" s="105"/>
      <c r="F631" s="120" t="s">
        <v>661</v>
      </c>
      <c r="G631" s="109">
        <f>I194</f>
        <v>0</v>
      </c>
      <c r="H631" s="104">
        <f>SUM(I469)</f>
        <v>0</v>
      </c>
      <c r="I631" s="140" t="s">
        <v>109</v>
      </c>
      <c r="J631" s="109">
        <f>G631-H631</f>
        <v>0</v>
      </c>
      <c r="K631" s="85"/>
      <c r="L631" s="88"/>
      <c r="M631" s="8"/>
    </row>
    <row r="632" spans="1:13" s="3" customFormat="1" ht="12.2" customHeight="1" x14ac:dyDescent="0.15">
      <c r="A632" s="22"/>
      <c r="B632" s="105"/>
      <c r="C632" s="105"/>
      <c r="D632" s="105"/>
      <c r="E632" s="105"/>
      <c r="F632" s="120" t="s">
        <v>662</v>
      </c>
      <c r="G632" s="109">
        <f>J194</f>
        <v>101007.85</v>
      </c>
      <c r="H632" s="104">
        <f>SUM(J469)</f>
        <v>101007.85</v>
      </c>
      <c r="I632" s="140" t="s">
        <v>110</v>
      </c>
      <c r="J632" s="109">
        <f>G632-H632</f>
        <v>0</v>
      </c>
      <c r="K632" s="85"/>
      <c r="L632" s="88"/>
      <c r="M632" s="8"/>
    </row>
    <row r="633" spans="1:13" s="3" customFormat="1" ht="12.2" customHeight="1" x14ac:dyDescent="0.15">
      <c r="A633" s="22"/>
      <c r="B633" s="105"/>
      <c r="C633" s="105"/>
      <c r="D633" s="105"/>
      <c r="E633" s="105"/>
      <c r="F633" s="120" t="s">
        <v>394</v>
      </c>
      <c r="G633" s="109">
        <f>SUM(L272)</f>
        <v>11596740.419999998</v>
      </c>
      <c r="H633" s="104">
        <f>SUM(F473)</f>
        <v>11596740.42</v>
      </c>
      <c r="I633" s="140" t="s">
        <v>111</v>
      </c>
      <c r="J633" s="109">
        <f t="shared" si="50"/>
        <v>0</v>
      </c>
      <c r="K633" s="85"/>
      <c r="L633" s="88"/>
      <c r="M633" s="8"/>
    </row>
    <row r="634" spans="1:13" s="3" customFormat="1" ht="12.2" customHeight="1" x14ac:dyDescent="0.15">
      <c r="A634" s="22"/>
      <c r="B634" s="105"/>
      <c r="C634" s="105"/>
      <c r="D634" s="105"/>
      <c r="E634" s="105"/>
      <c r="F634" s="120" t="s">
        <v>395</v>
      </c>
      <c r="G634" s="109">
        <f>SUM(L353)</f>
        <v>341390.89</v>
      </c>
      <c r="H634" s="104">
        <f>SUM(H473)</f>
        <v>341390.89</v>
      </c>
      <c r="I634" s="140" t="s">
        <v>112</v>
      </c>
      <c r="J634" s="109">
        <f>G634-H634</f>
        <v>0</v>
      </c>
      <c r="K634" s="85"/>
      <c r="L634" s="88"/>
      <c r="M634" s="8"/>
    </row>
    <row r="635" spans="1:13" s="169" customFormat="1" ht="12.2" customHeight="1" x14ac:dyDescent="0.15">
      <c r="A635" s="22"/>
      <c r="B635" s="105"/>
      <c r="C635" s="105"/>
      <c r="D635" s="105"/>
      <c r="E635" s="105"/>
      <c r="F635" s="142" t="s">
        <v>247</v>
      </c>
      <c r="G635" s="109">
        <f>I363</f>
        <v>-1631</v>
      </c>
      <c r="H635" s="104">
        <f>I370</f>
        <v>-1631</v>
      </c>
      <c r="I635" s="143" t="s">
        <v>248</v>
      </c>
      <c r="J635" s="109">
        <f>G635-H635</f>
        <v>0</v>
      </c>
      <c r="K635" s="85"/>
      <c r="L635" s="88"/>
      <c r="M635" s="168"/>
    </row>
    <row r="636" spans="1:13" s="169" customFormat="1" ht="12.2" customHeight="1" x14ac:dyDescent="0.15">
      <c r="A636" s="22"/>
      <c r="B636" s="105"/>
      <c r="C636" s="105"/>
      <c r="D636" s="105"/>
      <c r="E636" s="105"/>
      <c r="F636" s="120" t="s">
        <v>113</v>
      </c>
      <c r="G636" s="109">
        <f>SUM(L363)</f>
        <v>226006</v>
      </c>
      <c r="H636" s="104">
        <f>SUM(G473)</f>
        <v>226006</v>
      </c>
      <c r="I636" s="140" t="s">
        <v>114</v>
      </c>
      <c r="J636" s="109">
        <f t="shared" si="50"/>
        <v>0</v>
      </c>
      <c r="K636" s="85"/>
      <c r="L636" s="88"/>
      <c r="M636" s="168"/>
    </row>
    <row r="637" spans="1:13" s="3" customFormat="1" ht="12.2" customHeight="1" x14ac:dyDescent="0.15">
      <c r="A637" s="22"/>
      <c r="B637" s="105"/>
      <c r="C637" s="105"/>
      <c r="D637" s="105"/>
      <c r="E637" s="105"/>
      <c r="F637" s="120" t="s">
        <v>115</v>
      </c>
      <c r="G637" s="109">
        <f>SUM(L383)</f>
        <v>0</v>
      </c>
      <c r="H637" s="104">
        <f>SUM(I473)</f>
        <v>0</v>
      </c>
      <c r="I637" s="140" t="s">
        <v>116</v>
      </c>
      <c r="J637" s="109">
        <f t="shared" si="50"/>
        <v>0</v>
      </c>
      <c r="K637" s="85"/>
      <c r="L637" s="88"/>
      <c r="M637" s="8"/>
    </row>
    <row r="638" spans="1:13" s="3" customFormat="1" ht="12.2" customHeight="1" x14ac:dyDescent="0.15">
      <c r="A638" s="161"/>
      <c r="B638" s="162"/>
      <c r="C638" s="162"/>
      <c r="D638" s="162"/>
      <c r="E638" s="162"/>
      <c r="F638" s="163" t="s">
        <v>477</v>
      </c>
      <c r="G638" s="151">
        <f>SUM(L409)</f>
        <v>101007.84999999999</v>
      </c>
      <c r="H638" s="164">
        <f>SUM(J469)</f>
        <v>101007.85</v>
      </c>
      <c r="I638" s="165" t="s">
        <v>110</v>
      </c>
      <c r="J638" s="151">
        <f t="shared" si="50"/>
        <v>0</v>
      </c>
      <c r="K638" s="166"/>
      <c r="L638" s="167"/>
      <c r="M638" s="8"/>
    </row>
    <row r="639" spans="1:13" s="3" customFormat="1" ht="12.2" customHeight="1" x14ac:dyDescent="0.15">
      <c r="A639" s="161"/>
      <c r="B639" s="162"/>
      <c r="C639" s="162"/>
      <c r="D639" s="162"/>
      <c r="E639" s="162"/>
      <c r="F639" s="163" t="s">
        <v>478</v>
      </c>
      <c r="G639" s="151">
        <f>SUM(L435)</f>
        <v>328182.09999999998</v>
      </c>
      <c r="H639" s="164">
        <f>SUM(J473)</f>
        <v>328182.09999999998</v>
      </c>
      <c r="I639" s="165" t="s">
        <v>117</v>
      </c>
      <c r="J639" s="151">
        <f t="shared" si="50"/>
        <v>0</v>
      </c>
      <c r="K639" s="166"/>
      <c r="L639" s="167"/>
      <c r="M639" s="8"/>
    </row>
    <row r="640" spans="1:13" s="3" customFormat="1" ht="12.2" customHeight="1" x14ac:dyDescent="0.15">
      <c r="A640" s="22"/>
      <c r="B640" s="105"/>
      <c r="C640" s="105"/>
      <c r="D640" s="105"/>
      <c r="E640" s="105"/>
      <c r="F640" s="120" t="s">
        <v>118</v>
      </c>
      <c r="G640" s="109">
        <f>SUM(F447)</f>
        <v>0</v>
      </c>
      <c r="H640" s="104">
        <f>SUM(F462)</f>
        <v>0</v>
      </c>
      <c r="I640" s="140" t="s">
        <v>841</v>
      </c>
      <c r="J640" s="109">
        <f t="shared" si="50"/>
        <v>0</v>
      </c>
      <c r="K640" s="85"/>
      <c r="L640" s="88"/>
      <c r="M640" s="8"/>
    </row>
    <row r="641" spans="1:13" s="3" customFormat="1" ht="12.2" customHeight="1" x14ac:dyDescent="0.15">
      <c r="A641" s="22"/>
      <c r="B641" s="105"/>
      <c r="C641" s="105"/>
      <c r="D641" s="105"/>
      <c r="E641" s="105"/>
      <c r="F641" s="120" t="s">
        <v>119</v>
      </c>
      <c r="G641" s="109">
        <f>SUM(G447)</f>
        <v>644698.92000000004</v>
      </c>
      <c r="H641" s="104">
        <f>SUM(G462)</f>
        <v>644698.92000000004</v>
      </c>
      <c r="I641" s="140" t="s">
        <v>842</v>
      </c>
      <c r="J641" s="109">
        <f t="shared" si="50"/>
        <v>0</v>
      </c>
      <c r="K641" s="85"/>
      <c r="L641" s="88"/>
      <c r="M641" s="8"/>
    </row>
    <row r="642" spans="1:13" s="3" customFormat="1" ht="12.2" customHeight="1" x14ac:dyDescent="0.15">
      <c r="A642" s="22"/>
      <c r="B642" s="105"/>
      <c r="C642" s="105"/>
      <c r="D642" s="105"/>
      <c r="E642" s="105"/>
      <c r="F642" s="120" t="s">
        <v>120</v>
      </c>
      <c r="G642" s="109">
        <f>SUM(H447)</f>
        <v>10839.13</v>
      </c>
      <c r="H642" s="104">
        <f>SUM(H462)</f>
        <v>10839.13</v>
      </c>
      <c r="I642" s="140" t="s">
        <v>843</v>
      </c>
      <c r="J642" s="109">
        <f t="shared" si="50"/>
        <v>0</v>
      </c>
      <c r="K642" s="85"/>
      <c r="L642" s="88"/>
      <c r="M642" s="8"/>
    </row>
    <row r="643" spans="1:13" s="3" customFormat="1" ht="12.2" customHeight="1" x14ac:dyDescent="0.15">
      <c r="A643" s="22"/>
      <c r="B643" s="105"/>
      <c r="C643" s="105"/>
      <c r="D643" s="105"/>
      <c r="E643" s="105"/>
      <c r="F643" s="120" t="s">
        <v>121</v>
      </c>
      <c r="G643" s="109">
        <f>SUM(I447)</f>
        <v>655538.05000000005</v>
      </c>
      <c r="H643" s="104">
        <f>SUM(I462)</f>
        <v>655538.05000000005</v>
      </c>
      <c r="I643" s="140" t="s">
        <v>844</v>
      </c>
      <c r="J643" s="109">
        <f t="shared" si="50"/>
        <v>0</v>
      </c>
      <c r="K643" s="85"/>
      <c r="L643" s="88"/>
      <c r="M643" s="8"/>
    </row>
    <row r="644" spans="1:13" s="3" customFormat="1" ht="12.2" customHeight="1" x14ac:dyDescent="0.15">
      <c r="A644" s="22"/>
      <c r="B644" s="105"/>
      <c r="C644" s="105"/>
      <c r="D644" s="105"/>
      <c r="E644" s="105"/>
      <c r="F644" s="120" t="s">
        <v>249</v>
      </c>
      <c r="G644" s="109">
        <f>J57</f>
        <v>0</v>
      </c>
      <c r="H644" s="104">
        <f>F409</f>
        <v>0</v>
      </c>
      <c r="I644" s="140" t="s">
        <v>479</v>
      </c>
      <c r="J644" s="109">
        <f t="shared" si="50"/>
        <v>0</v>
      </c>
      <c r="K644" s="85"/>
      <c r="L644" s="88"/>
      <c r="M644" s="8"/>
    </row>
    <row r="645" spans="1:13" s="3" customFormat="1" ht="12.2" customHeight="1" x14ac:dyDescent="0.15">
      <c r="A645" s="22"/>
      <c r="B645" s="105"/>
      <c r="C645" s="105"/>
      <c r="D645" s="105"/>
      <c r="E645" s="105"/>
      <c r="F645" s="120" t="s">
        <v>663</v>
      </c>
      <c r="G645" s="109">
        <f>J96</f>
        <v>1007.85</v>
      </c>
      <c r="H645" s="104">
        <f>H409</f>
        <v>1007.8499999999999</v>
      </c>
      <c r="I645" s="140" t="s">
        <v>480</v>
      </c>
      <c r="J645" s="109">
        <f t="shared" si="50"/>
        <v>0</v>
      </c>
      <c r="K645" s="85"/>
      <c r="L645" s="88"/>
      <c r="M645" s="8"/>
    </row>
    <row r="646" spans="1:13" s="3" customFormat="1" ht="12.2" customHeight="1" x14ac:dyDescent="0.15">
      <c r="A646" s="22"/>
      <c r="B646" s="105"/>
      <c r="C646" s="105"/>
      <c r="D646" s="105"/>
      <c r="E646" s="105"/>
      <c r="F646" s="120" t="s">
        <v>664</v>
      </c>
      <c r="G646" s="109">
        <f>J184</f>
        <v>100000</v>
      </c>
      <c r="H646" s="104">
        <f>G409</f>
        <v>100000</v>
      </c>
      <c r="I646" s="140" t="s">
        <v>481</v>
      </c>
      <c r="J646" s="109">
        <f t="shared" si="50"/>
        <v>0</v>
      </c>
      <c r="K646" s="85"/>
      <c r="L646" s="88"/>
      <c r="M646" s="8"/>
    </row>
    <row r="647" spans="1:13" s="3" customFormat="1" ht="12.2" customHeight="1" x14ac:dyDescent="0.15">
      <c r="A647" s="22"/>
      <c r="B647" s="105"/>
      <c r="C647" s="105"/>
      <c r="D647" s="105"/>
      <c r="E647" s="105"/>
      <c r="F647" s="120" t="s">
        <v>662</v>
      </c>
      <c r="G647" s="109">
        <f>J194</f>
        <v>101007.85</v>
      </c>
      <c r="H647" s="104">
        <f>L409</f>
        <v>101007.84999999999</v>
      </c>
      <c r="I647" s="140" t="s">
        <v>477</v>
      </c>
      <c r="J647" s="109">
        <f t="shared" si="50"/>
        <v>0</v>
      </c>
      <c r="K647" s="85"/>
      <c r="L647" s="88"/>
      <c r="M647" s="8"/>
    </row>
    <row r="648" spans="1:13" s="3" customFormat="1" ht="12.2" customHeight="1" x14ac:dyDescent="0.15">
      <c r="A648" s="22"/>
      <c r="B648" s="105"/>
      <c r="C648" s="105"/>
      <c r="D648" s="105"/>
      <c r="E648" s="105"/>
      <c r="F648" s="120" t="s">
        <v>51</v>
      </c>
      <c r="G648" s="109">
        <f>K599</f>
        <v>728517.97</v>
      </c>
      <c r="H648" s="104">
        <f>L209+L227+L245</f>
        <v>728517.97</v>
      </c>
      <c r="I648" s="140" t="s">
        <v>396</v>
      </c>
      <c r="J648" s="109">
        <f t="shared" si="50"/>
        <v>0</v>
      </c>
      <c r="K648" s="85"/>
      <c r="L648" s="88"/>
      <c r="M648" s="8"/>
    </row>
    <row r="649" spans="1:13" s="3" customFormat="1" ht="12.2" customHeight="1" x14ac:dyDescent="0.15">
      <c r="A649" s="22"/>
      <c r="B649" s="105"/>
      <c r="C649" s="105"/>
      <c r="D649" s="105"/>
      <c r="E649" s="105"/>
      <c r="F649" s="120" t="s">
        <v>52</v>
      </c>
      <c r="G649" s="109">
        <f>K606</f>
        <v>70574.36</v>
      </c>
      <c r="H649" s="104">
        <f>(J258+J339)-(J256+J337)</f>
        <v>70574.36</v>
      </c>
      <c r="I649" s="140" t="s">
        <v>699</v>
      </c>
      <c r="J649" s="109">
        <f t="shared" si="50"/>
        <v>0</v>
      </c>
      <c r="K649" s="85"/>
      <c r="L649" s="88"/>
      <c r="M649" s="8"/>
    </row>
    <row r="650" spans="1:13" s="3" customFormat="1" ht="12.2" customHeight="1" x14ac:dyDescent="0.15">
      <c r="A650" s="22"/>
      <c r="B650" s="105"/>
      <c r="C650" s="105"/>
      <c r="D650" s="105"/>
      <c r="E650" s="105"/>
      <c r="F650" s="120" t="s">
        <v>387</v>
      </c>
      <c r="G650" s="109">
        <f>L209</f>
        <v>445098.09</v>
      </c>
      <c r="H650" s="104">
        <f>H599</f>
        <v>445098.09</v>
      </c>
      <c r="I650" s="140" t="s">
        <v>388</v>
      </c>
      <c r="J650" s="109">
        <f t="shared" si="50"/>
        <v>0</v>
      </c>
      <c r="K650" s="85"/>
      <c r="L650" s="88"/>
      <c r="M650" s="8"/>
    </row>
    <row r="651" spans="1:13" s="3" customFormat="1" ht="12.2" customHeight="1" x14ac:dyDescent="0.15">
      <c r="A651" s="22"/>
      <c r="B651" s="105"/>
      <c r="C651" s="105"/>
      <c r="D651" s="105"/>
      <c r="E651" s="105"/>
      <c r="F651" s="120" t="s">
        <v>392</v>
      </c>
      <c r="G651" s="109">
        <f>L227</f>
        <v>0</v>
      </c>
      <c r="H651" s="104">
        <f>I599</f>
        <v>0</v>
      </c>
      <c r="I651" s="140" t="s">
        <v>389</v>
      </c>
      <c r="J651" s="109">
        <f t="shared" si="50"/>
        <v>0</v>
      </c>
      <c r="K651" s="85"/>
      <c r="L651" s="88"/>
      <c r="M651" s="8"/>
    </row>
    <row r="652" spans="1:13" s="3" customFormat="1" ht="12.2" customHeight="1" x14ac:dyDescent="0.15">
      <c r="A652" s="22"/>
      <c r="B652" s="105"/>
      <c r="C652" s="105"/>
      <c r="D652" s="105"/>
      <c r="E652" s="105"/>
      <c r="F652" s="120" t="s">
        <v>393</v>
      </c>
      <c r="G652" s="109">
        <f>L245</f>
        <v>283419.88</v>
      </c>
      <c r="H652" s="104">
        <f>J599</f>
        <v>283419.88</v>
      </c>
      <c r="I652" s="140" t="s">
        <v>390</v>
      </c>
      <c r="J652" s="109">
        <f t="shared" si="50"/>
        <v>0</v>
      </c>
      <c r="K652" s="85"/>
      <c r="L652" s="88"/>
      <c r="M652" s="8"/>
    </row>
    <row r="653" spans="1:13" s="3" customFormat="1" ht="12.2" customHeight="1" x14ac:dyDescent="0.15">
      <c r="A653" s="22"/>
      <c r="B653" s="105"/>
      <c r="C653" s="105"/>
      <c r="D653" s="105"/>
      <c r="E653" s="105"/>
      <c r="F653" s="120" t="s">
        <v>665</v>
      </c>
      <c r="G653" s="109">
        <f>G180+G182</f>
        <v>0</v>
      </c>
      <c r="H653" s="104">
        <f>K264+K346</f>
        <v>0</v>
      </c>
      <c r="I653" s="140" t="s">
        <v>397</v>
      </c>
      <c r="J653" s="109">
        <f t="shared" si="50"/>
        <v>0</v>
      </c>
      <c r="K653" s="85"/>
      <c r="L653" s="88"/>
      <c r="M653" s="8"/>
    </row>
    <row r="654" spans="1:13" s="3" customFormat="1" ht="12.2" customHeight="1" x14ac:dyDescent="0.15">
      <c r="A654" s="22"/>
      <c r="B654" s="105"/>
      <c r="C654" s="105"/>
      <c r="D654" s="105"/>
      <c r="E654" s="105"/>
      <c r="F654" s="120" t="s">
        <v>666</v>
      </c>
      <c r="G654" s="109">
        <f>H180</f>
        <v>0</v>
      </c>
      <c r="H654" s="104">
        <f>K265</f>
        <v>0</v>
      </c>
      <c r="I654" s="140" t="s">
        <v>398</v>
      </c>
      <c r="J654" s="109">
        <f t="shared" si="50"/>
        <v>0</v>
      </c>
      <c r="K654" s="85"/>
      <c r="L654" s="88"/>
      <c r="M654" s="8"/>
    </row>
    <row r="655" spans="1:13" s="3" customFormat="1" ht="12.2" customHeight="1" x14ac:dyDescent="0.15">
      <c r="A655" s="22"/>
      <c r="B655" s="105"/>
      <c r="C655" s="105"/>
      <c r="D655" s="105"/>
      <c r="E655" s="105"/>
      <c r="F655" s="120" t="s">
        <v>667</v>
      </c>
      <c r="G655" s="109">
        <f>I180+I182</f>
        <v>0</v>
      </c>
      <c r="H655" s="104">
        <f>K266+K347</f>
        <v>0</v>
      </c>
      <c r="I655" s="140" t="s">
        <v>399</v>
      </c>
      <c r="J655" s="109">
        <f t="shared" si="50"/>
        <v>0</v>
      </c>
      <c r="K655" s="85"/>
      <c r="L655" s="88"/>
      <c r="M655" s="8"/>
    </row>
    <row r="656" spans="1:13" s="3" customFormat="1" ht="12.2" customHeight="1" x14ac:dyDescent="0.15">
      <c r="A656" s="22"/>
      <c r="B656" s="105"/>
      <c r="C656" s="105"/>
      <c r="D656" s="105"/>
      <c r="E656" s="105"/>
      <c r="F656" s="120" t="s">
        <v>668</v>
      </c>
      <c r="G656" s="109">
        <f>J180+J182</f>
        <v>100000</v>
      </c>
      <c r="H656" s="104">
        <f>K267+K348</f>
        <v>100000</v>
      </c>
      <c r="I656" s="140" t="s">
        <v>400</v>
      </c>
      <c r="J656" s="109">
        <f t="shared" si="50"/>
        <v>0</v>
      </c>
      <c r="K656" s="85"/>
      <c r="L656" s="88"/>
      <c r="M656" s="9"/>
    </row>
    <row r="657" spans="1:13" s="3" customFormat="1" ht="12.2" customHeight="1" x14ac:dyDescent="0.15">
      <c r="A657" s="127"/>
      <c r="B657" s="127"/>
      <c r="C657" s="127"/>
      <c r="D657" s="127"/>
      <c r="E657" s="127"/>
      <c r="F657" s="26" t="s">
        <v>122</v>
      </c>
      <c r="G657" s="19"/>
      <c r="H657" s="104">
        <f>SUM(G618:G656)-SUM(H618:H656)</f>
        <v>0</v>
      </c>
      <c r="I657" s="19"/>
      <c r="J657" s="19"/>
      <c r="K657" s="13"/>
      <c r="L657" s="13"/>
      <c r="M657" s="9"/>
    </row>
    <row r="658" spans="1:13" s="3" customFormat="1" ht="12.2" customHeight="1" x14ac:dyDescent="0.15">
      <c r="F658" s="17"/>
      <c r="G658" s="13"/>
      <c r="H658" s="13"/>
      <c r="I658" s="13"/>
      <c r="J658" s="13"/>
      <c r="K658" s="13"/>
      <c r="L658" s="13"/>
      <c r="M658" s="9"/>
    </row>
    <row r="659" spans="1:13" s="3" customFormat="1" ht="12.2" customHeight="1" x14ac:dyDescent="0.15">
      <c r="A659" s="29" t="s">
        <v>123</v>
      </c>
      <c r="F659" s="25" t="s">
        <v>124</v>
      </c>
      <c r="G659" s="25" t="s">
        <v>125</v>
      </c>
      <c r="H659" s="25" t="s">
        <v>367</v>
      </c>
      <c r="I659" s="25" t="s">
        <v>340</v>
      </c>
      <c r="J659" s="13"/>
      <c r="K659" s="13"/>
      <c r="L659" s="13"/>
      <c r="M659" s="9"/>
    </row>
    <row r="660" spans="1:13" s="3" customFormat="1" ht="12.2" customHeight="1" x14ac:dyDescent="0.15">
      <c r="A660" s="327" t="s">
        <v>1633</v>
      </c>
      <c r="F660" s="14" t="s">
        <v>286</v>
      </c>
      <c r="G660" s="13"/>
      <c r="H660" s="13"/>
      <c r="I660" s="13"/>
      <c r="J660" s="13"/>
      <c r="K660" s="13"/>
      <c r="L660" s="13"/>
      <c r="M660" s="9"/>
    </row>
    <row r="661" spans="1:13" s="3" customFormat="1" ht="12.2" customHeight="1" x14ac:dyDescent="0.15">
      <c r="A661" s="1" t="s">
        <v>126</v>
      </c>
      <c r="F661" s="19">
        <f>(L212+L291+L359)</f>
        <v>7540546.7599999998</v>
      </c>
      <c r="G661" s="19">
        <f>(L230+L310+L360)</f>
        <v>0</v>
      </c>
      <c r="H661" s="19">
        <f>(L248+L329+L361)</f>
        <v>4475606.8499999996</v>
      </c>
      <c r="I661" s="19">
        <f>SUM(F661:H661)</f>
        <v>12016153.609999999</v>
      </c>
      <c r="J661" s="13"/>
      <c r="K661" s="13"/>
      <c r="L661" s="13"/>
      <c r="M661" s="9"/>
    </row>
    <row r="662" spans="1:13" s="3" customFormat="1" ht="12.2" customHeight="1" x14ac:dyDescent="0.2">
      <c r="A662" s="1" t="s">
        <v>127</v>
      </c>
      <c r="F662" s="19">
        <f>(L359/IF(SUM(L359:L361)=0,1,SUM(L359:L361))*(SUM(G97:G110)))</f>
        <v>9305.2900000000009</v>
      </c>
      <c r="G662" s="19">
        <f>(L360/IF(SUM(L359:L361)=0,1,SUM(L359:L361))*(SUM(G97:G110)))</f>
        <v>0</v>
      </c>
      <c r="H662" s="19">
        <f>(L361/IF(SUM(L359:L361)=0,1,SUM(L359:L361))*(SUM(G97:G110)))</f>
        <v>0</v>
      </c>
      <c r="I662" s="19">
        <f>SUM(F662:H662)</f>
        <v>9305.2900000000009</v>
      </c>
      <c r="J662"/>
      <c r="K662" s="13"/>
      <c r="L662" s="13"/>
      <c r="M662" s="8"/>
    </row>
    <row r="663" spans="1:13" s="3" customFormat="1" ht="12.2" customHeight="1" x14ac:dyDescent="0.2">
      <c r="A663" s="1" t="s">
        <v>128</v>
      </c>
      <c r="F663" s="19">
        <f>(L209+L288)-(J209+J288)</f>
        <v>453866.97000000003</v>
      </c>
      <c r="G663" s="19">
        <f>(L227+L307)-(J227+J307)</f>
        <v>0</v>
      </c>
      <c r="H663" s="19">
        <f>(L245+L326)-(J245+J326)</f>
        <v>283419.88</v>
      </c>
      <c r="I663" s="19">
        <f>SUM(F663:H663)</f>
        <v>737286.85000000009</v>
      </c>
      <c r="J663"/>
      <c r="K663" s="13"/>
      <c r="L663" s="13"/>
      <c r="M663" s="9"/>
    </row>
    <row r="664" spans="1:13" s="3" customFormat="1" ht="12.2" customHeight="1" x14ac:dyDescent="0.15">
      <c r="A664" s="197" t="s">
        <v>129</v>
      </c>
      <c r="B664" s="169"/>
      <c r="C664" s="169"/>
      <c r="D664" s="169"/>
      <c r="E664" s="169"/>
      <c r="F664" s="198">
        <f>SUM(F576:F588)+SUM(H603:H605)+SUM(L612)</f>
        <v>239987.46000000002</v>
      </c>
      <c r="G664" s="198">
        <f>SUM(G576:G588)+SUM(I603:I605)+L613</f>
        <v>0</v>
      </c>
      <c r="H664" s="198">
        <f>SUM(H576:H588)+SUM(J603:J605)+L614</f>
        <v>4133877.99</v>
      </c>
      <c r="I664" s="19">
        <f>SUM(F664:H664)</f>
        <v>4373865.45</v>
      </c>
      <c r="J664" s="13"/>
      <c r="K664" s="13"/>
      <c r="L664" s="13"/>
      <c r="M664" s="9"/>
    </row>
    <row r="665" spans="1:13" s="3" customFormat="1" ht="12.2" customHeight="1" x14ac:dyDescent="0.15">
      <c r="A665" s="1" t="s">
        <v>130</v>
      </c>
      <c r="F665" s="19">
        <f>F661-SUM(F662:F664)</f>
        <v>6837387.04</v>
      </c>
      <c r="G665" s="19">
        <f>G661-SUM(G662:G664)</f>
        <v>0</v>
      </c>
      <c r="H665" s="19">
        <f>H661-SUM(H662:H664)</f>
        <v>58308.979999999516</v>
      </c>
      <c r="I665" s="19">
        <f>I661-SUM(I662:I664)</f>
        <v>6895696.0199999996</v>
      </c>
      <c r="J665" s="13"/>
      <c r="K665" s="13"/>
      <c r="L665" s="13"/>
      <c r="M665" s="8"/>
    </row>
    <row r="666" spans="1:13" s="3" customFormat="1" ht="12.2" customHeight="1" x14ac:dyDescent="0.2">
      <c r="A666" s="1" t="s">
        <v>131</v>
      </c>
      <c r="F666" s="245">
        <v>369.55</v>
      </c>
      <c r="G666" s="246"/>
      <c r="H666" s="246"/>
      <c r="I666" s="19">
        <f>SUM(F666:H666)</f>
        <v>369.55</v>
      </c>
      <c r="J666" s="13"/>
      <c r="K666" s="13"/>
      <c r="L666" s="13"/>
      <c r="M666" s="10"/>
    </row>
    <row r="667" spans="1:13" s="3" customFormat="1" ht="12.2" customHeight="1" x14ac:dyDescent="0.15">
      <c r="A667" s="1" t="s">
        <v>132</v>
      </c>
      <c r="F667" s="13"/>
      <c r="G667" s="13"/>
      <c r="H667" s="13"/>
      <c r="I667" s="13"/>
      <c r="J667" s="13"/>
      <c r="K667" s="13"/>
      <c r="L667" s="13"/>
      <c r="M667" s="9"/>
    </row>
    <row r="668" spans="1:13" s="3" customFormat="1" ht="12.2" customHeight="1" x14ac:dyDescent="0.15">
      <c r="A668" s="29" t="s">
        <v>133</v>
      </c>
      <c r="F668" s="19">
        <f>ROUND(F665/F666,2)</f>
        <v>18501.93</v>
      </c>
      <c r="G668" s="19" t="e">
        <f>ROUND(G665/G666,2)</f>
        <v>#DIV/0!</v>
      </c>
      <c r="H668" s="19" t="e">
        <f>ROUND(H665/H666,2)</f>
        <v>#DIV/0!</v>
      </c>
      <c r="I668" s="19">
        <f>ROUND(I665/I666,2)</f>
        <v>18659.71</v>
      </c>
      <c r="J668" s="13"/>
      <c r="K668" s="13"/>
      <c r="L668" s="13"/>
      <c r="M668" s="9"/>
    </row>
    <row r="669" spans="1:13" s="3" customFormat="1" ht="12.2" customHeight="1" x14ac:dyDescent="0.15">
      <c r="F669" s="13"/>
      <c r="G669" s="13"/>
      <c r="H669" s="13"/>
      <c r="I669" s="13"/>
      <c r="J669" s="13"/>
      <c r="K669" s="13"/>
      <c r="L669" s="13"/>
      <c r="M669" s="9"/>
    </row>
    <row r="670" spans="1:13" s="3" customFormat="1" ht="12.2" customHeight="1" x14ac:dyDescent="0.15">
      <c r="A670" s="1" t="s">
        <v>134</v>
      </c>
      <c r="F670" s="18"/>
      <c r="G670" s="18"/>
      <c r="H670" s="18">
        <v>-58308.98</v>
      </c>
      <c r="I670" s="19">
        <f>SUM(F670:H670)</f>
        <v>-58308.98</v>
      </c>
      <c r="J670" s="13"/>
      <c r="K670" s="13"/>
      <c r="L670" s="13"/>
      <c r="M670" s="9"/>
    </row>
    <row r="671" spans="1:13" s="3" customFormat="1" ht="12.2" customHeight="1" x14ac:dyDescent="0.15">
      <c r="A671" s="1" t="s">
        <v>135</v>
      </c>
      <c r="F671" s="18"/>
      <c r="G671" s="18"/>
      <c r="H671" s="18"/>
      <c r="I671" s="19">
        <f>SUM(F671:H671)</f>
        <v>0</v>
      </c>
      <c r="J671" s="13"/>
      <c r="K671" s="13"/>
      <c r="L671" s="13"/>
      <c r="M671" s="9"/>
    </row>
    <row r="672" spans="1:13" s="3" customFormat="1" ht="12.2" customHeight="1" x14ac:dyDescent="0.15">
      <c r="F672" s="13"/>
      <c r="G672" s="13"/>
      <c r="H672" s="13"/>
      <c r="I672" s="13"/>
      <c r="J672" s="13"/>
      <c r="K672" s="13"/>
      <c r="L672" s="13"/>
    </row>
    <row r="673" spans="1:12" s="3" customFormat="1" ht="12.2" customHeight="1" x14ac:dyDescent="0.15">
      <c r="A673" s="1" t="s">
        <v>136</v>
      </c>
      <c r="B673" s="2" t="s">
        <v>137</v>
      </c>
      <c r="C673" s="2" t="s">
        <v>290</v>
      </c>
      <c r="D673" s="2"/>
      <c r="E673" s="2"/>
      <c r="F673" s="19">
        <f>ROUND((F665+F670)/(F666+F671),2)</f>
        <v>18501.93</v>
      </c>
      <c r="G673" s="19" t="e">
        <f>ROUND((G665+G670)/(G666+G671),2)</f>
        <v>#DIV/0!</v>
      </c>
      <c r="H673" s="19" t="e">
        <f>ROUND((H665+H670)/(H666+H671),2)</f>
        <v>#DIV/0!</v>
      </c>
      <c r="I673" s="19">
        <f>ROUND((I665+I670)/(I666+I671),2)</f>
        <v>18501.93</v>
      </c>
      <c r="J673" s="13"/>
      <c r="K673" s="13"/>
      <c r="L673" s="13"/>
    </row>
    <row r="674" spans="1:12" s="3" customFormat="1" ht="12.2" customHeight="1" x14ac:dyDescent="0.15">
      <c r="C674" s="7"/>
      <c r="D674" s="7"/>
      <c r="E674" s="7"/>
      <c r="F674" s="13"/>
      <c r="G674" s="13"/>
      <c r="H674" s="13"/>
      <c r="I674" s="13"/>
      <c r="J674" s="13"/>
      <c r="K674" s="13"/>
      <c r="L674" s="13"/>
    </row>
    <row r="675" spans="1:12" ht="12.2" customHeight="1" x14ac:dyDescent="0.2">
      <c r="A675" s="3"/>
      <c r="B675" s="3"/>
      <c r="C675" s="3"/>
      <c r="D675" s="3"/>
      <c r="E675" s="3"/>
      <c r="F675" s="13"/>
      <c r="G675" s="13"/>
      <c r="H675" s="13"/>
      <c r="I675" s="13"/>
      <c r="J675" s="13"/>
      <c r="K675" s="13"/>
      <c r="L675" s="13"/>
    </row>
    <row r="676" spans="1:12" ht="12.2" customHeight="1" x14ac:dyDescent="0.2">
      <c r="A676" s="3"/>
      <c r="B676" s="3"/>
      <c r="C676" s="3"/>
      <c r="D676" s="3"/>
      <c r="E676" s="3"/>
      <c r="F676" s="13"/>
      <c r="G676" s="13"/>
      <c r="H676" s="13"/>
      <c r="I676" s="13"/>
      <c r="J676" s="13"/>
      <c r="K676" s="13"/>
      <c r="L676" s="13"/>
    </row>
    <row r="677" spans="1:12" ht="12.2" customHeight="1" x14ac:dyDescent="0.2">
      <c r="A677" s="3"/>
      <c r="B677" s="3"/>
      <c r="C677" s="3"/>
      <c r="D677" s="3"/>
      <c r="E677" s="3"/>
      <c r="F677" s="13"/>
      <c r="G677" s="13"/>
      <c r="H677" s="13"/>
      <c r="I677" s="13"/>
      <c r="J677" s="13"/>
      <c r="K677" s="13"/>
      <c r="L677" s="13"/>
    </row>
  </sheetData>
  <sheetProtection algorithmName="SHA-512" hashValue="XwT28aCUKCGzBg0RDbiY41aUq7WQ4pUW4oXpOdXQ1fiKfwiF1xPjHg2i4cUrC0Iwt2/xZFSA55E8p774xGvrcw==" saltValue="sdJRDAcrQEk/jijfW34fmw==" spinCount="100000" sheet="1" objects="1" scenarios="1"/>
  <dataConsolidate link="1"/>
  <phoneticPr fontId="0" type="noConversion"/>
  <conditionalFormatting sqref="H657 J618:J656">
    <cfRule type="cellIs" dxfId="17" priority="3" stopIfTrue="1" operator="notEqual">
      <formula>0</formula>
    </cfRule>
  </conditionalFormatting>
  <conditionalFormatting sqref="J618:J656">
    <cfRule type="cellIs" dxfId="16" priority="1" operator="lessThan">
      <formula>0</formula>
    </cfRule>
    <cfRule type="cellIs" dxfId="15" priority="2" stopIfTrue="1" operator="greaterThan">
      <formula>0</formula>
    </cfRule>
  </conditionalFormatting>
  <printOptions gridLines="1" gridLinesSet="0"/>
  <pageMargins left="0.3" right="0.3" top="0.75" bottom="0.5" header="0.5" footer="0.5"/>
  <pageSetup scale="85" orientation="landscape" r:id="rId1"/>
  <headerFooter alignWithMargins="0">
    <oddHeader xml:space="preserve">&amp;CDOE 25 for 2021-2022
</oddHeader>
    <oddFooter>&amp;L&amp;F&amp;CPage &amp;P&amp;R&amp;D&amp;T</oddFooter>
  </headerFooter>
  <rowBreaks count="24" manualBreakCount="24">
    <brk id="52" max="16383" man="1"/>
    <brk id="79" max="11" man="1"/>
    <brk id="112" max="11" man="1"/>
    <brk id="140" max="9" man="1"/>
    <brk id="170" max="9" man="1"/>
    <brk id="194" max="9" man="1"/>
    <brk id="212" max="9" man="1"/>
    <brk id="230" max="9" man="1"/>
    <brk id="248" max="9" man="1"/>
    <brk id="272" max="9" man="1"/>
    <brk id="291" max="9" man="1"/>
    <brk id="310" max="9" man="1"/>
    <brk id="329" max="9" man="1"/>
    <brk id="353" max="11" man="1"/>
    <brk id="383" max="11" man="1"/>
    <brk id="409" max="11" man="1"/>
    <brk id="435" max="11" man="1"/>
    <brk id="462" max="11" man="1"/>
    <brk id="486" max="11" man="1"/>
    <brk id="518" max="9" man="1"/>
    <brk id="553" max="11" man="1"/>
    <brk id="589" max="11" man="1"/>
    <brk id="616" max="9" man="1"/>
    <brk id="657" max="9" man="1"/>
  </rowBreaks>
  <ignoredErrors>
    <ignoredError sqref="F2:L2" numberStoredAsText="1"/>
  </ignoredErrors>
  <legacyDrawing r:id="rId2"/>
  <extLst>
    <ext xmlns:x14="http://schemas.microsoft.com/office/spreadsheetml/2009/9/main" uri="{CCE6A557-97BC-4b89-ADB6-D9C93CAAB3DF}">
      <x14:dataValidations xmlns:xm="http://schemas.microsoft.com/office/excel/2006/main" count="1">
        <x14:dataValidation type="list" allowBlank="1" showInputMessage="1" showErrorMessage="1" xr:uid="{00000000-0002-0000-0000-000000000000}">
          <x14:formula1>
            <xm:f>'School Tables'!$AJ$3:$AJ$208</xm:f>
          </x14:formula1>
          <xm:sqref>A2</xm:sqref>
        </x14:dataValidation>
      </x14:dataValidations>
    </ext>
  </extLst>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100-000000000000}">
  <sheetPr>
    <tabColor theme="5" tint="0.39997558519241921"/>
    <pageSetUpPr fitToPage="1"/>
  </sheetPr>
  <dimension ref="B2:H33"/>
  <sheetViews>
    <sheetView zoomScaleNormal="100" workbookViewId="0">
      <selection activeCell="E14" sqref="E14"/>
    </sheetView>
  </sheetViews>
  <sheetFormatPr defaultColWidth="9.33203125" defaultRowHeight="15" x14ac:dyDescent="0.25"/>
  <cols>
    <col min="1" max="2" width="9.33203125" style="335"/>
    <col min="3" max="3" width="154.5" style="335" customWidth="1"/>
    <col min="4" max="4" width="9.33203125" style="335"/>
    <col min="5" max="5" width="14.1640625" style="335" customWidth="1"/>
    <col min="6" max="6" width="13.1640625" style="335" customWidth="1"/>
    <col min="7" max="7" width="9.33203125" style="335"/>
    <col min="8" max="8" width="23.33203125" style="335" customWidth="1"/>
    <col min="9" max="9" width="14.33203125" style="335" customWidth="1"/>
    <col min="10" max="16384" width="9.33203125" style="335"/>
  </cols>
  <sheetData>
    <row r="2" spans="2:8" x14ac:dyDescent="0.25">
      <c r="C2" s="372" t="s">
        <v>1643</v>
      </c>
      <c r="D2" s="372"/>
      <c r="E2" s="372"/>
    </row>
    <row r="3" spans="2:8" x14ac:dyDescent="0.25">
      <c r="C3" s="343"/>
    </row>
    <row r="5" spans="2:8" x14ac:dyDescent="0.25">
      <c r="B5" s="346" t="s">
        <v>647</v>
      </c>
      <c r="C5" s="346"/>
      <c r="D5" s="346" t="s">
        <v>1626</v>
      </c>
      <c r="E5" s="347" t="s">
        <v>1627</v>
      </c>
      <c r="F5" s="348"/>
    </row>
    <row r="6" spans="2:8" x14ac:dyDescent="0.25">
      <c r="B6" s="348"/>
      <c r="C6" s="348"/>
      <c r="D6" s="348"/>
      <c r="E6" s="348"/>
      <c r="F6" s="348"/>
    </row>
    <row r="7" spans="2:8" x14ac:dyDescent="0.25">
      <c r="B7" s="348"/>
      <c r="C7" s="346" t="s">
        <v>1636</v>
      </c>
      <c r="D7" s="348"/>
      <c r="E7" s="351">
        <f>'DOE25'!H155</f>
        <v>8768.5400000000009</v>
      </c>
      <c r="F7" s="346" t="s">
        <v>5</v>
      </c>
      <c r="H7" s="345" t="str">
        <f>IF(SUM(E9:E17)=E7,"","ERROR: Sum of the 5 sub-totals do not equal total reported to the left!")</f>
        <v/>
      </c>
    </row>
    <row r="8" spans="2:8" x14ac:dyDescent="0.25">
      <c r="B8" s="348"/>
      <c r="C8" s="348"/>
      <c r="D8" s="348"/>
      <c r="E8" s="348"/>
      <c r="F8" s="348"/>
    </row>
    <row r="9" spans="2:8" x14ac:dyDescent="0.25">
      <c r="B9" s="348"/>
      <c r="C9" s="349" t="s">
        <v>1637</v>
      </c>
      <c r="D9" s="349" t="s">
        <v>1650</v>
      </c>
      <c r="E9" s="336">
        <v>2484.19</v>
      </c>
      <c r="F9" s="349" t="s">
        <v>1644</v>
      </c>
    </row>
    <row r="10" spans="2:8" x14ac:dyDescent="0.25">
      <c r="B10" s="348"/>
      <c r="C10" s="348"/>
      <c r="D10" s="348"/>
      <c r="E10" s="348"/>
      <c r="F10" s="348"/>
    </row>
    <row r="11" spans="2:8" x14ac:dyDescent="0.25">
      <c r="B11" s="348"/>
      <c r="C11" s="352" t="s">
        <v>1648</v>
      </c>
      <c r="D11" s="349" t="s">
        <v>1651</v>
      </c>
      <c r="E11" s="336"/>
      <c r="F11" s="349" t="s">
        <v>1645</v>
      </c>
    </row>
    <row r="12" spans="2:8" x14ac:dyDescent="0.25">
      <c r="B12" s="348"/>
      <c r="C12" s="348"/>
      <c r="D12" s="349"/>
      <c r="E12" s="348"/>
      <c r="F12" s="348"/>
    </row>
    <row r="13" spans="2:8" x14ac:dyDescent="0.25">
      <c r="B13" s="348"/>
      <c r="C13" s="349" t="s">
        <v>1638</v>
      </c>
      <c r="D13" s="349" t="s">
        <v>1652</v>
      </c>
      <c r="E13" s="336">
        <v>6284.35</v>
      </c>
      <c r="F13" s="349" t="s">
        <v>1646</v>
      </c>
    </row>
    <row r="14" spans="2:8" x14ac:dyDescent="0.25">
      <c r="B14" s="348"/>
      <c r="C14" s="348"/>
      <c r="D14" s="349"/>
      <c r="E14" s="348"/>
      <c r="F14" s="348"/>
    </row>
    <row r="15" spans="2:8" x14ac:dyDescent="0.25">
      <c r="B15" s="348"/>
      <c r="C15" s="349" t="s">
        <v>1640</v>
      </c>
      <c r="D15" s="349" t="s">
        <v>1653</v>
      </c>
      <c r="E15" s="336"/>
      <c r="F15" s="349" t="s">
        <v>1647</v>
      </c>
    </row>
    <row r="16" spans="2:8" x14ac:dyDescent="0.25">
      <c r="B16" s="348"/>
      <c r="C16" s="348"/>
      <c r="D16" s="348"/>
      <c r="E16" s="348"/>
      <c r="F16" s="348"/>
    </row>
    <row r="17" spans="2:8" x14ac:dyDescent="0.25">
      <c r="B17" s="348"/>
      <c r="C17" s="349" t="s">
        <v>1639</v>
      </c>
      <c r="D17" s="349" t="s">
        <v>1654</v>
      </c>
      <c r="E17" s="336"/>
      <c r="F17" s="352" t="s">
        <v>1649</v>
      </c>
    </row>
    <row r="18" spans="2:8" x14ac:dyDescent="0.25">
      <c r="B18" s="348"/>
      <c r="C18" s="348"/>
      <c r="D18" s="348"/>
      <c r="E18" s="348"/>
      <c r="F18" s="348"/>
    </row>
    <row r="20" spans="2:8" x14ac:dyDescent="0.25">
      <c r="B20" s="346" t="s">
        <v>1641</v>
      </c>
      <c r="C20" s="346"/>
      <c r="D20" s="346" t="s">
        <v>1626</v>
      </c>
      <c r="E20" s="347" t="s">
        <v>1627</v>
      </c>
      <c r="F20" s="348"/>
    </row>
    <row r="21" spans="2:8" x14ac:dyDescent="0.25">
      <c r="B21" s="348"/>
      <c r="C21" s="348"/>
      <c r="D21" s="348"/>
      <c r="E21" s="348"/>
      <c r="F21" s="348"/>
    </row>
    <row r="22" spans="2:8" ht="18" customHeight="1" x14ac:dyDescent="0.25">
      <c r="B22" s="348"/>
      <c r="C22" s="350" t="s">
        <v>1642</v>
      </c>
      <c r="D22" s="349" t="s">
        <v>1655</v>
      </c>
      <c r="E22" s="336"/>
      <c r="F22" s="348"/>
    </row>
    <row r="23" spans="2:8" x14ac:dyDescent="0.25">
      <c r="B23" s="348"/>
      <c r="C23" s="348"/>
      <c r="D23" s="348"/>
      <c r="E23" s="348"/>
      <c r="F23" s="348"/>
    </row>
    <row r="24" spans="2:8" ht="26.25" customHeight="1" x14ac:dyDescent="0.25"/>
    <row r="26" spans="2:8" ht="27.75" customHeight="1" x14ac:dyDescent="0.25">
      <c r="C26" s="371"/>
    </row>
    <row r="28" spans="2:8" ht="15.75" customHeight="1" x14ac:dyDescent="0.25"/>
    <row r="30" spans="2:8" ht="16.5" customHeight="1" x14ac:dyDescent="0.25"/>
    <row r="31" spans="2:8" x14ac:dyDescent="0.25">
      <c r="H31" s="345"/>
    </row>
    <row r="33" spans="2:3" x14ac:dyDescent="0.25">
      <c r="B33" s="342"/>
      <c r="C33" s="344"/>
    </row>
  </sheetData>
  <sheetProtection algorithmName="SHA-512" hashValue="DSGKr7QoFNKWwiTiYioGFN3RBMGBTqxLeNp+187cTdqEhDOIiUgfPBW1KlNrptFcFikaHQvg/oRbaEIWyes2LQ==" saltValue="m30lxziDuX22OYHQNsTmGA==" spinCount="100000" sheet="1" objects="1" scenarios="1"/>
  <mergeCells count="1">
    <mergeCell ref="C2:E2"/>
  </mergeCells>
  <pageMargins left="0.7" right="0.7" top="0.75" bottom="0.75" header="0.3" footer="0.3"/>
  <pageSetup scale="64" orientation="landscape" r:id="rId1"/>
  <headerFooter>
    <oddHeader>&amp;CNon-Title 1 ESEA
FY2021-2022</oddHeader>
    <oddFooter>&amp;CPage &amp;P of &amp;N</oddFooter>
  </headerFooter>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200-000000000000}">
  <sheetPr>
    <tabColor rgb="FF92D050"/>
  </sheetPr>
  <dimension ref="A1:I36"/>
  <sheetViews>
    <sheetView zoomScaleNormal="100" workbookViewId="0">
      <selection activeCell="B3" sqref="B3"/>
    </sheetView>
  </sheetViews>
  <sheetFormatPr defaultRowHeight="11.25" x14ac:dyDescent="0.2"/>
  <cols>
    <col min="1" max="1" width="66" bestFit="1" customWidth="1"/>
    <col min="2" max="2" width="23.1640625" customWidth="1"/>
    <col min="6" max="6" width="46.6640625" customWidth="1"/>
    <col min="9" max="9" width="8.1640625" hidden="1" customWidth="1"/>
  </cols>
  <sheetData>
    <row r="1" spans="1:9" ht="15" x14ac:dyDescent="0.2">
      <c r="A1" s="373" t="s">
        <v>1567</v>
      </c>
      <c r="B1" s="373"/>
      <c r="C1" s="373"/>
      <c r="D1" s="373"/>
      <c r="E1" s="373"/>
      <c r="F1" s="373"/>
      <c r="G1" s="373"/>
      <c r="H1" s="373"/>
    </row>
    <row r="2" spans="1:9" ht="15" x14ac:dyDescent="0.2">
      <c r="A2" s="373" t="s">
        <v>1632</v>
      </c>
      <c r="B2" s="373"/>
      <c r="C2" s="373"/>
      <c r="D2" s="373"/>
      <c r="E2" s="373"/>
      <c r="F2" s="373"/>
      <c r="G2" s="373"/>
      <c r="H2" s="373"/>
    </row>
    <row r="3" spans="1:9" ht="15.75" x14ac:dyDescent="0.25">
      <c r="A3" s="316" t="s">
        <v>1581</v>
      </c>
      <c r="B3" s="317" t="s">
        <v>1613</v>
      </c>
      <c r="C3" s="315"/>
      <c r="D3" s="315"/>
      <c r="E3" s="315"/>
      <c r="F3" s="315"/>
      <c r="G3" s="315"/>
      <c r="H3" s="315"/>
      <c r="I3" t="s">
        <v>1613</v>
      </c>
    </row>
    <row r="4" spans="1:9" x14ac:dyDescent="0.2">
      <c r="I4" t="s">
        <v>1614</v>
      </c>
    </row>
    <row r="5" spans="1:9" ht="15.75" x14ac:dyDescent="0.25">
      <c r="A5" s="311" t="s">
        <v>908</v>
      </c>
      <c r="B5" s="374" t="str">
        <f>'DOE25'!A2</f>
        <v>Fremont</v>
      </c>
      <c r="C5" s="375"/>
      <c r="D5" s="375"/>
      <c r="E5" s="375"/>
      <c r="F5" s="375"/>
    </row>
    <row r="8" spans="1:9" ht="18" x14ac:dyDescent="0.25">
      <c r="A8" s="312" t="s">
        <v>1568</v>
      </c>
      <c r="F8" s="319" t="s">
        <v>1586</v>
      </c>
    </row>
    <row r="9" spans="1:9" ht="15" x14ac:dyDescent="0.2">
      <c r="A9" s="310" t="s">
        <v>1569</v>
      </c>
      <c r="B9" s="313">
        <f>'DOE25'!G97</f>
        <v>9305.2900000000009</v>
      </c>
      <c r="F9" s="310" t="s">
        <v>1582</v>
      </c>
    </row>
    <row r="10" spans="1:9" ht="15" x14ac:dyDescent="0.2">
      <c r="A10" s="310" t="s">
        <v>1570</v>
      </c>
      <c r="B10" s="313">
        <f>'DOE25'!G112-'DOE25'!G97</f>
        <v>0</v>
      </c>
      <c r="F10" s="310" t="s">
        <v>1583</v>
      </c>
    </row>
    <row r="11" spans="1:9" ht="15" x14ac:dyDescent="0.2">
      <c r="A11" s="310" t="s">
        <v>1571</v>
      </c>
      <c r="B11" s="313">
        <f>'DOE25'!G140</f>
        <v>1039.53</v>
      </c>
      <c r="F11" s="310" t="s">
        <v>1584</v>
      </c>
    </row>
    <row r="12" spans="1:9" ht="15" x14ac:dyDescent="0.2">
      <c r="A12" s="310" t="s">
        <v>1572</v>
      </c>
      <c r="B12" s="313">
        <f>'DOE25'!G170</f>
        <v>277440.63</v>
      </c>
      <c r="F12" s="310" t="s">
        <v>1585</v>
      </c>
    </row>
    <row r="13" spans="1:9" ht="15" x14ac:dyDescent="0.2">
      <c r="A13" s="310" t="s">
        <v>1573</v>
      </c>
      <c r="B13" s="313">
        <f>'DOE25'!G193-'DOE25'!G180</f>
        <v>0</v>
      </c>
      <c r="F13" s="310" t="s">
        <v>1595</v>
      </c>
    </row>
    <row r="14" spans="1:9" ht="18" x14ac:dyDescent="0.25">
      <c r="A14" s="312" t="s">
        <v>732</v>
      </c>
      <c r="B14" s="314">
        <f>SUM(B9:B13)</f>
        <v>287785.45</v>
      </c>
    </row>
    <row r="16" spans="1:9" ht="18" x14ac:dyDescent="0.25">
      <c r="A16" s="312" t="s">
        <v>786</v>
      </c>
      <c r="F16" s="319" t="s">
        <v>1587</v>
      </c>
    </row>
    <row r="17" spans="1:6" ht="15" x14ac:dyDescent="0.2">
      <c r="A17" s="310" t="s">
        <v>1574</v>
      </c>
      <c r="B17" s="313">
        <f>'DOE25'!L363-'DOE25'!L362</f>
        <v>226006</v>
      </c>
      <c r="F17" s="310" t="s">
        <v>1588</v>
      </c>
    </row>
    <row r="18" spans="1:6" ht="15" x14ac:dyDescent="0.2">
      <c r="A18" s="310" t="s">
        <v>1575</v>
      </c>
      <c r="B18" s="323">
        <v>0</v>
      </c>
      <c r="F18" s="319" t="s">
        <v>1612</v>
      </c>
    </row>
    <row r="19" spans="1:6" ht="18" x14ac:dyDescent="0.25">
      <c r="A19" s="312" t="s">
        <v>725</v>
      </c>
      <c r="B19" s="314">
        <f>SUM(B17:B18)</f>
        <v>226006</v>
      </c>
    </row>
    <row r="21" spans="1:6" ht="18.75" thickBot="1" x14ac:dyDescent="0.3">
      <c r="A21" s="312" t="s">
        <v>1576</v>
      </c>
    </row>
    <row r="22" spans="1:6" ht="18.75" thickTop="1" x14ac:dyDescent="0.25">
      <c r="A22" s="312" t="s">
        <v>1577</v>
      </c>
      <c r="B22" s="318">
        <f>B14-B19</f>
        <v>61779.450000000012</v>
      </c>
      <c r="F22" s="310" t="s">
        <v>1589</v>
      </c>
    </row>
    <row r="26" spans="1:6" ht="18" x14ac:dyDescent="0.25">
      <c r="A26" s="312" t="s">
        <v>186</v>
      </c>
    </row>
    <row r="27" spans="1:6" ht="15" x14ac:dyDescent="0.2">
      <c r="A27" s="310" t="s">
        <v>1578</v>
      </c>
      <c r="B27" s="313">
        <f>'DOE25'!G180</f>
        <v>0</v>
      </c>
      <c r="F27" s="310" t="s">
        <v>1590</v>
      </c>
    </row>
    <row r="28" spans="1:6" ht="15" x14ac:dyDescent="0.2">
      <c r="A28" s="310" t="s">
        <v>1580</v>
      </c>
      <c r="B28" s="313">
        <f>'DOE25'!L362</f>
        <v>0</v>
      </c>
      <c r="F28" s="310" t="s">
        <v>1591</v>
      </c>
    </row>
    <row r="31" spans="1:6" ht="15" x14ac:dyDescent="0.2">
      <c r="A31" s="310" t="s">
        <v>1634</v>
      </c>
      <c r="B31" s="313">
        <f>'DOE25'!G466</f>
        <v>5055</v>
      </c>
      <c r="F31" s="310" t="s">
        <v>1592</v>
      </c>
    </row>
    <row r="33" spans="1:6" ht="15" x14ac:dyDescent="0.2">
      <c r="A33" s="310" t="s">
        <v>1635</v>
      </c>
      <c r="B33" s="313">
        <f>'DOE25'!G477</f>
        <v>66834.450000000012</v>
      </c>
      <c r="F33" s="310" t="s">
        <v>1593</v>
      </c>
    </row>
    <row r="36" spans="1:6" ht="15" x14ac:dyDescent="0.2">
      <c r="A36" s="310" t="s">
        <v>1579</v>
      </c>
      <c r="B36" s="324">
        <v>17414.86</v>
      </c>
      <c r="F36" s="319" t="s">
        <v>1594</v>
      </c>
    </row>
  </sheetData>
  <sheetProtection password="B90A" sheet="1" selectLockedCells="1"/>
  <mergeCells count="3">
    <mergeCell ref="A1:H1"/>
    <mergeCell ref="A2:H2"/>
    <mergeCell ref="B5:F5"/>
  </mergeCells>
  <dataValidations count="1">
    <dataValidation type="list" allowBlank="1" showInputMessage="1" showErrorMessage="1" sqref="B3" xr:uid="{00000000-0002-0000-0200-000000000000}">
      <formula1>$I$3:$I$4</formula1>
    </dataValidation>
  </dataValidations>
  <pageMargins left="0.7" right="0.7" top="0.75" bottom="0.75" header="0.3" footer="0.3"/>
  <pageSetup orientation="landscape" r:id="rId1"/>
  <headerFooter>
    <oddHeader>&amp;L&amp;A</oddHeader>
  </headerFooter>
</worksheet>
</file>

<file path=xl/worksheets/sheet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300-000000000000}">
  <sheetPr>
    <tabColor indexed="20"/>
  </sheetPr>
  <dimension ref="A1:C52"/>
  <sheetViews>
    <sheetView topLeftCell="A4" zoomScaleNormal="100" workbookViewId="0">
      <selection activeCell="C38" sqref="C38"/>
    </sheetView>
  </sheetViews>
  <sheetFormatPr defaultRowHeight="11.25" x14ac:dyDescent="0.2"/>
  <cols>
    <col min="1" max="1" width="26.6640625" customWidth="1"/>
    <col min="2" max="2" width="33.83203125" customWidth="1"/>
    <col min="3" max="3" width="29.5" customWidth="1"/>
  </cols>
  <sheetData>
    <row r="1" spans="1:3" x14ac:dyDescent="0.2">
      <c r="A1" s="232" t="s">
        <v>781</v>
      </c>
      <c r="B1" s="231" t="str">
        <f>'DOE25'!A2</f>
        <v>Fremont</v>
      </c>
      <c r="C1" s="237" t="s">
        <v>824</v>
      </c>
    </row>
    <row r="2" spans="1:3" x14ac:dyDescent="0.2">
      <c r="A2" s="232"/>
      <c r="B2" s="231"/>
    </row>
    <row r="3" spans="1:3" x14ac:dyDescent="0.2">
      <c r="A3" s="372" t="s">
        <v>780</v>
      </c>
      <c r="B3" s="372"/>
      <c r="C3" s="372"/>
    </row>
    <row r="4" spans="1:3" x14ac:dyDescent="0.2">
      <c r="A4" s="235"/>
      <c r="B4" s="236" t="str">
        <f>'DOE25'!H1</f>
        <v>DOE 25  2021-2022</v>
      </c>
      <c r="C4" s="235"/>
    </row>
    <row r="5" spans="1:3" x14ac:dyDescent="0.2">
      <c r="A5" s="232"/>
      <c r="B5" s="231"/>
    </row>
    <row r="6" spans="1:3" x14ac:dyDescent="0.2">
      <c r="A6" s="226"/>
      <c r="B6" s="378" t="s">
        <v>779</v>
      </c>
      <c r="C6" s="378"/>
    </row>
    <row r="7" spans="1:3" x14ac:dyDescent="0.2">
      <c r="A7" s="238" t="s">
        <v>782</v>
      </c>
      <c r="B7" s="376" t="s">
        <v>778</v>
      </c>
      <c r="C7" s="377"/>
    </row>
    <row r="8" spans="1:3" x14ac:dyDescent="0.2">
      <c r="B8" s="227" t="s">
        <v>54</v>
      </c>
      <c r="C8" s="227" t="s">
        <v>772</v>
      </c>
    </row>
    <row r="9" spans="1:3" x14ac:dyDescent="0.2">
      <c r="A9" s="33" t="s">
        <v>773</v>
      </c>
      <c r="B9" s="228">
        <f>'DOE25'!F198+'DOE25'!F216+'DOE25'!F234+'DOE25'!F277+'DOE25'!F296+'DOE25'!F315</f>
        <v>1890149.14</v>
      </c>
      <c r="C9" s="228">
        <f>'DOE25'!G198+'DOE25'!G216+'DOE25'!G234+'DOE25'!G277+'DOE25'!G296+'DOE25'!G315</f>
        <v>1092177.49</v>
      </c>
    </row>
    <row r="10" spans="1:3" x14ac:dyDescent="0.2">
      <c r="A10" t="s">
        <v>775</v>
      </c>
      <c r="B10" s="239">
        <f>48158.13+1767653.85+4360</f>
        <v>1820171.98</v>
      </c>
      <c r="C10" s="239">
        <f>10794.06+1076030.18</f>
        <v>1086824.24</v>
      </c>
    </row>
    <row r="11" spans="1:3" x14ac:dyDescent="0.2">
      <c r="A11" t="s">
        <v>776</v>
      </c>
      <c r="B11" s="239"/>
      <c r="C11" s="239"/>
    </row>
    <row r="12" spans="1:3" x14ac:dyDescent="0.2">
      <c r="A12" t="s">
        <v>777</v>
      </c>
      <c r="B12" s="239">
        <v>69977.16</v>
      </c>
      <c r="C12" s="239">
        <v>5353.25</v>
      </c>
    </row>
    <row r="13" spans="1:3" x14ac:dyDescent="0.2">
      <c r="A13" t="str">
        <f>IF(B9=B13,IF(C9=C13,"Check Total OK","Check Total Error"),"Check Total Error")</f>
        <v>Check Total OK</v>
      </c>
      <c r="B13" s="230">
        <f>SUM(B10:B12)</f>
        <v>1890149.14</v>
      </c>
      <c r="C13" s="230">
        <f>SUM(C10:C12)</f>
        <v>1092177.49</v>
      </c>
    </row>
    <row r="14" spans="1:3" x14ac:dyDescent="0.2">
      <c r="B14" s="229"/>
      <c r="C14" s="229"/>
    </row>
    <row r="15" spans="1:3" x14ac:dyDescent="0.2">
      <c r="B15" s="378" t="s">
        <v>779</v>
      </c>
      <c r="C15" s="378"/>
    </row>
    <row r="16" spans="1:3" x14ac:dyDescent="0.2">
      <c r="A16" s="238" t="s">
        <v>783</v>
      </c>
      <c r="B16" s="376" t="s">
        <v>703</v>
      </c>
      <c r="C16" s="377"/>
    </row>
    <row r="17" spans="1:3" x14ac:dyDescent="0.2">
      <c r="B17" s="227" t="s">
        <v>54</v>
      </c>
      <c r="C17" s="227" t="s">
        <v>772</v>
      </c>
    </row>
    <row r="18" spans="1:3" x14ac:dyDescent="0.2">
      <c r="A18" s="33" t="s">
        <v>773</v>
      </c>
      <c r="B18" s="228">
        <f>'DOE25'!F199+'DOE25'!F217+'DOE25'!F235+'DOE25'!F278+'DOE25'!F297+'DOE25'!F316</f>
        <v>657653.14</v>
      </c>
      <c r="C18" s="228">
        <f>'DOE25'!G199+'DOE25'!G217+'DOE25'!G235+'DOE25'!G278+'DOE25'!G297+'DOE25'!G316</f>
        <v>259745.82</v>
      </c>
    </row>
    <row r="19" spans="1:3" x14ac:dyDescent="0.2">
      <c r="A19" t="s">
        <v>775</v>
      </c>
      <c r="B19" s="239">
        <f>235245.71+42523+1331.36</f>
        <v>279100.06999999995</v>
      </c>
      <c r="C19" s="239">
        <f>21351.16+58666.83+57495.9</f>
        <v>137513.89000000001</v>
      </c>
    </row>
    <row r="20" spans="1:3" x14ac:dyDescent="0.2">
      <c r="A20" t="s">
        <v>776</v>
      </c>
      <c r="B20" s="239">
        <f>3642.67+349765.95+2981.45</f>
        <v>356390.07</v>
      </c>
      <c r="C20" s="239">
        <f>278.69+26985.15+88166.44+5106.18</f>
        <v>120536.45999999999</v>
      </c>
    </row>
    <row r="21" spans="1:3" x14ac:dyDescent="0.2">
      <c r="A21" t="s">
        <v>777</v>
      </c>
      <c r="B21" s="239">
        <v>22163</v>
      </c>
      <c r="C21" s="239">
        <v>1695.47</v>
      </c>
    </row>
    <row r="22" spans="1:3" x14ac:dyDescent="0.2">
      <c r="A22" t="str">
        <f>IF(B18=B22,IF(C18=C22,"Check Total OK","Check Total Error"),"Check Total Error")</f>
        <v>Check Total OK</v>
      </c>
      <c r="B22" s="230">
        <f>SUM(B19:B21)</f>
        <v>657653.1399999999</v>
      </c>
      <c r="C22" s="230">
        <f>SUM(C19:C21)</f>
        <v>259745.82</v>
      </c>
    </row>
    <row r="23" spans="1:3" x14ac:dyDescent="0.2">
      <c r="B23" s="229"/>
      <c r="C23" s="229"/>
    </row>
    <row r="24" spans="1:3" x14ac:dyDescent="0.2">
      <c r="B24" s="378" t="s">
        <v>779</v>
      </c>
      <c r="C24" s="378"/>
    </row>
    <row r="25" spans="1:3" x14ac:dyDescent="0.2">
      <c r="A25" s="238" t="s">
        <v>784</v>
      </c>
      <c r="B25" s="376" t="s">
        <v>704</v>
      </c>
      <c r="C25" s="377"/>
    </row>
    <row r="26" spans="1:3" x14ac:dyDescent="0.2">
      <c r="B26" s="227" t="s">
        <v>54</v>
      </c>
      <c r="C26" s="227" t="s">
        <v>772</v>
      </c>
    </row>
    <row r="27" spans="1:3" x14ac:dyDescent="0.2">
      <c r="A27" s="33" t="s">
        <v>773</v>
      </c>
      <c r="B27" s="233">
        <f>'DOE25'!F200+'DOE25'!F218+'DOE25'!F236+'DOE25'!F279+'DOE25'!F298+'DOE25'!F317</f>
        <v>0</v>
      </c>
      <c r="C27" s="233">
        <f>'DOE25'!G200+'DOE25'!G218+'DOE25'!G236+'DOE25'!G279+'DOE25'!G298+'DOE25'!G317</f>
        <v>0</v>
      </c>
    </row>
    <row r="28" spans="1:3" x14ac:dyDescent="0.2">
      <c r="A28" t="s">
        <v>775</v>
      </c>
      <c r="B28" s="239"/>
      <c r="C28" s="239"/>
    </row>
    <row r="29" spans="1:3" x14ac:dyDescent="0.2">
      <c r="A29" t="s">
        <v>776</v>
      </c>
      <c r="B29" s="239"/>
      <c r="C29" s="239"/>
    </row>
    <row r="30" spans="1:3" x14ac:dyDescent="0.2">
      <c r="A30" t="s">
        <v>777</v>
      </c>
      <c r="B30" s="239"/>
      <c r="C30" s="239"/>
    </row>
    <row r="31" spans="1:3" x14ac:dyDescent="0.2">
      <c r="A31" t="str">
        <f>IF(B27=B31,IF(C27=C31,"Check Total OK","Check Total Error"),"Check Total Error")</f>
        <v>Check Total OK</v>
      </c>
      <c r="B31" s="230">
        <f>SUM(B28:B30)</f>
        <v>0</v>
      </c>
      <c r="C31" s="230">
        <f>SUM(C28:C30)</f>
        <v>0</v>
      </c>
    </row>
    <row r="33" spans="1:3" x14ac:dyDescent="0.2">
      <c r="B33" s="378" t="s">
        <v>779</v>
      </c>
      <c r="C33" s="378"/>
    </row>
    <row r="34" spans="1:3" x14ac:dyDescent="0.2">
      <c r="A34" s="238" t="s">
        <v>785</v>
      </c>
      <c r="B34" s="376" t="s">
        <v>705</v>
      </c>
      <c r="C34" s="377"/>
    </row>
    <row r="35" spans="1:3" x14ac:dyDescent="0.2">
      <c r="B35" s="227" t="s">
        <v>54</v>
      </c>
      <c r="C35" s="227" t="s">
        <v>772</v>
      </c>
    </row>
    <row r="36" spans="1:3" x14ac:dyDescent="0.2">
      <c r="A36" s="33" t="s">
        <v>773</v>
      </c>
      <c r="B36" s="234">
        <f>'DOE25'!F201+'DOE25'!F219+'DOE25'!F237+'DOE25'!F280+'DOE25'!F299+'DOE25'!F318</f>
        <v>54698.75</v>
      </c>
      <c r="C36" s="234">
        <f>'DOE25'!G201+'DOE25'!G219+'DOE25'!G237+'DOE25'!G280+'DOE25'!G299+'DOE25'!G318</f>
        <v>11468.42</v>
      </c>
    </row>
    <row r="37" spans="1:3" x14ac:dyDescent="0.2">
      <c r="A37" t="s">
        <v>775</v>
      </c>
      <c r="B37" s="239">
        <f>8975+3237.5+9475+30530</f>
        <v>52217.5</v>
      </c>
      <c r="C37" s="239">
        <f>5562.82+5715.78</f>
        <v>11278.599999999999</v>
      </c>
    </row>
    <row r="38" spans="1:3" x14ac:dyDescent="0.2">
      <c r="A38" t="s">
        <v>776</v>
      </c>
      <c r="B38" s="239">
        <f>650+1681.25+150</f>
        <v>2481.25</v>
      </c>
      <c r="C38" s="239">
        <f>189.82</f>
        <v>189.82</v>
      </c>
    </row>
    <row r="39" spans="1:3" x14ac:dyDescent="0.2">
      <c r="A39" t="s">
        <v>777</v>
      </c>
      <c r="B39" s="239"/>
      <c r="C39" s="239"/>
    </row>
    <row r="40" spans="1:3" x14ac:dyDescent="0.2">
      <c r="A40" t="str">
        <f>IF(B36=B40,IF(C36=C40,"Check Total OK","Check Total Error"),"Check Total Error")</f>
        <v>Check Total OK</v>
      </c>
      <c r="B40" s="230">
        <f>SUM(B37:B39)</f>
        <v>54698.75</v>
      </c>
      <c r="C40" s="230">
        <f>SUM(C37:C39)</f>
        <v>11468.419999999998</v>
      </c>
    </row>
    <row r="41" spans="1:3" x14ac:dyDescent="0.2">
      <c r="B41" s="229"/>
      <c r="C41" s="229"/>
    </row>
    <row r="42" spans="1:3" x14ac:dyDescent="0.2">
      <c r="A42" s="33" t="s">
        <v>822</v>
      </c>
      <c r="B42" s="229"/>
      <c r="C42" s="229"/>
    </row>
    <row r="43" spans="1:3" x14ac:dyDescent="0.2">
      <c r="A43" t="s">
        <v>826</v>
      </c>
      <c r="B43" s="229"/>
      <c r="C43" s="229"/>
    </row>
    <row r="44" spans="1:3" x14ac:dyDescent="0.2">
      <c r="A44" t="s">
        <v>827</v>
      </c>
    </row>
    <row r="45" spans="1:3" x14ac:dyDescent="0.2">
      <c r="A45" t="s">
        <v>828</v>
      </c>
    </row>
    <row r="48" spans="1:3" x14ac:dyDescent="0.2">
      <c r="A48" s="258" t="s">
        <v>774</v>
      </c>
    </row>
    <row r="49" spans="1:1" x14ac:dyDescent="0.2">
      <c r="A49" s="261" t="s">
        <v>829</v>
      </c>
    </row>
    <row r="50" spans="1:1" x14ac:dyDescent="0.2">
      <c r="A50" s="261" t="s">
        <v>823</v>
      </c>
    </row>
    <row r="51" spans="1:1" x14ac:dyDescent="0.2">
      <c r="A51" s="261" t="s">
        <v>830</v>
      </c>
    </row>
    <row r="52" spans="1:1" x14ac:dyDescent="0.2">
      <c r="A52" s="262" t="s">
        <v>825</v>
      </c>
    </row>
  </sheetData>
  <sheetProtection password="B90A" sheet="1" objects="1" scenarios="1"/>
  <mergeCells count="9">
    <mergeCell ref="B34:C34"/>
    <mergeCell ref="B24:C24"/>
    <mergeCell ref="B25:C25"/>
    <mergeCell ref="A3:C3"/>
    <mergeCell ref="B6:C6"/>
    <mergeCell ref="B7:C7"/>
    <mergeCell ref="B15:C15"/>
    <mergeCell ref="B16:C16"/>
    <mergeCell ref="B33:C33"/>
  </mergeCells>
  <phoneticPr fontId="0" type="noConversion"/>
  <conditionalFormatting sqref="A22 A13 A31 A40:A47">
    <cfRule type="cellIs" dxfId="14" priority="1" stopIfTrue="1" operator="equal">
      <formula>"Check Total Error"</formula>
    </cfRule>
  </conditionalFormatting>
  <printOptions gridLines="1"/>
  <pageMargins left="1.24" right="0.75" top="1" bottom="1" header="0.5" footer="0.5"/>
  <pageSetup orientation="portrait" r:id="rId1"/>
  <headerFooter alignWithMargins="0">
    <oddHeader>&amp;C&amp;A
FY2021-2022</oddHeader>
    <oddFooter>&amp;CPage &amp;P of &amp;N</oddFooter>
  </headerFooter>
</worksheet>
</file>

<file path=xl/worksheets/sheet5.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400-000000000000}">
  <sheetPr>
    <tabColor indexed="11"/>
    <pageSetUpPr fitToPage="1"/>
  </sheetPr>
  <dimension ref="A1:I53"/>
  <sheetViews>
    <sheetView zoomScale="90" zoomScaleNormal="90" workbookViewId="0">
      <pane ySplit="4" topLeftCell="A11" activePane="bottomLeft" state="frozen"/>
      <selection activeCell="F46" sqref="F46"/>
      <selection pane="bottomLeft" activeCell="G37" sqref="G37"/>
    </sheetView>
  </sheetViews>
  <sheetFormatPr defaultRowHeight="11.25" x14ac:dyDescent="0.2"/>
  <cols>
    <col min="1" max="1" width="10.83203125" customWidth="1"/>
    <col min="2" max="2" width="41.1640625" customWidth="1"/>
    <col min="3" max="3" width="22.6640625" customWidth="1"/>
    <col min="4" max="4" width="20.5" customWidth="1"/>
    <col min="5" max="5" width="19.1640625" customWidth="1"/>
    <col min="6" max="6" width="26.83203125" customWidth="1"/>
    <col min="7" max="7" width="17.83203125" customWidth="1"/>
    <col min="8" max="8" width="17.1640625" customWidth="1"/>
    <col min="9" max="9" width="15.83203125" customWidth="1"/>
  </cols>
  <sheetData>
    <row r="1" spans="1:9" x14ac:dyDescent="0.2">
      <c r="A1" s="378" t="s">
        <v>892</v>
      </c>
      <c r="B1" s="381"/>
      <c r="C1" s="381"/>
      <c r="D1" s="381"/>
      <c r="E1" s="381"/>
      <c r="F1" s="381"/>
      <c r="G1" s="381"/>
      <c r="H1" s="381"/>
      <c r="I1" s="180"/>
    </row>
    <row r="2" spans="1:9" x14ac:dyDescent="0.2">
      <c r="A2" s="33" t="s">
        <v>713</v>
      </c>
      <c r="B2" s="259" t="str">
        <f>'DOE25'!A2</f>
        <v>Fremont</v>
      </c>
      <c r="C2" s="276"/>
      <c r="D2" s="180" t="s">
        <v>787</v>
      </c>
      <c r="E2" s="180" t="s">
        <v>789</v>
      </c>
      <c r="F2" s="379" t="s">
        <v>891</v>
      </c>
      <c r="G2" s="380"/>
      <c r="H2" s="380"/>
      <c r="I2" s="271"/>
    </row>
    <row r="3" spans="1:9" x14ac:dyDescent="0.2">
      <c r="A3" s="180" t="s">
        <v>94</v>
      </c>
      <c r="B3" s="227" t="s">
        <v>10</v>
      </c>
      <c r="C3" s="272" t="s">
        <v>5</v>
      </c>
      <c r="D3" s="277" t="s">
        <v>788</v>
      </c>
      <c r="E3" s="180" t="s">
        <v>790</v>
      </c>
      <c r="F3" s="270" t="s">
        <v>1616</v>
      </c>
      <c r="G3" s="268" t="s">
        <v>887</v>
      </c>
      <c r="H3" s="216" t="s">
        <v>59</v>
      </c>
      <c r="I3" s="241" t="s">
        <v>793</v>
      </c>
    </row>
    <row r="4" spans="1:9" ht="14.25" x14ac:dyDescent="0.2">
      <c r="A4" s="248" t="s">
        <v>795</v>
      </c>
      <c r="B4" s="248" t="s">
        <v>811</v>
      </c>
      <c r="C4" s="273" t="s">
        <v>786</v>
      </c>
      <c r="D4" s="248" t="s">
        <v>812</v>
      </c>
      <c r="E4" s="248" t="s">
        <v>812</v>
      </c>
      <c r="F4" s="240" t="s">
        <v>1615</v>
      </c>
      <c r="G4" s="267" t="s">
        <v>792</v>
      </c>
      <c r="H4" s="248" t="s">
        <v>806</v>
      </c>
      <c r="I4" s="249" t="s">
        <v>794</v>
      </c>
    </row>
    <row r="5" spans="1:9" x14ac:dyDescent="0.2">
      <c r="A5" s="32">
        <v>1000</v>
      </c>
      <c r="B5" t="s">
        <v>195</v>
      </c>
      <c r="C5" s="274">
        <f t="shared" ref="C5:C19" si="0">SUM(D5:I5)</f>
        <v>8326388.9800000004</v>
      </c>
      <c r="D5" s="20">
        <f>SUM('DOE25'!L198:L201)+SUM('DOE25'!L216:L219)+SUM('DOE25'!L234:L237)-F5-G5-H5</f>
        <v>8319666.9100000001</v>
      </c>
      <c r="E5" s="242"/>
      <c r="F5" s="243"/>
      <c r="G5" s="53">
        <f>SUM('DOE25'!J198:J201)+SUM('DOE25'!J216:J219)+SUM('DOE25'!J234:J237)</f>
        <v>6525.07</v>
      </c>
      <c r="H5" s="53">
        <f>SUM('DOE25'!K198:K201)+SUM('DOE25'!K216:K219)+SUM('DOE25'!K234:K237)</f>
        <v>197</v>
      </c>
      <c r="I5" s="255"/>
    </row>
    <row r="6" spans="1:9" x14ac:dyDescent="0.2">
      <c r="A6" s="32">
        <v>2100</v>
      </c>
      <c r="B6" t="s">
        <v>796</v>
      </c>
      <c r="C6" s="274">
        <f t="shared" si="0"/>
        <v>708172.14999999979</v>
      </c>
      <c r="D6" s="20">
        <f>'DOE25'!L203+'DOE25'!L221+'DOE25'!L239-F6-G6-H6</f>
        <v>657126.48999999976</v>
      </c>
      <c r="E6" s="242"/>
      <c r="F6" s="243">
        <f>44337.05</f>
        <v>44337.05</v>
      </c>
      <c r="G6" s="53">
        <f>'DOE25'!J203+'DOE25'!J221+'DOE25'!J239</f>
        <v>6563.61</v>
      </c>
      <c r="H6" s="53">
        <f>'DOE25'!K203+'DOE25'!K221+'DOE25'!K239</f>
        <v>145</v>
      </c>
      <c r="I6" s="255"/>
    </row>
    <row r="7" spans="1:9" x14ac:dyDescent="0.2">
      <c r="A7" s="32">
        <v>2200</v>
      </c>
      <c r="B7" t="s">
        <v>821</v>
      </c>
      <c r="C7" s="274">
        <f t="shared" si="0"/>
        <v>150452.11000000002</v>
      </c>
      <c r="D7" s="20">
        <f>'DOE25'!L204+'DOE25'!L222+'DOE25'!L240-F7-G7-H7</f>
        <v>131052.81</v>
      </c>
      <c r="E7" s="242"/>
      <c r="F7" s="243"/>
      <c r="G7" s="53">
        <f>'DOE25'!J204+'DOE25'!J222+'DOE25'!J240</f>
        <v>18612.7</v>
      </c>
      <c r="H7" s="53">
        <f>'DOE25'!K204+'DOE25'!K222+'DOE25'!K240</f>
        <v>786.6</v>
      </c>
      <c r="I7" s="255"/>
    </row>
    <row r="8" spans="1:9" x14ac:dyDescent="0.2">
      <c r="A8" s="32">
        <v>2300</v>
      </c>
      <c r="B8" t="s">
        <v>797</v>
      </c>
      <c r="C8" s="274">
        <f t="shared" si="0"/>
        <v>411392.98000000004</v>
      </c>
      <c r="D8" s="242"/>
      <c r="E8" s="20">
        <f>'DOE25'!L205+'DOE25'!L223+'DOE25'!L241-F8-G8-H8-D9-D11</f>
        <v>397283.35000000003</v>
      </c>
      <c r="F8" s="243"/>
      <c r="G8" s="53">
        <f>'DOE25'!J205+'DOE25'!J223+'DOE25'!J241</f>
        <v>0</v>
      </c>
      <c r="H8" s="53">
        <f>'DOE25'!K205+'DOE25'!K223+'DOE25'!K241</f>
        <v>14109.63</v>
      </c>
      <c r="I8" s="255"/>
    </row>
    <row r="9" spans="1:9" ht="14.25" x14ac:dyDescent="0.2">
      <c r="A9" s="32">
        <v>2310</v>
      </c>
      <c r="B9" s="184" t="s">
        <v>888</v>
      </c>
      <c r="C9" s="274">
        <f t="shared" si="0"/>
        <v>54527.66</v>
      </c>
      <c r="D9" s="243">
        <v>54527.66</v>
      </c>
      <c r="E9" s="242"/>
      <c r="F9" s="252"/>
      <c r="G9" s="252"/>
      <c r="H9" s="252"/>
      <c r="I9" s="255"/>
    </row>
    <row r="10" spans="1:9" ht="14.25" x14ac:dyDescent="0.2">
      <c r="A10" s="32">
        <v>2317</v>
      </c>
      <c r="B10" s="184" t="s">
        <v>889</v>
      </c>
      <c r="C10" s="274">
        <f t="shared" si="0"/>
        <v>14990</v>
      </c>
      <c r="D10" s="242"/>
      <c r="E10" s="243">
        <v>14990</v>
      </c>
      <c r="F10" s="252"/>
      <c r="G10" s="252"/>
      <c r="H10" s="252"/>
      <c r="I10" s="255"/>
    </row>
    <row r="11" spans="1:9" ht="14.25" x14ac:dyDescent="0.2">
      <c r="A11" s="32">
        <v>2321</v>
      </c>
      <c r="B11" s="184" t="s">
        <v>890</v>
      </c>
      <c r="C11" s="274">
        <f t="shared" si="0"/>
        <v>204010.91999999998</v>
      </c>
      <c r="D11" s="243">
        <f>108434+25400+518.4+259.2+14859.75+129.6+10238.3+3571.24+795.8+35369.73+400+4034.9</f>
        <v>204010.91999999998</v>
      </c>
      <c r="E11" s="242"/>
      <c r="F11" s="252"/>
      <c r="G11" s="252"/>
      <c r="H11" s="252"/>
      <c r="I11" s="255"/>
    </row>
    <row r="12" spans="1:9" x14ac:dyDescent="0.2">
      <c r="A12" s="32">
        <v>2400</v>
      </c>
      <c r="B12" t="s">
        <v>711</v>
      </c>
      <c r="C12" s="274">
        <f t="shared" si="0"/>
        <v>410171.78</v>
      </c>
      <c r="D12" s="20">
        <f>'DOE25'!L206+'DOE25'!L224+'DOE25'!L242-F12-G12-H12</f>
        <v>407285.84</v>
      </c>
      <c r="E12" s="242"/>
      <c r="F12" s="243"/>
      <c r="G12" s="53">
        <f>'DOE25'!J206+'DOE25'!J224+'DOE25'!J242</f>
        <v>0</v>
      </c>
      <c r="H12" s="53">
        <f>'DOE25'!K206+'DOE25'!K224+'DOE25'!K242</f>
        <v>2885.94</v>
      </c>
      <c r="I12" s="255"/>
    </row>
    <row r="13" spans="1:9" x14ac:dyDescent="0.2">
      <c r="A13" s="32">
        <v>2500</v>
      </c>
      <c r="B13" t="s">
        <v>798</v>
      </c>
      <c r="C13" s="274">
        <f t="shared" si="0"/>
        <v>0</v>
      </c>
      <c r="D13" s="242"/>
      <c r="E13" s="20">
        <f>'DOE25'!L207+'DOE25'!L225+'DOE25'!L243-F13-G13-H13</f>
        <v>0</v>
      </c>
      <c r="F13" s="243"/>
      <c r="G13" s="53">
        <f>'DOE25'!J207+'DOE25'!J225+'DOE25'!J243</f>
        <v>0</v>
      </c>
      <c r="H13" s="53">
        <f>'DOE25'!K207+'DOE25'!K225+'DOE25'!K243</f>
        <v>0</v>
      </c>
      <c r="I13" s="255"/>
    </row>
    <row r="14" spans="1:9" x14ac:dyDescent="0.2">
      <c r="A14" s="32">
        <v>2600</v>
      </c>
      <c r="B14" t="s">
        <v>819</v>
      </c>
      <c r="C14" s="274">
        <f t="shared" si="0"/>
        <v>469622.17</v>
      </c>
      <c r="D14" s="20">
        <f>'DOE25'!L208+'DOE25'!L226+'DOE25'!L244-F14-G14-H14</f>
        <v>428917.17</v>
      </c>
      <c r="E14" s="242"/>
      <c r="F14" s="243"/>
      <c r="G14" s="53">
        <f>'DOE25'!J208+'DOE25'!J226+'DOE25'!J244</f>
        <v>0</v>
      </c>
      <c r="H14" s="53">
        <f>'DOE25'!K208+'DOE25'!K226+'DOE25'!K244</f>
        <v>40705</v>
      </c>
      <c r="I14" s="255"/>
    </row>
    <row r="15" spans="1:9" x14ac:dyDescent="0.2">
      <c r="A15" s="32">
        <v>2700</v>
      </c>
      <c r="B15" t="s">
        <v>799</v>
      </c>
      <c r="C15" s="274">
        <f t="shared" si="0"/>
        <v>728517.97</v>
      </c>
      <c r="D15" s="20">
        <f>'DOE25'!L209+'DOE25'!L227+'DOE25'!L245-F15-G15-H15</f>
        <v>8445.0600000000559</v>
      </c>
      <c r="E15" s="242"/>
      <c r="F15" s="243">
        <f>460853.91+259219</f>
        <v>720072.90999999992</v>
      </c>
      <c r="G15" s="53">
        <f>'DOE25'!J209+'DOE25'!J227+'DOE25'!J245</f>
        <v>0</v>
      </c>
      <c r="H15" s="53">
        <f>'DOE25'!K209+'DOE25'!K227+'DOE25'!K245</f>
        <v>0</v>
      </c>
      <c r="I15" s="255"/>
    </row>
    <row r="16" spans="1:9" x14ac:dyDescent="0.2">
      <c r="A16" s="32">
        <v>2800</v>
      </c>
      <c r="B16" t="s">
        <v>800</v>
      </c>
      <c r="C16" s="274">
        <f t="shared" si="0"/>
        <v>0</v>
      </c>
      <c r="D16" s="242"/>
      <c r="E16" s="20">
        <f>'DOE25'!L210+'DOE25'!L228+'DOE25'!L246-F16-G16-H16</f>
        <v>0</v>
      </c>
      <c r="F16" s="243"/>
      <c r="G16" s="53">
        <f>'DOE25'!J210+'DOE25'!J228+'DOE25'!J246</f>
        <v>0</v>
      </c>
      <c r="H16" s="53">
        <f>'DOE25'!K210+'DOE25'!K228+'DOE25'!K246</f>
        <v>0</v>
      </c>
      <c r="I16" s="255"/>
    </row>
    <row r="17" spans="1:9" x14ac:dyDescent="0.2">
      <c r="A17" s="32">
        <v>1600</v>
      </c>
      <c r="B17" t="s">
        <v>801</v>
      </c>
      <c r="C17" s="274">
        <f t="shared" si="0"/>
        <v>0</v>
      </c>
      <c r="D17" s="20">
        <f>'DOE25'!L252-F17-G17-H17</f>
        <v>0</v>
      </c>
      <c r="E17" s="242"/>
      <c r="F17" s="243"/>
      <c r="G17" s="53">
        <f>'DOE25'!J252</f>
        <v>0</v>
      </c>
      <c r="H17" s="53">
        <f>'DOE25'!K252</f>
        <v>0</v>
      </c>
      <c r="I17" s="255"/>
    </row>
    <row r="18" spans="1:9" x14ac:dyDescent="0.2">
      <c r="A18" s="32">
        <v>1700</v>
      </c>
      <c r="B18" t="s">
        <v>802</v>
      </c>
      <c r="C18" s="274">
        <f t="shared" si="0"/>
        <v>0</v>
      </c>
      <c r="D18" s="20">
        <f>'DOE25'!L253-F18-G18-H18</f>
        <v>0</v>
      </c>
      <c r="E18" s="242"/>
      <c r="F18" s="243"/>
      <c r="G18" s="53">
        <f>'DOE25'!J253</f>
        <v>0</v>
      </c>
      <c r="H18" s="53">
        <f>'DOE25'!K253</f>
        <v>0</v>
      </c>
      <c r="I18" s="255"/>
    </row>
    <row r="19" spans="1:9" x14ac:dyDescent="0.2">
      <c r="A19" s="32">
        <v>1800</v>
      </c>
      <c r="B19" t="s">
        <v>803</v>
      </c>
      <c r="C19" s="274">
        <f t="shared" si="0"/>
        <v>0</v>
      </c>
      <c r="D19" s="20">
        <f>'DOE25'!L254-F19-G19-H19</f>
        <v>0</v>
      </c>
      <c r="E19" s="242"/>
      <c r="F19" s="243"/>
      <c r="G19" s="53">
        <f>'DOE25'!J254</f>
        <v>0</v>
      </c>
      <c r="H19" s="53">
        <f>'DOE25'!K254</f>
        <v>0</v>
      </c>
      <c r="I19" s="255"/>
    </row>
    <row r="20" spans="1:9" x14ac:dyDescent="0.2">
      <c r="C20" s="275"/>
      <c r="F20" s="269"/>
      <c r="G20" s="52"/>
      <c r="H20" s="52"/>
      <c r="I20" s="256"/>
    </row>
    <row r="21" spans="1:9" x14ac:dyDescent="0.2">
      <c r="B21" s="33" t="s">
        <v>791</v>
      </c>
      <c r="C21" s="275"/>
      <c r="F21" s="269"/>
      <c r="G21" s="52"/>
      <c r="H21" s="52"/>
      <c r="I21" s="256"/>
    </row>
    <row r="22" spans="1:9" x14ac:dyDescent="0.2">
      <c r="A22" s="32">
        <v>4000</v>
      </c>
      <c r="B22" t="s">
        <v>820</v>
      </c>
      <c r="C22" s="278">
        <f>SUM(D22:I22)</f>
        <v>33468</v>
      </c>
      <c r="D22" s="242"/>
      <c r="E22" s="242"/>
      <c r="F22" s="242"/>
      <c r="G22" s="53">
        <f>'DOE25'!L256+'DOE25'!L337</f>
        <v>33468</v>
      </c>
      <c r="H22" s="252"/>
      <c r="I22" s="255"/>
    </row>
    <row r="23" spans="1:9" x14ac:dyDescent="0.2">
      <c r="A23" s="32"/>
      <c r="C23" s="275"/>
      <c r="F23" s="269"/>
      <c r="G23" s="52"/>
      <c r="H23" s="52"/>
      <c r="I23" s="256"/>
    </row>
    <row r="24" spans="1:9" x14ac:dyDescent="0.2">
      <c r="A24" s="32"/>
      <c r="B24" s="33" t="s">
        <v>463</v>
      </c>
      <c r="C24" s="275"/>
      <c r="F24" s="269"/>
      <c r="G24" s="52"/>
      <c r="H24" s="52"/>
      <c r="I24" s="256"/>
    </row>
    <row r="25" spans="1:9" x14ac:dyDescent="0.2">
      <c r="A25" s="32" t="s">
        <v>804</v>
      </c>
      <c r="B25" t="s">
        <v>805</v>
      </c>
      <c r="C25" s="274">
        <f>SUM(D25:I25)</f>
        <v>14515.699999999999</v>
      </c>
      <c r="D25" s="242"/>
      <c r="E25" s="242"/>
      <c r="F25" s="254"/>
      <c r="G25" s="252"/>
      <c r="H25" s="252"/>
      <c r="I25" s="253">
        <f>'DOE25'!L261+'DOE25'!L262+'DOE25'!L342+'DOE25'!L343</f>
        <v>14515.699999999999</v>
      </c>
    </row>
    <row r="26" spans="1:9" x14ac:dyDescent="0.2">
      <c r="A26" s="32"/>
      <c r="C26" s="275"/>
      <c r="F26" s="269"/>
      <c r="G26" s="52"/>
      <c r="H26" s="52"/>
      <c r="I26" s="256"/>
    </row>
    <row r="27" spans="1:9" x14ac:dyDescent="0.2">
      <c r="A27" s="32"/>
      <c r="B27" s="33" t="s">
        <v>807</v>
      </c>
      <c r="C27" s="275"/>
      <c r="F27" s="269"/>
      <c r="G27" s="52"/>
      <c r="H27" s="52"/>
      <c r="I27" s="256"/>
    </row>
    <row r="28" spans="1:9" x14ac:dyDescent="0.2">
      <c r="A28" s="32">
        <v>3100</v>
      </c>
      <c r="B28" t="s">
        <v>816</v>
      </c>
      <c r="C28" s="275"/>
      <c r="F28" s="269"/>
      <c r="G28" s="52"/>
      <c r="H28" s="52"/>
      <c r="I28" s="256"/>
    </row>
    <row r="29" spans="1:9" x14ac:dyDescent="0.2">
      <c r="A29" s="32"/>
      <c r="B29" t="s">
        <v>808</v>
      </c>
      <c r="C29" s="274">
        <f>SUM(D29:I29)</f>
        <v>227637</v>
      </c>
      <c r="D29" s="282">
        <f>'DOE25'!L359+'DOE25'!L360+'DOE25'!L361-'DOE25'!I368-F29-G29-H29</f>
        <v>400</v>
      </c>
      <c r="E29" s="242"/>
      <c r="F29" s="243">
        <v>225657</v>
      </c>
      <c r="G29" s="53">
        <f>'DOE25'!J359+'DOE25'!J360+'DOE25'!J361</f>
        <v>1580</v>
      </c>
      <c r="H29" s="53">
        <f>'DOE25'!K359+'DOE25'!K360+'DOE25'!K361</f>
        <v>0</v>
      </c>
      <c r="I29" s="255"/>
    </row>
    <row r="30" spans="1:9" x14ac:dyDescent="0.2">
      <c r="A30" s="32"/>
      <c r="C30" s="275"/>
      <c r="D30" s="20"/>
      <c r="E30" s="279"/>
      <c r="F30" s="269"/>
      <c r="G30" s="53"/>
      <c r="H30" s="53"/>
      <c r="I30" s="255"/>
    </row>
    <row r="31" spans="1:9" x14ac:dyDescent="0.2">
      <c r="A31" s="32" t="s">
        <v>818</v>
      </c>
      <c r="B31" t="s">
        <v>817</v>
      </c>
      <c r="C31" s="274">
        <f>SUM(D31:I31)</f>
        <v>326890.89</v>
      </c>
      <c r="D31" s="20">
        <f>'DOE25'!L291+'DOE25'!L310+'DOE25'!L329+'DOE25'!L334+'DOE25'!L335+'DOE25'!L336-F31-G31-H31</f>
        <v>287670.91000000003</v>
      </c>
      <c r="E31" s="242"/>
      <c r="F31" s="243"/>
      <c r="G31" s="53">
        <f>'DOE25'!J291+'DOE25'!J310+'DOE25'!J329+'DOE25'!J334+'DOE25'!J335+'DOE25'!J336</f>
        <v>38872.980000000003</v>
      </c>
      <c r="H31" s="53">
        <f>'DOE25'!K291+'DOE25'!K310+'DOE25'!K329+'DOE25'!K334+'DOE25'!K335+'DOE25'!K336</f>
        <v>347</v>
      </c>
      <c r="I31" s="255"/>
    </row>
    <row r="32" spans="1:9" ht="12" thickBot="1" x14ac:dyDescent="0.25">
      <c r="C32" s="275"/>
      <c r="G32" s="250"/>
      <c r="H32" s="250"/>
      <c r="I32" s="257"/>
    </row>
    <row r="33" spans="1:9" ht="12" thickTop="1" x14ac:dyDescent="0.2">
      <c r="B33" t="s">
        <v>809</v>
      </c>
      <c r="D33" s="244">
        <f t="shared" ref="D33:I33" si="1">SUM(D5:D31)</f>
        <v>10499103.770000001</v>
      </c>
      <c r="E33" s="244">
        <f t="shared" si="1"/>
        <v>412273.35000000003</v>
      </c>
      <c r="F33" s="244">
        <f t="shared" si="1"/>
        <v>990066.96</v>
      </c>
      <c r="G33" s="244">
        <f t="shared" si="1"/>
        <v>105622.36000000002</v>
      </c>
      <c r="H33" s="244">
        <f t="shared" si="1"/>
        <v>59176.17</v>
      </c>
      <c r="I33" s="244">
        <f t="shared" si="1"/>
        <v>14515.699999999999</v>
      </c>
    </row>
    <row r="35" spans="1:9" ht="12" thickBot="1" x14ac:dyDescent="0.25">
      <c r="B35" s="250" t="s">
        <v>831</v>
      </c>
      <c r="D35" s="251">
        <f>E33</f>
        <v>412273.35000000003</v>
      </c>
      <c r="E35" s="247"/>
      <c r="F35" s="328" t="s">
        <v>1617</v>
      </c>
      <c r="G35" s="329"/>
      <c r="H35" s="329"/>
      <c r="I35" s="329"/>
    </row>
    <row r="36" spans="1:9" ht="12" thickTop="1" x14ac:dyDescent="0.2">
      <c r="B36" t="s">
        <v>810</v>
      </c>
      <c r="D36" s="20">
        <f>D33</f>
        <v>10499103.770000001</v>
      </c>
      <c r="F36" s="331" t="s">
        <v>1613</v>
      </c>
      <c r="G36" s="330" t="str">
        <f>IF(F36=0,"&lt;&lt;&lt;&lt;&lt; YOU HAVE NOT CHOSEN IF YOU WANT AN INDIRECT COST RATE!!","")</f>
        <v/>
      </c>
      <c r="H36" s="330"/>
    </row>
    <row r="38" spans="1:9" x14ac:dyDescent="0.2">
      <c r="B38" s="186" t="s">
        <v>899</v>
      </c>
      <c r="C38" s="260"/>
      <c r="D38" s="283"/>
    </row>
    <row r="39" spans="1:9" x14ac:dyDescent="0.2">
      <c r="B39" s="186" t="s">
        <v>815</v>
      </c>
      <c r="D39" s="284" t="str">
        <f>IF(E10&gt;0,"Y","N")</f>
        <v>Y</v>
      </c>
    </row>
    <row r="41" spans="1:9" ht="12" x14ac:dyDescent="0.2">
      <c r="A41" s="280"/>
      <c r="B41" s="281" t="s">
        <v>767</v>
      </c>
      <c r="C41" s="280"/>
      <c r="D41" s="280"/>
      <c r="E41" s="280"/>
      <c r="F41" s="280"/>
      <c r="G41" s="280"/>
      <c r="H41" s="280"/>
      <c r="I41" s="280"/>
    </row>
    <row r="42" spans="1:9" ht="12" x14ac:dyDescent="0.2">
      <c r="A42" s="280"/>
      <c r="B42" s="280" t="s">
        <v>894</v>
      </c>
      <c r="C42" s="280"/>
      <c r="D42" s="280"/>
      <c r="E42" s="280"/>
      <c r="F42" s="280"/>
      <c r="G42" s="280"/>
      <c r="H42" s="280"/>
      <c r="I42" s="280"/>
    </row>
    <row r="43" spans="1:9" ht="12" x14ac:dyDescent="0.2">
      <c r="A43" s="280"/>
      <c r="B43" s="280" t="s">
        <v>813</v>
      </c>
      <c r="C43" s="280"/>
      <c r="D43" s="280"/>
      <c r="E43" s="280"/>
      <c r="F43" s="280"/>
      <c r="G43" s="280"/>
      <c r="H43" s="280"/>
      <c r="I43" s="280"/>
    </row>
    <row r="44" spans="1:9" ht="12" x14ac:dyDescent="0.2">
      <c r="A44" s="280"/>
      <c r="B44" s="280"/>
      <c r="C44" s="280"/>
      <c r="D44" s="280"/>
      <c r="E44" s="280"/>
      <c r="F44" s="280"/>
      <c r="G44" s="280"/>
      <c r="H44" s="280"/>
      <c r="I44" s="280"/>
    </row>
    <row r="45" spans="1:9" ht="12" x14ac:dyDescent="0.2">
      <c r="A45" s="280"/>
      <c r="B45" s="280" t="s">
        <v>895</v>
      </c>
      <c r="C45" s="280"/>
      <c r="D45" s="280"/>
      <c r="E45" s="280"/>
      <c r="F45" s="280"/>
      <c r="G45" s="280"/>
      <c r="H45" s="280"/>
      <c r="I45" s="280"/>
    </row>
    <row r="46" spans="1:9" ht="12" x14ac:dyDescent="0.2">
      <c r="A46" s="280"/>
      <c r="B46" s="280"/>
      <c r="C46" s="280"/>
      <c r="D46" s="280"/>
      <c r="E46" s="280"/>
      <c r="F46" s="280"/>
      <c r="G46" s="280"/>
      <c r="H46" s="280"/>
      <c r="I46" s="280"/>
    </row>
    <row r="47" spans="1:9" ht="12" x14ac:dyDescent="0.2">
      <c r="A47" s="280"/>
      <c r="B47" s="280" t="s">
        <v>898</v>
      </c>
      <c r="C47" s="280"/>
      <c r="D47" s="280"/>
      <c r="E47" s="280"/>
      <c r="F47" s="280"/>
      <c r="G47" s="280"/>
      <c r="H47" s="280"/>
      <c r="I47" s="280"/>
    </row>
    <row r="48" spans="1:9" ht="12" x14ac:dyDescent="0.2">
      <c r="A48" s="280"/>
      <c r="B48" s="280" t="s">
        <v>897</v>
      </c>
      <c r="C48" s="280"/>
      <c r="D48" s="280"/>
      <c r="E48" s="280"/>
      <c r="F48" s="280"/>
      <c r="G48" s="280"/>
      <c r="H48" s="280"/>
      <c r="I48" s="280"/>
    </row>
    <row r="49" spans="1:9" ht="12" x14ac:dyDescent="0.2">
      <c r="A49" s="280"/>
      <c r="B49" s="280" t="s">
        <v>896</v>
      </c>
      <c r="C49" s="280"/>
      <c r="D49" s="280"/>
      <c r="E49" s="280"/>
      <c r="F49" s="280"/>
      <c r="G49" s="280"/>
      <c r="H49" s="280"/>
      <c r="I49" s="280"/>
    </row>
    <row r="50" spans="1:9" ht="12" x14ac:dyDescent="0.2">
      <c r="A50" s="280"/>
      <c r="B50" s="280" t="s">
        <v>893</v>
      </c>
      <c r="C50" s="280"/>
      <c r="D50" s="280"/>
      <c r="E50" s="280"/>
      <c r="F50" s="280"/>
      <c r="G50" s="280"/>
      <c r="H50" s="280"/>
      <c r="I50" s="280"/>
    </row>
    <row r="51" spans="1:9" ht="12" x14ac:dyDescent="0.2">
      <c r="A51" s="280"/>
      <c r="B51" s="280" t="s">
        <v>814</v>
      </c>
      <c r="C51" s="280"/>
      <c r="D51" s="280"/>
      <c r="E51" s="280"/>
      <c r="F51" s="280"/>
      <c r="G51" s="280"/>
      <c r="H51" s="280"/>
      <c r="I51" s="280"/>
    </row>
    <row r="52" spans="1:9" ht="12" x14ac:dyDescent="0.2">
      <c r="A52" s="280"/>
      <c r="B52" s="280"/>
      <c r="C52" s="280"/>
      <c r="D52" s="280"/>
      <c r="E52" s="280"/>
      <c r="F52" s="280"/>
      <c r="G52" s="280"/>
      <c r="H52" s="280"/>
      <c r="I52" s="280"/>
    </row>
    <row r="53" spans="1:9" ht="49.5" customHeight="1" x14ac:dyDescent="0.2">
      <c r="A53" s="280"/>
      <c r="B53" s="382" t="s">
        <v>900</v>
      </c>
      <c r="C53" s="382"/>
      <c r="D53" s="382"/>
      <c r="E53" s="382"/>
      <c r="F53" s="382"/>
      <c r="G53" s="382"/>
      <c r="H53" s="382"/>
      <c r="I53" s="280"/>
    </row>
  </sheetData>
  <sheetProtection password="B90A" sheet="1" objects="1" scenarios="1"/>
  <mergeCells count="3">
    <mergeCell ref="F2:H2"/>
    <mergeCell ref="A1:H1"/>
    <mergeCell ref="B53:H53"/>
  </mergeCells>
  <phoneticPr fontId="0" type="noConversion"/>
  <dataValidations count="1">
    <dataValidation type="list" allowBlank="1" showInputMessage="1" showErrorMessage="1" sqref="F36" xr:uid="{00000000-0002-0000-0400-000000000000}">
      <formula1>"YES,NO"</formula1>
    </dataValidation>
  </dataValidations>
  <pageMargins left="0.5" right="0.5" top="0.5" bottom="0.5" header="0.5" footer="0.5"/>
  <pageSetup scale="88" orientation="landscape" r:id="rId1"/>
  <headerFooter alignWithMargins="0"/>
</worksheet>
</file>

<file path=xl/worksheets/sheet6.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500-000000000000}">
  <sheetPr>
    <tabColor theme="9" tint="-0.249977111117893"/>
    <pageSetUpPr fitToPage="1"/>
  </sheetPr>
  <dimension ref="A1:R725"/>
  <sheetViews>
    <sheetView topLeftCell="A7" zoomScaleNormal="100" workbookViewId="0">
      <selection activeCell="D7" sqref="D7"/>
    </sheetView>
  </sheetViews>
  <sheetFormatPr defaultRowHeight="11.25" x14ac:dyDescent="0.2"/>
  <cols>
    <col min="1" max="1" width="35.6640625" customWidth="1"/>
    <col min="2" max="2" width="22.33203125" customWidth="1"/>
    <col min="3" max="3" width="22" customWidth="1"/>
    <col min="4" max="4" width="19.33203125" customWidth="1"/>
    <col min="5" max="5" width="18" customWidth="1"/>
    <col min="6" max="6" width="20.33203125" customWidth="1"/>
    <col min="7" max="7" width="23.83203125" customWidth="1"/>
    <col min="8" max="8" width="19.1640625" customWidth="1"/>
    <col min="9" max="9" width="42.33203125" customWidth="1"/>
    <col min="13" max="13" width="11.83203125" customWidth="1"/>
    <col min="14" max="14" width="19.5" style="32" customWidth="1"/>
    <col min="15" max="15" width="19.5" customWidth="1"/>
    <col min="16" max="16" width="31.83203125" customWidth="1"/>
    <col min="17" max="17" width="16.6640625" customWidth="1"/>
  </cols>
  <sheetData>
    <row r="1" spans="1:18" x14ac:dyDescent="0.2">
      <c r="A1" s="126" t="s">
        <v>904</v>
      </c>
      <c r="B1" s="126" t="s">
        <v>905</v>
      </c>
      <c r="C1" s="126"/>
      <c r="D1" s="309" t="s">
        <v>1566</v>
      </c>
      <c r="E1" s="126"/>
      <c r="F1" s="126"/>
      <c r="G1" s="126"/>
      <c r="H1" s="126"/>
    </row>
    <row r="2" spans="1:18" ht="12" thickBot="1" x14ac:dyDescent="0.25">
      <c r="A2" s="291" t="str">
        <f>'DOE25'!A2</f>
        <v>Fremont</v>
      </c>
      <c r="B2" s="126">
        <f>'DOE25'!B2</f>
        <v>189</v>
      </c>
      <c r="C2" s="126"/>
      <c r="D2" s="126"/>
      <c r="E2" s="126"/>
      <c r="F2" s="126"/>
      <c r="G2" s="126"/>
      <c r="H2" s="126"/>
    </row>
    <row r="3" spans="1:18" ht="36.75" customHeight="1" thickBot="1" x14ac:dyDescent="0.3">
      <c r="A3" s="292" t="s">
        <v>1540</v>
      </c>
      <c r="B3" s="293"/>
      <c r="C3" s="293"/>
      <c r="D3" s="294" t="s">
        <v>1541</v>
      </c>
      <c r="E3" s="294" t="s">
        <v>1542</v>
      </c>
      <c r="F3" s="295" t="s">
        <v>1549</v>
      </c>
      <c r="G3" s="296" t="s">
        <v>1550</v>
      </c>
      <c r="H3" s="297" t="s">
        <v>1532</v>
      </c>
      <c r="I3" s="126"/>
      <c r="N3" s="285"/>
      <c r="O3" s="285"/>
      <c r="P3" s="285"/>
      <c r="Q3" s="285"/>
      <c r="R3" s="286"/>
    </row>
    <row r="4" spans="1:18" ht="11.25" customHeight="1" thickBot="1" x14ac:dyDescent="0.25">
      <c r="A4" s="294" t="s">
        <v>1530</v>
      </c>
      <c r="B4" s="294" t="s">
        <v>1531</v>
      </c>
      <c r="C4" s="294" t="s">
        <v>904</v>
      </c>
      <c r="D4" s="294" t="s">
        <v>786</v>
      </c>
      <c r="E4" s="294" t="s">
        <v>786</v>
      </c>
      <c r="F4" s="298">
        <f>SUM(F5:F20)</f>
        <v>7314540.7600000007</v>
      </c>
      <c r="G4" s="299">
        <f>'DOE25'!L212+'DOE25'!L291</f>
        <v>7314540.7599999998</v>
      </c>
      <c r="H4" s="340">
        <f>F4-G4</f>
        <v>0</v>
      </c>
      <c r="I4" s="383" t="str">
        <f>IF(H4=0,"","ISSUES!! Please review page 7 and 11 totals in comparison with total on this page")</f>
        <v/>
      </c>
      <c r="N4"/>
    </row>
    <row r="5" spans="1:18" x14ac:dyDescent="0.2">
      <c r="A5" s="126" t="s">
        <v>1548</v>
      </c>
      <c r="B5" s="300">
        <f>IFERROR(VLOOKUP(A5,'School Tables'!$C$3:$D$365,2,FALSE),"")</f>
        <v>99999</v>
      </c>
      <c r="C5" s="293" t="str">
        <f>IFERROR(INDEX('School Tables'!$B$3:$B$365,MATCH('School Level Expenditures'!B5,'School Tables'!$D$3:$D$365,0)),"")</f>
        <v>Other District Expenditures</v>
      </c>
      <c r="D5" s="290"/>
      <c r="E5" s="290"/>
      <c r="F5" s="303">
        <f>D5+E5</f>
        <v>0</v>
      </c>
      <c r="G5" s="293"/>
      <c r="H5" s="293"/>
      <c r="I5" s="384"/>
      <c r="N5"/>
    </row>
    <row r="6" spans="1:18" x14ac:dyDescent="0.2">
      <c r="A6" s="126" t="str" cm="1">
        <f t="array" ref="A6">IFERROR(INDEX('School Tables'!$A$4:$G$325,'School Tables'!$J4,3),"")</f>
        <v>Ellis School</v>
      </c>
      <c r="B6" s="300">
        <f>IFERROR(VLOOKUP(A6,'School Tables'!$C$3:$D$365,2,FALSE),"")</f>
        <v>20525</v>
      </c>
      <c r="C6" s="293" t="str">
        <f>IFERROR(INDEX('School Tables'!$B$3:$B$365,MATCH('School Level Expenditures'!B6,'School Tables'!$D$3:$D$365,0)),"")</f>
        <v>Fremont</v>
      </c>
      <c r="D6" s="290">
        <f>7002165.57-14500-13658.56-857.14</f>
        <v>6973149.870000001</v>
      </c>
      <c r="E6" s="290">
        <v>341390.89</v>
      </c>
      <c r="F6" s="303">
        <f t="shared" ref="F6:F20" si="0">D6+E6</f>
        <v>7314540.7600000007</v>
      </c>
      <c r="G6" s="293"/>
      <c r="H6" s="293"/>
      <c r="I6" s="384"/>
      <c r="N6"/>
    </row>
    <row r="7" spans="1:18" x14ac:dyDescent="0.2">
      <c r="A7" s="126" t="str" cm="1">
        <f t="array" ref="A7">IFERROR(INDEX('School Tables'!$A$4:$G$325,'School Tables'!$J5,3),"")</f>
        <v/>
      </c>
      <c r="B7" s="300" t="str">
        <f>IFERROR(VLOOKUP(A7,'School Tables'!$C$3:$D$365,2,FALSE),"")</f>
        <v/>
      </c>
      <c r="C7" s="293" t="str">
        <f>IFERROR(INDEX('School Tables'!$B$3:$B$365,MATCH('School Level Expenditures'!B7,'School Tables'!$D$3:$D$365,0)),"")</f>
        <v/>
      </c>
      <c r="D7" s="290"/>
      <c r="E7" s="290"/>
      <c r="F7" s="303">
        <f t="shared" si="0"/>
        <v>0</v>
      </c>
      <c r="G7" s="293"/>
      <c r="H7" s="293"/>
      <c r="I7" s="341"/>
      <c r="N7"/>
    </row>
    <row r="8" spans="1:18" x14ac:dyDescent="0.2">
      <c r="A8" s="126" t="str" cm="1">
        <f t="array" ref="A8">IFERROR(INDEX('School Tables'!$A$4:$G$325,'School Tables'!$J6,3),"")</f>
        <v/>
      </c>
      <c r="B8" s="300" t="str">
        <f>IFERROR(VLOOKUP(A8,'School Tables'!$C$3:$D$365,2,FALSE),"")</f>
        <v/>
      </c>
      <c r="C8" s="293" t="str">
        <f>IFERROR(INDEX('School Tables'!$B$3:$B$365,MATCH('School Level Expenditures'!B8,'School Tables'!$D$3:$D$365,0)),"")</f>
        <v/>
      </c>
      <c r="D8" s="290"/>
      <c r="E8" s="290"/>
      <c r="F8" s="303">
        <f t="shared" si="0"/>
        <v>0</v>
      </c>
      <c r="G8" s="293"/>
      <c r="H8" s="293"/>
      <c r="I8" s="341"/>
      <c r="N8"/>
    </row>
    <row r="9" spans="1:18" x14ac:dyDescent="0.2">
      <c r="A9" s="126" t="str" cm="1">
        <f t="array" ref="A9">IFERROR(INDEX('School Tables'!$A$4:$G$325,'School Tables'!$J7,3),"")</f>
        <v/>
      </c>
      <c r="B9" s="300" t="str">
        <f>IFERROR(VLOOKUP(A9,'School Tables'!$C$3:$D$365,2,FALSE),"")</f>
        <v/>
      </c>
      <c r="C9" s="293" t="str">
        <f>IFERROR(INDEX('School Tables'!$B$3:$B$365,MATCH('School Level Expenditures'!B9,'School Tables'!$D$3:$D$365,0)),"")</f>
        <v/>
      </c>
      <c r="D9" s="290"/>
      <c r="E9" s="290"/>
      <c r="F9" s="303">
        <f t="shared" si="0"/>
        <v>0</v>
      </c>
      <c r="G9" s="293"/>
      <c r="H9" s="293"/>
      <c r="I9" s="341"/>
      <c r="N9"/>
    </row>
    <row r="10" spans="1:18" x14ac:dyDescent="0.2">
      <c r="A10" s="126" t="str" cm="1">
        <f t="array" ref="A10">IFERROR(INDEX('School Tables'!$A$4:$G$325,'School Tables'!$J8,3),"")</f>
        <v/>
      </c>
      <c r="B10" s="300" t="str">
        <f>IFERROR(VLOOKUP(A10,'School Tables'!$C$3:$D$365,2,FALSE),"")</f>
        <v/>
      </c>
      <c r="C10" s="293" t="str">
        <f>IFERROR(INDEX('School Tables'!$B$3:$B$365,MATCH('School Level Expenditures'!B10,'School Tables'!$D$3:$D$365,0)),"")</f>
        <v/>
      </c>
      <c r="D10" s="290"/>
      <c r="E10" s="290"/>
      <c r="F10" s="303">
        <f t="shared" si="0"/>
        <v>0</v>
      </c>
      <c r="G10" s="293"/>
      <c r="H10" s="293"/>
      <c r="I10" s="126"/>
      <c r="N10"/>
    </row>
    <row r="11" spans="1:18" x14ac:dyDescent="0.2">
      <c r="A11" s="126" t="str" cm="1">
        <f t="array" ref="A11">IFERROR(INDEX('School Tables'!$A$4:$G$325,'School Tables'!$J9,3),"")</f>
        <v/>
      </c>
      <c r="B11" s="300" t="str">
        <f>IFERROR(VLOOKUP(A11,'School Tables'!$C$3:$D$365,2,FALSE),"")</f>
        <v/>
      </c>
      <c r="C11" s="293" t="str">
        <f>IFERROR(INDEX('School Tables'!$B$3:$B$365,MATCH('School Level Expenditures'!B11,'School Tables'!$D$3:$D$365,0)),"")</f>
        <v/>
      </c>
      <c r="D11" s="290"/>
      <c r="E11" s="290"/>
      <c r="F11" s="303">
        <f t="shared" si="0"/>
        <v>0</v>
      </c>
      <c r="G11" s="293"/>
      <c r="H11" s="293"/>
      <c r="I11" s="126"/>
      <c r="N11"/>
    </row>
    <row r="12" spans="1:18" x14ac:dyDescent="0.2">
      <c r="A12" s="126" t="str" cm="1">
        <f t="array" ref="A12">IFERROR(INDEX('School Tables'!$A$4:$G$325,'School Tables'!$J10,3),"")</f>
        <v/>
      </c>
      <c r="B12" s="300" t="str">
        <f>IFERROR(VLOOKUP(A12,'School Tables'!$C$3:$D$365,2,FALSE),"")</f>
        <v/>
      </c>
      <c r="C12" s="293" t="str">
        <f>IFERROR(INDEX('School Tables'!$B$3:$B$365,MATCH('School Level Expenditures'!B12,'School Tables'!$D$3:$D$365,0)),"")</f>
        <v/>
      </c>
      <c r="D12" s="290"/>
      <c r="E12" s="290"/>
      <c r="F12" s="303">
        <f t="shared" si="0"/>
        <v>0</v>
      </c>
      <c r="G12" s="293"/>
      <c r="H12" s="293"/>
      <c r="I12" s="126"/>
      <c r="N12"/>
    </row>
    <row r="13" spans="1:18" x14ac:dyDescent="0.2">
      <c r="A13" s="126" t="str" cm="1">
        <f t="array" ref="A13">IFERROR(INDEX('School Tables'!$A$4:$G$325,'School Tables'!$J11,3),"")</f>
        <v/>
      </c>
      <c r="B13" s="300" t="str">
        <f>IFERROR(VLOOKUP(A13,'School Tables'!$C$3:$D$365,2,FALSE),"")</f>
        <v/>
      </c>
      <c r="C13" s="293" t="str">
        <f>IFERROR(INDEX('School Tables'!$B$3:$B$365,MATCH('School Level Expenditures'!B13,'School Tables'!$D$3:$D$365,0)),"")</f>
        <v/>
      </c>
      <c r="D13" s="290"/>
      <c r="E13" s="290"/>
      <c r="F13" s="303">
        <f t="shared" si="0"/>
        <v>0</v>
      </c>
      <c r="G13" s="293"/>
      <c r="H13" s="293"/>
      <c r="I13" s="126"/>
      <c r="N13"/>
    </row>
    <row r="14" spans="1:18" x14ac:dyDescent="0.2">
      <c r="A14" s="126" t="str" cm="1">
        <f t="array" ref="A14">IFERROR(INDEX('School Tables'!$A$4:$G$325,'School Tables'!$J12,3),"")</f>
        <v/>
      </c>
      <c r="B14" s="300" t="str">
        <f>IFERROR(VLOOKUP(A14,'School Tables'!$C$3:$D$365,2,FALSE),"")</f>
        <v/>
      </c>
      <c r="C14" s="293" t="str">
        <f>IFERROR(INDEX('School Tables'!$B$3:$B$365,MATCH('School Level Expenditures'!B14,'School Tables'!$D$3:$D$365,0)),"")</f>
        <v/>
      </c>
      <c r="D14" s="290"/>
      <c r="E14" s="290"/>
      <c r="F14" s="303">
        <f t="shared" si="0"/>
        <v>0</v>
      </c>
      <c r="G14" s="293"/>
      <c r="H14" s="293"/>
      <c r="I14" s="126"/>
      <c r="N14"/>
    </row>
    <row r="15" spans="1:18" x14ac:dyDescent="0.2">
      <c r="A15" s="126" t="str" cm="1">
        <f t="array" ref="A15">IFERROR(INDEX('School Tables'!$A$4:$G$325,'School Tables'!$J13,3),"")</f>
        <v/>
      </c>
      <c r="B15" s="300" t="str">
        <f>IFERROR(VLOOKUP(A15,'School Tables'!$C$3:$D$365,2,FALSE),"")</f>
        <v/>
      </c>
      <c r="C15" s="293" t="str">
        <f>IFERROR(INDEX('School Tables'!$B$3:$B$365,MATCH('School Level Expenditures'!B15,'School Tables'!$D$3:$D$365,0)),"")</f>
        <v/>
      </c>
      <c r="D15" s="290"/>
      <c r="E15" s="290"/>
      <c r="F15" s="303">
        <f t="shared" si="0"/>
        <v>0</v>
      </c>
      <c r="G15" s="293"/>
      <c r="H15" s="293"/>
      <c r="I15" s="126"/>
      <c r="N15"/>
    </row>
    <row r="16" spans="1:18" x14ac:dyDescent="0.2">
      <c r="A16" s="126" t="str" cm="1">
        <f t="array" ref="A16">IFERROR(INDEX('School Tables'!$A$4:$G$325,'School Tables'!$J14,3),"")</f>
        <v/>
      </c>
      <c r="B16" s="300" t="str">
        <f>IFERROR(VLOOKUP(A16,'School Tables'!$C$3:$D$365,2,FALSE),"")</f>
        <v/>
      </c>
      <c r="C16" s="293" t="str">
        <f>IFERROR(INDEX('School Tables'!$B$3:$B$365,MATCH('School Level Expenditures'!B16,'School Tables'!$D$3:$D$365,0)),"")</f>
        <v/>
      </c>
      <c r="D16" s="290"/>
      <c r="E16" s="290"/>
      <c r="F16" s="303">
        <f t="shared" si="0"/>
        <v>0</v>
      </c>
      <c r="G16" s="293"/>
      <c r="H16" s="293"/>
      <c r="I16" s="126"/>
      <c r="N16"/>
    </row>
    <row r="17" spans="1:14" x14ac:dyDescent="0.2">
      <c r="A17" s="126" t="str" cm="1">
        <f t="array" ref="A17">IFERROR(INDEX('School Tables'!$A$4:$G$325,'School Tables'!$J15,3),"")</f>
        <v/>
      </c>
      <c r="B17" s="300" t="str">
        <f>IFERROR(VLOOKUP(A17,'School Tables'!$C$3:$D$365,2,FALSE),"")</f>
        <v/>
      </c>
      <c r="C17" s="293" t="str">
        <f>IFERROR(INDEX('School Tables'!$B$3:$B$365,MATCH('School Level Expenditures'!B17,'School Tables'!$D$3:$D$365,0)),"")</f>
        <v/>
      </c>
      <c r="D17" s="290"/>
      <c r="E17" s="290"/>
      <c r="F17" s="303">
        <f t="shared" si="0"/>
        <v>0</v>
      </c>
      <c r="G17" s="293"/>
      <c r="H17" s="293"/>
      <c r="I17" s="126"/>
      <c r="N17"/>
    </row>
    <row r="18" spans="1:14" x14ac:dyDescent="0.2">
      <c r="A18" s="126" t="str" cm="1">
        <f t="array" ref="A18">IFERROR(INDEX('School Tables'!$A$4:$G$325,'School Tables'!$J16,3),"")</f>
        <v/>
      </c>
      <c r="B18" s="300" t="str">
        <f>IFERROR(VLOOKUP(A18,'School Tables'!$C$3:$D$365,2,FALSE),"")</f>
        <v/>
      </c>
      <c r="C18" s="293" t="str">
        <f>IFERROR(INDEX('School Tables'!$B$3:$B$365,MATCH('School Level Expenditures'!B18,'School Tables'!$D$3:$D$365,0)),"")</f>
        <v/>
      </c>
      <c r="D18" s="290"/>
      <c r="E18" s="290"/>
      <c r="F18" s="303">
        <f t="shared" si="0"/>
        <v>0</v>
      </c>
      <c r="G18" s="293"/>
      <c r="H18" s="293"/>
      <c r="I18" s="126"/>
      <c r="N18"/>
    </row>
    <row r="19" spans="1:14" x14ac:dyDescent="0.2">
      <c r="A19" s="126" t="str" cm="1">
        <f t="array" ref="A19">IFERROR(INDEX('School Tables'!$A$4:$G$325,'School Tables'!$J17,3),"")</f>
        <v/>
      </c>
      <c r="B19" s="300" t="str">
        <f>IFERROR(VLOOKUP(A19,'School Tables'!$C$3:$D$365,2,FALSE),"")</f>
        <v/>
      </c>
      <c r="C19" s="293" t="str">
        <f>IFERROR(INDEX('School Tables'!$B$3:$B$365,MATCH('School Level Expenditures'!B19,'School Tables'!$D$3:$D$365,0)),"")</f>
        <v/>
      </c>
      <c r="D19" s="290"/>
      <c r="E19" s="290"/>
      <c r="F19" s="303">
        <f t="shared" si="0"/>
        <v>0</v>
      </c>
      <c r="G19" s="293"/>
      <c r="H19" s="293"/>
      <c r="I19" s="126"/>
      <c r="N19"/>
    </row>
    <row r="20" spans="1:14" x14ac:dyDescent="0.2">
      <c r="A20" s="126" t="str" cm="1">
        <f t="array" ref="A20">IFERROR(INDEX('School Tables'!$A$4:$G$325,'School Tables'!$J18,3),"")</f>
        <v/>
      </c>
      <c r="B20" s="300" t="str">
        <f>IFERROR(VLOOKUP(A20,'School Tables'!$C$3:$D$365,2,FALSE),"")</f>
        <v/>
      </c>
      <c r="C20" s="293" t="str">
        <f>IFERROR(INDEX('School Tables'!$B$3:$B$365,MATCH('School Level Expenditures'!B20,'School Tables'!$D$3:$D$365,0)),"")</f>
        <v/>
      </c>
      <c r="D20" s="290"/>
      <c r="E20" s="290"/>
      <c r="F20" s="303">
        <f t="shared" si="0"/>
        <v>0</v>
      </c>
      <c r="G20" s="293"/>
      <c r="H20" s="293"/>
      <c r="I20" s="126"/>
      <c r="N20"/>
    </row>
    <row r="21" spans="1:14" ht="12" thickBot="1" x14ac:dyDescent="0.25">
      <c r="A21" s="126"/>
      <c r="B21" s="301"/>
      <c r="C21" s="302"/>
      <c r="D21" s="338">
        <f>SUM(D5:D20)</f>
        <v>6973149.870000001</v>
      </c>
      <c r="E21" s="338">
        <f>SUM(E5:E20)</f>
        <v>341390.89</v>
      </c>
      <c r="F21" s="302"/>
      <c r="G21" s="302"/>
      <c r="H21" s="302"/>
      <c r="I21" s="126"/>
      <c r="N21"/>
    </row>
    <row r="22" spans="1:14" ht="12.75" thickTop="1" thickBot="1" x14ac:dyDescent="0.25">
      <c r="A22" s="126"/>
      <c r="B22" s="301"/>
      <c r="C22" s="302"/>
      <c r="D22" s="290"/>
      <c r="E22" s="290"/>
      <c r="F22" s="302"/>
      <c r="G22" s="302"/>
      <c r="H22" s="302"/>
      <c r="I22" s="126"/>
      <c r="N22"/>
    </row>
    <row r="23" spans="1:14" ht="34.5" x14ac:dyDescent="0.25">
      <c r="A23" s="292" t="s">
        <v>1543</v>
      </c>
      <c r="B23" s="293"/>
      <c r="C23" s="293"/>
      <c r="D23" s="294" t="s">
        <v>1541</v>
      </c>
      <c r="E23" s="294" t="s">
        <v>1542</v>
      </c>
      <c r="F23" s="295" t="s">
        <v>1549</v>
      </c>
      <c r="G23" s="296" t="s">
        <v>1551</v>
      </c>
      <c r="H23" s="297" t="s">
        <v>1532</v>
      </c>
      <c r="I23" s="126"/>
      <c r="N23"/>
    </row>
    <row r="24" spans="1:14" ht="12" thickBot="1" x14ac:dyDescent="0.25">
      <c r="A24" s="294" t="s">
        <v>1544</v>
      </c>
      <c r="B24" s="294" t="s">
        <v>1545</v>
      </c>
      <c r="C24" s="294" t="s">
        <v>904</v>
      </c>
      <c r="D24" s="294" t="s">
        <v>786</v>
      </c>
      <c r="E24" s="294" t="s">
        <v>786</v>
      </c>
      <c r="F24" s="304">
        <f>SUM(F25:F32)</f>
        <v>0</v>
      </c>
      <c r="G24" s="299">
        <f>'DOE25'!L230+'DOE25'!L310</f>
        <v>0</v>
      </c>
      <c r="H24" s="340">
        <f>F24-G24</f>
        <v>0</v>
      </c>
      <c r="I24" s="383" t="str">
        <f>IF(H24=0,"","ISSUES!! Please review page 8 and 12 totals in comparison with total on this page")</f>
        <v/>
      </c>
      <c r="N24"/>
    </row>
    <row r="25" spans="1:14" x14ac:dyDescent="0.2">
      <c r="A25" s="126" t="s">
        <v>1548</v>
      </c>
      <c r="B25" s="300">
        <v>99999</v>
      </c>
      <c r="C25" s="293" t="s">
        <v>1548</v>
      </c>
      <c r="D25" s="290"/>
      <c r="E25" s="290"/>
      <c r="F25" s="303">
        <f>D25+E25</f>
        <v>0</v>
      </c>
      <c r="G25" s="293"/>
      <c r="H25" s="293"/>
      <c r="I25" s="384"/>
      <c r="N25"/>
    </row>
    <row r="26" spans="1:14" x14ac:dyDescent="0.2">
      <c r="A26" s="126" t="str" cm="1">
        <f t="array" ref="A26">IFERROR(INDEX('School Tables'!$L$4:$R$75,'School Tables'!$U4,3),"")</f>
        <v/>
      </c>
      <c r="B26" s="300" t="str">
        <f>IFERROR(VLOOKUP(A26,'School Tables'!$N$4:$O$75,2,FALSE),"")</f>
        <v/>
      </c>
      <c r="C26" s="293" t="str">
        <f>IFERROR(INDEX('School Tables'!$M$4:$M$75,MATCH('School Level Expenditures'!A26,'School Tables'!$N$4:$N$75,0)),"")</f>
        <v/>
      </c>
      <c r="D26" s="290"/>
      <c r="E26" s="290"/>
      <c r="F26" s="303">
        <f t="shared" ref="F26:F32" si="1">D26+E26</f>
        <v>0</v>
      </c>
      <c r="G26" s="293"/>
      <c r="H26" s="293"/>
      <c r="I26" s="384"/>
      <c r="N26"/>
    </row>
    <row r="27" spans="1:14" x14ac:dyDescent="0.2">
      <c r="A27" s="126" t="str" cm="1">
        <f t="array" ref="A27">IFERROR(INDEX('School Tables'!$L$4:$R$75,'School Tables'!$U5,3),"")</f>
        <v/>
      </c>
      <c r="B27" s="300" t="str">
        <f>IFERROR(VLOOKUP(A27,'School Tables'!$N$4:$O$75,2,FALSE),"")</f>
        <v/>
      </c>
      <c r="C27" s="293" t="str">
        <f>IFERROR(INDEX('School Tables'!$M$4:$M$75,MATCH('School Level Expenditures'!A27,'School Tables'!$N$4:$N$75,0)),"")</f>
        <v/>
      </c>
      <c r="D27" s="290"/>
      <c r="E27" s="290"/>
      <c r="F27" s="303">
        <f t="shared" si="1"/>
        <v>0</v>
      </c>
      <c r="G27" s="293"/>
      <c r="H27" s="293"/>
      <c r="I27" s="126"/>
      <c r="N27"/>
    </row>
    <row r="28" spans="1:14" x14ac:dyDescent="0.2">
      <c r="A28" s="126" t="str" cm="1">
        <f t="array" ref="A28">IFERROR(INDEX('School Tables'!$L$4:$R$75,'School Tables'!$U6,3),"")</f>
        <v/>
      </c>
      <c r="B28" s="300" t="str">
        <f>IFERROR(VLOOKUP(A28,'School Tables'!$N$4:$O$75,2,FALSE),"")</f>
        <v/>
      </c>
      <c r="C28" s="293" t="str">
        <f>IFERROR(INDEX('School Tables'!$M$4:$M$75,MATCH('School Level Expenditures'!A28,'School Tables'!$N$4:$N$75,0)),"")</f>
        <v/>
      </c>
      <c r="D28" s="290"/>
      <c r="E28" s="290"/>
      <c r="F28" s="303">
        <f t="shared" si="1"/>
        <v>0</v>
      </c>
      <c r="G28" s="293"/>
      <c r="H28" s="293"/>
      <c r="I28" s="126"/>
      <c r="N28"/>
    </row>
    <row r="29" spans="1:14" x14ac:dyDescent="0.2">
      <c r="A29" s="126" t="str" cm="1">
        <f t="array" ref="A29">IFERROR(INDEX('School Tables'!$L$4:$R$75,'School Tables'!$U7,3),"")</f>
        <v/>
      </c>
      <c r="B29" s="300" t="str">
        <f>IFERROR(VLOOKUP(A29,'School Tables'!$N$4:$O$75,2,FALSE),"")</f>
        <v/>
      </c>
      <c r="C29" s="293" t="str">
        <f>IFERROR(INDEX('School Tables'!$M$4:$M$75,MATCH('School Level Expenditures'!A29,'School Tables'!$N$4:$N$75,0)),"")</f>
        <v/>
      </c>
      <c r="D29" s="290"/>
      <c r="E29" s="290"/>
      <c r="F29" s="303">
        <f t="shared" si="1"/>
        <v>0</v>
      </c>
      <c r="G29" s="293"/>
      <c r="H29" s="293"/>
      <c r="I29" s="126"/>
      <c r="N29"/>
    </row>
    <row r="30" spans="1:14" x14ac:dyDescent="0.2">
      <c r="A30" s="126" t="str" cm="1">
        <f t="array" ref="A30">IFERROR(INDEX('School Tables'!$L$4:$R$75,'School Tables'!$U8,3),"")</f>
        <v/>
      </c>
      <c r="B30" s="300" t="str">
        <f>IFERROR(VLOOKUP(A30,'School Tables'!$N$4:$O$75,2,FALSE),"")</f>
        <v/>
      </c>
      <c r="C30" s="293" t="str">
        <f>IFERROR(INDEX('School Tables'!$M$4:$M$75,MATCH('School Level Expenditures'!A30,'School Tables'!$N$4:$N$75,0)),"")</f>
        <v/>
      </c>
      <c r="D30" s="290"/>
      <c r="E30" s="290"/>
      <c r="F30" s="303">
        <f t="shared" si="1"/>
        <v>0</v>
      </c>
      <c r="G30" s="293"/>
      <c r="H30" s="293"/>
      <c r="I30" s="126"/>
      <c r="N30"/>
    </row>
    <row r="31" spans="1:14" x14ac:dyDescent="0.2">
      <c r="A31" s="126" t="str" cm="1">
        <f t="array" ref="A31">IFERROR(INDEX('School Tables'!$L$4:$R$75,'School Tables'!$U9,3),"")</f>
        <v/>
      </c>
      <c r="B31" s="300" t="str">
        <f>IFERROR(VLOOKUP(A31,'School Tables'!$N$4:$O$75,2,FALSE),"")</f>
        <v/>
      </c>
      <c r="C31" s="293" t="str">
        <f>IFERROR(INDEX('School Tables'!$M$4:$M$75,MATCH('School Level Expenditures'!A31,'School Tables'!$N$4:$N$75,0)),"")</f>
        <v/>
      </c>
      <c r="D31" s="290"/>
      <c r="E31" s="290"/>
      <c r="F31" s="303">
        <f t="shared" si="1"/>
        <v>0</v>
      </c>
      <c r="G31" s="293"/>
      <c r="H31" s="293"/>
      <c r="I31" s="126"/>
      <c r="N31"/>
    </row>
    <row r="32" spans="1:14" x14ac:dyDescent="0.2">
      <c r="A32" s="126" t="str" cm="1">
        <f t="array" ref="A32">IFERROR(INDEX('School Tables'!$L$4:$R$75,'School Tables'!$U10,3),"")</f>
        <v/>
      </c>
      <c r="B32" s="300" t="str">
        <f>IFERROR(VLOOKUP(A32,'School Tables'!$N$4:$O$75,2,FALSE),"")</f>
        <v/>
      </c>
      <c r="C32" s="293" t="str">
        <f t="array" ref="C32">IFERROR(INDEX('School Tables'!$K$3:$K$80,MATCH('School Level Expenditures'!B32,'School Tables'!$M$3:$M$80,0)),"")</f>
        <v/>
      </c>
      <c r="D32" s="290"/>
      <c r="E32" s="290"/>
      <c r="F32" s="303">
        <f t="shared" si="1"/>
        <v>0</v>
      </c>
      <c r="G32" s="293"/>
      <c r="H32" s="293"/>
      <c r="I32" s="126"/>
      <c r="N32"/>
    </row>
    <row r="33" spans="1:14" ht="12" thickBot="1" x14ac:dyDescent="0.25">
      <c r="A33" s="126"/>
      <c r="B33" s="301"/>
      <c r="C33" s="302"/>
      <c r="D33" s="338">
        <f>SUM(D25:D32)</f>
        <v>0</v>
      </c>
      <c r="E33" s="338">
        <f>SUM(E25:E32)</f>
        <v>0</v>
      </c>
      <c r="F33" s="302"/>
      <c r="G33" s="302"/>
      <c r="H33" s="302"/>
      <c r="I33" s="126"/>
      <c r="N33"/>
    </row>
    <row r="34" spans="1:14" ht="12.75" thickTop="1" thickBot="1" x14ac:dyDescent="0.25">
      <c r="A34" s="126"/>
      <c r="B34" s="301"/>
      <c r="C34" s="302"/>
      <c r="D34" s="290"/>
      <c r="E34" s="290"/>
      <c r="F34" s="302"/>
      <c r="G34" s="302"/>
      <c r="H34" s="302"/>
      <c r="I34" s="126"/>
      <c r="N34"/>
    </row>
    <row r="35" spans="1:14" ht="34.5" x14ac:dyDescent="0.25">
      <c r="A35" s="288" t="s">
        <v>367</v>
      </c>
      <c r="B35" s="293"/>
      <c r="C35" s="293"/>
      <c r="D35" s="294" t="s">
        <v>1541</v>
      </c>
      <c r="E35" s="294" t="s">
        <v>1542</v>
      </c>
      <c r="F35" s="295" t="s">
        <v>1549</v>
      </c>
      <c r="G35" s="296" t="s">
        <v>1552</v>
      </c>
      <c r="H35" s="297" t="s">
        <v>1532</v>
      </c>
      <c r="I35" s="126"/>
      <c r="N35"/>
    </row>
    <row r="36" spans="1:14" ht="12" thickBot="1" x14ac:dyDescent="0.25">
      <c r="A36" s="289" t="s">
        <v>1546</v>
      </c>
      <c r="B36" s="294" t="s">
        <v>1547</v>
      </c>
      <c r="C36" s="294" t="s">
        <v>904</v>
      </c>
      <c r="D36" s="294" t="s">
        <v>786</v>
      </c>
      <c r="E36" s="294" t="s">
        <v>786</v>
      </c>
      <c r="F36" s="304">
        <f>SUM(F37:F42)</f>
        <v>4475606.8499999996</v>
      </c>
      <c r="G36" s="299">
        <f>'DOE25'!L248+'DOE25'!L329</f>
        <v>4475606.8499999996</v>
      </c>
      <c r="H36" s="340">
        <f>F36-G36</f>
        <v>0</v>
      </c>
      <c r="I36" s="383" t="str">
        <f>IF(H36=0,"","ISSUES!! Please review page 9 and 13 totals in comparison with total on this page")</f>
        <v/>
      </c>
      <c r="N36"/>
    </row>
    <row r="37" spans="1:14" x14ac:dyDescent="0.2">
      <c r="A37" s="126" t="s">
        <v>1548</v>
      </c>
      <c r="B37" s="300">
        <v>99999</v>
      </c>
      <c r="C37" s="293" t="s">
        <v>1548</v>
      </c>
      <c r="D37" s="290">
        <v>4475606.8499999996</v>
      </c>
      <c r="E37" s="290"/>
      <c r="F37" s="303">
        <f t="shared" ref="F37:F42" si="2">D37+E37</f>
        <v>4475606.8499999996</v>
      </c>
      <c r="G37" s="293"/>
      <c r="H37" s="293"/>
      <c r="I37" s="384"/>
      <c r="N37"/>
    </row>
    <row r="38" spans="1:14" x14ac:dyDescent="0.2">
      <c r="A38" s="126" t="str" cm="1">
        <f t="array" ref="A38">IFERROR(INDEX('School Tables'!$W$4:$AC$100,'School Tables'!$AF4,3),"")</f>
        <v/>
      </c>
      <c r="B38" s="300" t="str">
        <f>IFERROR(VLOOKUP(A38,'School Tables'!$Y$4:$Z$100,2,FALSE),"")</f>
        <v/>
      </c>
      <c r="C38" s="293" t="str">
        <f>IFERROR(INDEX('School Tables'!$X$4:$X$100,MATCH('School Level Expenditures'!A38,'School Tables'!$Y$4:$Y$100,0)),"")</f>
        <v/>
      </c>
      <c r="D38" s="290"/>
      <c r="E38" s="290"/>
      <c r="F38" s="303">
        <f t="shared" si="2"/>
        <v>0</v>
      </c>
      <c r="G38" s="293"/>
      <c r="H38" s="293"/>
      <c r="I38" s="384"/>
      <c r="N38"/>
    </row>
    <row r="39" spans="1:14" x14ac:dyDescent="0.2">
      <c r="A39" s="126" t="str" cm="1">
        <f t="array" ref="A39">IFERROR(INDEX('School Tables'!$W$4:$AC$100,'School Tables'!$AF5,3),"")</f>
        <v/>
      </c>
      <c r="B39" s="300" t="str">
        <f>IFERROR(VLOOKUP(A39,'School Tables'!$Y$4:$Z$100,2,FALSE),"")</f>
        <v/>
      </c>
      <c r="C39" s="293" t="str">
        <f>IFERROR(INDEX('School Tables'!$X$4:$X$100,MATCH('School Level Expenditures'!A39,'School Tables'!$Y$4:$Y$100,0)),"")</f>
        <v/>
      </c>
      <c r="D39" s="290"/>
      <c r="E39" s="290"/>
      <c r="F39" s="303">
        <f t="shared" si="2"/>
        <v>0</v>
      </c>
      <c r="G39" s="293"/>
      <c r="H39" s="293"/>
      <c r="I39" s="126"/>
      <c r="N39"/>
    </row>
    <row r="40" spans="1:14" x14ac:dyDescent="0.2">
      <c r="A40" s="126" t="str" cm="1">
        <f t="array" ref="A40">IFERROR(INDEX('School Tables'!$W$4:$AC$100,'School Tables'!$AF6,3),"")</f>
        <v/>
      </c>
      <c r="B40" s="300" t="str">
        <f>IFERROR(VLOOKUP(A40,'School Tables'!$Y$4:$Z$100,2,FALSE),"")</f>
        <v/>
      </c>
      <c r="C40" s="293" t="str">
        <f>IFERROR(INDEX('School Tables'!$X$4:$X$100,MATCH('School Level Expenditures'!A40,'School Tables'!$Y$4:$Y$100,0)),"")</f>
        <v/>
      </c>
      <c r="D40" s="290"/>
      <c r="E40" s="290"/>
      <c r="F40" s="303">
        <f t="shared" si="2"/>
        <v>0</v>
      </c>
      <c r="G40" s="293"/>
      <c r="H40" s="293"/>
      <c r="I40" s="126"/>
      <c r="N40"/>
    </row>
    <row r="41" spans="1:14" x14ac:dyDescent="0.2">
      <c r="A41" s="126" t="str" cm="1">
        <f t="array" ref="A41">IFERROR(INDEX('School Tables'!$W$4:$AC$100,'School Tables'!$AF7,3),"")</f>
        <v/>
      </c>
      <c r="B41" s="300" t="str">
        <f>IFERROR(VLOOKUP(A41,'School Tables'!$Y$4:$Z$100,2,FALSE),"")</f>
        <v/>
      </c>
      <c r="C41" s="293" t="str">
        <f>IFERROR(INDEX('School Tables'!$X$4:$X$100,MATCH('School Level Expenditures'!A41,'School Tables'!$Y$4:$Y$100,0)),"")</f>
        <v/>
      </c>
      <c r="D41" s="21"/>
      <c r="E41" s="21"/>
      <c r="F41" s="303">
        <f t="shared" si="2"/>
        <v>0</v>
      </c>
      <c r="G41" s="293"/>
      <c r="H41" s="293"/>
      <c r="I41" s="126"/>
      <c r="N41"/>
    </row>
    <row r="42" spans="1:14" x14ac:dyDescent="0.2">
      <c r="A42" s="126" t="str" cm="1">
        <f t="array" ref="A42">IFERROR(INDEX('School Tables'!$W$4:$AC$100,'School Tables'!$AF8,3),"")</f>
        <v/>
      </c>
      <c r="B42" s="300" t="str">
        <f>IFERROR(VLOOKUP(A42,'School Tables'!$Y$4:$Z$100,2,FALSE),"")</f>
        <v/>
      </c>
      <c r="C42" s="293" t="str">
        <f>IFERROR(INDEX('School Tables'!$X$4:$X$100,MATCH('School Level Expenditures'!A42,'School Tables'!$Y$4:$Y$100,0)),"")</f>
        <v/>
      </c>
      <c r="D42" s="21"/>
      <c r="E42" s="21"/>
      <c r="F42" s="305">
        <f t="shared" si="2"/>
        <v>0</v>
      </c>
      <c r="G42" s="306"/>
      <c r="H42" s="306"/>
      <c r="N42"/>
    </row>
    <row r="43" spans="1:14" ht="12" thickBot="1" x14ac:dyDescent="0.25">
      <c r="D43" s="338">
        <f>SUM(D37:D42)</f>
        <v>4475606.8499999996</v>
      </c>
      <c r="E43" s="339">
        <f>SUM(E37:E42)</f>
        <v>0</v>
      </c>
      <c r="N43"/>
    </row>
    <row r="44" spans="1:14" ht="12" thickTop="1" x14ac:dyDescent="0.2">
      <c r="N44"/>
    </row>
    <row r="45" spans="1:14" x14ac:dyDescent="0.2">
      <c r="N45"/>
    </row>
    <row r="46" spans="1:14" ht="12" x14ac:dyDescent="0.2">
      <c r="A46" s="281" t="s">
        <v>767</v>
      </c>
      <c r="B46" s="280"/>
      <c r="C46" s="280"/>
      <c r="D46" s="280"/>
      <c r="E46" s="280"/>
      <c r="F46" s="280"/>
      <c r="G46" s="280"/>
      <c r="H46" s="280"/>
      <c r="N46"/>
    </row>
    <row r="47" spans="1:14" ht="12" x14ac:dyDescent="0.2">
      <c r="A47" s="280" t="s">
        <v>1562</v>
      </c>
      <c r="B47" s="280"/>
      <c r="C47" s="280"/>
      <c r="D47" s="280"/>
      <c r="E47" s="280"/>
      <c r="F47" s="280"/>
      <c r="G47" s="280"/>
      <c r="H47" s="280"/>
      <c r="N47"/>
    </row>
    <row r="48" spans="1:14" ht="12" x14ac:dyDescent="0.2">
      <c r="A48" s="280" t="s">
        <v>1563</v>
      </c>
      <c r="B48" s="280"/>
      <c r="C48" s="280"/>
      <c r="D48" s="280"/>
      <c r="E48" s="280"/>
      <c r="F48" s="280"/>
      <c r="G48" s="280"/>
      <c r="H48" s="280"/>
      <c r="N48"/>
    </row>
    <row r="49" spans="1:14" ht="12" x14ac:dyDescent="0.2">
      <c r="A49" s="280"/>
      <c r="B49" s="280"/>
      <c r="C49" s="280"/>
      <c r="D49" s="280"/>
      <c r="E49" s="280"/>
      <c r="F49" s="280"/>
      <c r="G49" s="280"/>
      <c r="H49" s="280"/>
      <c r="N49"/>
    </row>
    <row r="50" spans="1:14" ht="12" x14ac:dyDescent="0.2">
      <c r="A50" s="280" t="s">
        <v>1564</v>
      </c>
      <c r="B50" s="280"/>
      <c r="C50" s="280"/>
      <c r="D50" s="280"/>
      <c r="E50" s="280"/>
      <c r="F50" s="280"/>
      <c r="G50" s="280"/>
      <c r="H50" s="280"/>
      <c r="N50"/>
    </row>
    <row r="51" spans="1:14" ht="12" x14ac:dyDescent="0.2">
      <c r="A51" s="280"/>
      <c r="B51" s="280"/>
      <c r="C51" s="280"/>
      <c r="D51" s="280"/>
      <c r="E51" s="280"/>
      <c r="F51" s="280"/>
      <c r="G51" s="280"/>
      <c r="H51" s="280"/>
      <c r="N51"/>
    </row>
    <row r="52" spans="1:14" ht="12" x14ac:dyDescent="0.2">
      <c r="A52" s="280" t="s">
        <v>1565</v>
      </c>
      <c r="B52" s="280"/>
      <c r="C52" s="280"/>
      <c r="D52" s="280"/>
      <c r="E52" s="280"/>
      <c r="F52" s="280"/>
      <c r="G52" s="280"/>
      <c r="H52" s="280"/>
      <c r="N52"/>
    </row>
    <row r="53" spans="1:14" ht="12" x14ac:dyDescent="0.2">
      <c r="A53" s="280"/>
      <c r="B53" s="280"/>
      <c r="C53" s="280"/>
      <c r="D53" s="280"/>
      <c r="E53" s="280"/>
      <c r="F53" s="280"/>
      <c r="G53" s="280"/>
      <c r="H53" s="280"/>
      <c r="N53"/>
    </row>
    <row r="54" spans="1:14" ht="12" x14ac:dyDescent="0.2">
      <c r="A54" s="280"/>
      <c r="B54" s="280"/>
      <c r="C54" s="280"/>
      <c r="D54" s="280"/>
      <c r="E54" s="280"/>
      <c r="F54" s="280"/>
      <c r="G54" s="280"/>
      <c r="H54" s="280"/>
      <c r="N54"/>
    </row>
    <row r="55" spans="1:14" ht="12" x14ac:dyDescent="0.2">
      <c r="A55" s="280"/>
      <c r="B55" s="280"/>
      <c r="C55" s="280"/>
      <c r="D55" s="280"/>
      <c r="E55" s="280"/>
      <c r="F55" s="280"/>
      <c r="G55" s="280"/>
      <c r="H55" s="280"/>
      <c r="N55"/>
    </row>
    <row r="56" spans="1:14" ht="12" x14ac:dyDescent="0.2">
      <c r="A56" s="280"/>
      <c r="B56" s="280"/>
      <c r="C56" s="280"/>
      <c r="D56" s="280"/>
      <c r="E56" s="280"/>
      <c r="F56" s="280"/>
      <c r="G56" s="280"/>
      <c r="H56" s="280"/>
      <c r="N56"/>
    </row>
    <row r="57" spans="1:14" ht="12" x14ac:dyDescent="0.2">
      <c r="A57" s="280"/>
      <c r="B57" s="280"/>
      <c r="C57" s="280"/>
      <c r="D57" s="280"/>
      <c r="E57" s="280"/>
      <c r="F57" s="280"/>
      <c r="G57" s="280"/>
      <c r="H57" s="280"/>
      <c r="N57"/>
    </row>
    <row r="58" spans="1:14" ht="12" x14ac:dyDescent="0.2">
      <c r="A58" s="382"/>
      <c r="B58" s="382"/>
      <c r="C58" s="382"/>
      <c r="D58" s="382"/>
      <c r="E58" s="382"/>
      <c r="F58" s="382"/>
      <c r="G58" s="382"/>
      <c r="H58" s="280"/>
      <c r="N58"/>
    </row>
    <row r="59" spans="1:14" x14ac:dyDescent="0.2">
      <c r="N59"/>
    </row>
    <row r="60" spans="1:14" x14ac:dyDescent="0.2">
      <c r="N60"/>
    </row>
    <row r="61" spans="1:14" x14ac:dyDescent="0.2">
      <c r="N61"/>
    </row>
    <row r="62" spans="1:14" x14ac:dyDescent="0.2">
      <c r="N62"/>
    </row>
    <row r="63" spans="1:14" x14ac:dyDescent="0.2">
      <c r="N63"/>
    </row>
    <row r="64" spans="1:14" x14ac:dyDescent="0.2">
      <c r="N64"/>
    </row>
    <row r="65" spans="14:14" x14ac:dyDescent="0.2">
      <c r="N65"/>
    </row>
    <row r="66" spans="14:14" x14ac:dyDescent="0.2">
      <c r="N66"/>
    </row>
    <row r="67" spans="14:14" x14ac:dyDescent="0.2">
      <c r="N67"/>
    </row>
    <row r="68" spans="14:14" x14ac:dyDescent="0.2">
      <c r="N68"/>
    </row>
    <row r="69" spans="14:14" x14ac:dyDescent="0.2">
      <c r="N69"/>
    </row>
    <row r="70" spans="14:14" x14ac:dyDescent="0.2">
      <c r="N70"/>
    </row>
    <row r="71" spans="14:14" x14ac:dyDescent="0.2">
      <c r="N71"/>
    </row>
    <row r="72" spans="14:14" x14ac:dyDescent="0.2">
      <c r="N72"/>
    </row>
    <row r="73" spans="14:14" x14ac:dyDescent="0.2">
      <c r="N73"/>
    </row>
    <row r="74" spans="14:14" x14ac:dyDescent="0.2">
      <c r="N74"/>
    </row>
    <row r="75" spans="14:14" x14ac:dyDescent="0.2">
      <c r="N75"/>
    </row>
    <row r="76" spans="14:14" x14ac:dyDescent="0.2">
      <c r="N76"/>
    </row>
    <row r="77" spans="14:14" x14ac:dyDescent="0.2">
      <c r="N77"/>
    </row>
    <row r="78" spans="14:14" x14ac:dyDescent="0.2">
      <c r="N78"/>
    </row>
    <row r="79" spans="14:14" x14ac:dyDescent="0.2">
      <c r="N79"/>
    </row>
    <row r="80" spans="14:14" x14ac:dyDescent="0.2">
      <c r="N80"/>
    </row>
    <row r="81" spans="14:14" x14ac:dyDescent="0.2">
      <c r="N81"/>
    </row>
    <row r="82" spans="14:14" x14ac:dyDescent="0.2">
      <c r="N82"/>
    </row>
    <row r="83" spans="14:14" x14ac:dyDescent="0.2">
      <c r="N83"/>
    </row>
    <row r="84" spans="14:14" x14ac:dyDescent="0.2">
      <c r="N84"/>
    </row>
    <row r="85" spans="14:14" x14ac:dyDescent="0.2">
      <c r="N85"/>
    </row>
    <row r="86" spans="14:14" x14ac:dyDescent="0.2">
      <c r="N86"/>
    </row>
    <row r="87" spans="14:14" x14ac:dyDescent="0.2">
      <c r="N87"/>
    </row>
    <row r="88" spans="14:14" x14ac:dyDescent="0.2">
      <c r="N88"/>
    </row>
    <row r="89" spans="14:14" x14ac:dyDescent="0.2">
      <c r="N89"/>
    </row>
    <row r="90" spans="14:14" x14ac:dyDescent="0.2">
      <c r="N90"/>
    </row>
    <row r="91" spans="14:14" x14ac:dyDescent="0.2">
      <c r="N91"/>
    </row>
    <row r="92" spans="14:14" x14ac:dyDescent="0.2">
      <c r="N92"/>
    </row>
    <row r="93" spans="14:14" x14ac:dyDescent="0.2">
      <c r="N93"/>
    </row>
    <row r="94" spans="14:14" x14ac:dyDescent="0.2">
      <c r="N94"/>
    </row>
    <row r="95" spans="14:14" x14ac:dyDescent="0.2">
      <c r="N95"/>
    </row>
    <row r="96" spans="14:14" x14ac:dyDescent="0.2">
      <c r="N96"/>
    </row>
    <row r="97" spans="14:14" x14ac:dyDescent="0.2">
      <c r="N97"/>
    </row>
    <row r="98" spans="14:14" x14ac:dyDescent="0.2">
      <c r="N98"/>
    </row>
    <row r="99" spans="14:14" x14ac:dyDescent="0.2">
      <c r="N99"/>
    </row>
    <row r="100" spans="14:14" x14ac:dyDescent="0.2">
      <c r="N100"/>
    </row>
    <row r="101" spans="14:14" x14ac:dyDescent="0.2">
      <c r="N101"/>
    </row>
    <row r="102" spans="14:14" x14ac:dyDescent="0.2">
      <c r="N102"/>
    </row>
    <row r="103" spans="14:14" x14ac:dyDescent="0.2">
      <c r="N103"/>
    </row>
    <row r="104" spans="14:14" x14ac:dyDescent="0.2">
      <c r="N104"/>
    </row>
    <row r="105" spans="14:14" x14ac:dyDescent="0.2">
      <c r="N105"/>
    </row>
    <row r="106" spans="14:14" x14ac:dyDescent="0.2">
      <c r="N106"/>
    </row>
    <row r="107" spans="14:14" x14ac:dyDescent="0.2">
      <c r="N107"/>
    </row>
    <row r="108" spans="14:14" x14ac:dyDescent="0.2">
      <c r="N108"/>
    </row>
    <row r="109" spans="14:14" x14ac:dyDescent="0.2">
      <c r="N109"/>
    </row>
    <row r="110" spans="14:14" x14ac:dyDescent="0.2">
      <c r="N110"/>
    </row>
    <row r="111" spans="14:14" x14ac:dyDescent="0.2">
      <c r="N111"/>
    </row>
    <row r="112" spans="14:14" x14ac:dyDescent="0.2">
      <c r="N112"/>
    </row>
    <row r="113" spans="14:14" x14ac:dyDescent="0.2">
      <c r="N113"/>
    </row>
    <row r="114" spans="14:14" x14ac:dyDescent="0.2">
      <c r="N114"/>
    </row>
    <row r="115" spans="14:14" x14ac:dyDescent="0.2">
      <c r="N115"/>
    </row>
    <row r="116" spans="14:14" x14ac:dyDescent="0.2">
      <c r="N116"/>
    </row>
    <row r="117" spans="14:14" x14ac:dyDescent="0.2">
      <c r="N117"/>
    </row>
    <row r="118" spans="14:14" x14ac:dyDescent="0.2">
      <c r="N118"/>
    </row>
    <row r="119" spans="14:14" x14ac:dyDescent="0.2">
      <c r="N119"/>
    </row>
    <row r="120" spans="14:14" x14ac:dyDescent="0.2">
      <c r="N120"/>
    </row>
    <row r="121" spans="14:14" x14ac:dyDescent="0.2">
      <c r="N121"/>
    </row>
    <row r="122" spans="14:14" x14ac:dyDescent="0.2">
      <c r="N122"/>
    </row>
    <row r="123" spans="14:14" x14ac:dyDescent="0.2">
      <c r="N123"/>
    </row>
    <row r="124" spans="14:14" x14ac:dyDescent="0.2">
      <c r="N124"/>
    </row>
    <row r="125" spans="14:14" x14ac:dyDescent="0.2">
      <c r="N125"/>
    </row>
    <row r="126" spans="14:14" x14ac:dyDescent="0.2">
      <c r="N126"/>
    </row>
    <row r="127" spans="14:14" x14ac:dyDescent="0.2">
      <c r="N127"/>
    </row>
    <row r="128" spans="14:14" x14ac:dyDescent="0.2">
      <c r="N128"/>
    </row>
    <row r="129" spans="14:14" x14ac:dyDescent="0.2">
      <c r="N129"/>
    </row>
    <row r="130" spans="14:14" x14ac:dyDescent="0.2">
      <c r="N130"/>
    </row>
    <row r="131" spans="14:14" x14ac:dyDescent="0.2">
      <c r="N131"/>
    </row>
    <row r="132" spans="14:14" x14ac:dyDescent="0.2">
      <c r="N132"/>
    </row>
    <row r="133" spans="14:14" x14ac:dyDescent="0.2">
      <c r="N133"/>
    </row>
    <row r="134" spans="14:14" x14ac:dyDescent="0.2">
      <c r="N134"/>
    </row>
    <row r="135" spans="14:14" x14ac:dyDescent="0.2">
      <c r="N135"/>
    </row>
    <row r="136" spans="14:14" x14ac:dyDescent="0.2">
      <c r="N136"/>
    </row>
    <row r="137" spans="14:14" x14ac:dyDescent="0.2">
      <c r="N137"/>
    </row>
    <row r="138" spans="14:14" x14ac:dyDescent="0.2">
      <c r="N138"/>
    </row>
    <row r="139" spans="14:14" x14ac:dyDescent="0.2">
      <c r="N139"/>
    </row>
    <row r="140" spans="14:14" x14ac:dyDescent="0.2">
      <c r="N140"/>
    </row>
    <row r="141" spans="14:14" x14ac:dyDescent="0.2">
      <c r="N141"/>
    </row>
    <row r="142" spans="14:14" x14ac:dyDescent="0.2">
      <c r="N142"/>
    </row>
    <row r="143" spans="14:14" x14ac:dyDescent="0.2">
      <c r="N143"/>
    </row>
    <row r="144" spans="14:14" x14ac:dyDescent="0.2">
      <c r="N144"/>
    </row>
    <row r="145" spans="14:14" x14ac:dyDescent="0.2">
      <c r="N145"/>
    </row>
    <row r="146" spans="14:14" x14ac:dyDescent="0.2">
      <c r="N146"/>
    </row>
    <row r="147" spans="14:14" x14ac:dyDescent="0.2">
      <c r="N147"/>
    </row>
    <row r="148" spans="14:14" x14ac:dyDescent="0.2">
      <c r="N148"/>
    </row>
    <row r="149" spans="14:14" x14ac:dyDescent="0.2">
      <c r="N149"/>
    </row>
    <row r="150" spans="14:14" x14ac:dyDescent="0.2">
      <c r="N150"/>
    </row>
    <row r="151" spans="14:14" x14ac:dyDescent="0.2">
      <c r="N151"/>
    </row>
    <row r="152" spans="14:14" x14ac:dyDescent="0.2">
      <c r="N152"/>
    </row>
    <row r="153" spans="14:14" x14ac:dyDescent="0.2">
      <c r="N153"/>
    </row>
    <row r="154" spans="14:14" x14ac:dyDescent="0.2">
      <c r="N154"/>
    </row>
    <row r="155" spans="14:14" x14ac:dyDescent="0.2">
      <c r="N155"/>
    </row>
    <row r="156" spans="14:14" x14ac:dyDescent="0.2">
      <c r="N156"/>
    </row>
    <row r="157" spans="14:14" x14ac:dyDescent="0.2">
      <c r="N157"/>
    </row>
    <row r="158" spans="14:14" x14ac:dyDescent="0.2">
      <c r="N158"/>
    </row>
    <row r="159" spans="14:14" x14ac:dyDescent="0.2">
      <c r="N159"/>
    </row>
    <row r="160" spans="14:14" x14ac:dyDescent="0.2">
      <c r="N160"/>
    </row>
    <row r="161" spans="14:14" x14ac:dyDescent="0.2">
      <c r="N161"/>
    </row>
    <row r="162" spans="14:14" x14ac:dyDescent="0.2">
      <c r="N162"/>
    </row>
    <row r="163" spans="14:14" x14ac:dyDescent="0.2">
      <c r="N163"/>
    </row>
    <row r="164" spans="14:14" x14ac:dyDescent="0.2">
      <c r="N164"/>
    </row>
    <row r="165" spans="14:14" x14ac:dyDescent="0.2">
      <c r="N165"/>
    </row>
    <row r="166" spans="14:14" x14ac:dyDescent="0.2">
      <c r="N166"/>
    </row>
    <row r="167" spans="14:14" x14ac:dyDescent="0.2">
      <c r="N167"/>
    </row>
    <row r="168" spans="14:14" x14ac:dyDescent="0.2">
      <c r="N168"/>
    </row>
    <row r="169" spans="14:14" x14ac:dyDescent="0.2">
      <c r="N169"/>
    </row>
    <row r="170" spans="14:14" x14ac:dyDescent="0.2">
      <c r="N170"/>
    </row>
    <row r="171" spans="14:14" x14ac:dyDescent="0.2">
      <c r="N171"/>
    </row>
    <row r="172" spans="14:14" x14ac:dyDescent="0.2">
      <c r="N172"/>
    </row>
    <row r="173" spans="14:14" x14ac:dyDescent="0.2">
      <c r="N173"/>
    </row>
    <row r="174" spans="14:14" x14ac:dyDescent="0.2">
      <c r="N174"/>
    </row>
    <row r="175" spans="14:14" x14ac:dyDescent="0.2">
      <c r="N175"/>
    </row>
    <row r="176" spans="14:14" x14ac:dyDescent="0.2">
      <c r="N176"/>
    </row>
    <row r="177" spans="14:14" x14ac:dyDescent="0.2">
      <c r="N177"/>
    </row>
    <row r="178" spans="14:14" x14ac:dyDescent="0.2">
      <c r="N178"/>
    </row>
    <row r="179" spans="14:14" x14ac:dyDescent="0.2">
      <c r="N179"/>
    </row>
    <row r="180" spans="14:14" x14ac:dyDescent="0.2">
      <c r="N180"/>
    </row>
    <row r="181" spans="14:14" x14ac:dyDescent="0.2">
      <c r="N181"/>
    </row>
    <row r="182" spans="14:14" x14ac:dyDescent="0.2">
      <c r="N182"/>
    </row>
    <row r="183" spans="14:14" x14ac:dyDescent="0.2">
      <c r="N183"/>
    </row>
    <row r="184" spans="14:14" x14ac:dyDescent="0.2">
      <c r="N184"/>
    </row>
    <row r="185" spans="14:14" x14ac:dyDescent="0.2">
      <c r="N185"/>
    </row>
    <row r="186" spans="14:14" x14ac:dyDescent="0.2">
      <c r="N186"/>
    </row>
    <row r="187" spans="14:14" x14ac:dyDescent="0.2">
      <c r="N187"/>
    </row>
    <row r="188" spans="14:14" x14ac:dyDescent="0.2">
      <c r="N188"/>
    </row>
    <row r="189" spans="14:14" x14ac:dyDescent="0.2">
      <c r="N189"/>
    </row>
    <row r="190" spans="14:14" x14ac:dyDescent="0.2">
      <c r="N190"/>
    </row>
    <row r="191" spans="14:14" x14ac:dyDescent="0.2">
      <c r="N191"/>
    </row>
    <row r="192" spans="14:14" x14ac:dyDescent="0.2">
      <c r="N192"/>
    </row>
    <row r="193" spans="14:14" x14ac:dyDescent="0.2">
      <c r="N193"/>
    </row>
    <row r="194" spans="14:14" x14ac:dyDescent="0.2">
      <c r="N194"/>
    </row>
    <row r="195" spans="14:14" x14ac:dyDescent="0.2">
      <c r="N195"/>
    </row>
    <row r="196" spans="14:14" x14ac:dyDescent="0.2">
      <c r="N196"/>
    </row>
    <row r="197" spans="14:14" x14ac:dyDescent="0.2">
      <c r="N197"/>
    </row>
    <row r="198" spans="14:14" x14ac:dyDescent="0.2">
      <c r="N198"/>
    </row>
    <row r="199" spans="14:14" x14ac:dyDescent="0.2">
      <c r="N199"/>
    </row>
    <row r="200" spans="14:14" x14ac:dyDescent="0.2">
      <c r="N200"/>
    </row>
    <row r="201" spans="14:14" x14ac:dyDescent="0.2">
      <c r="N201"/>
    </row>
    <row r="202" spans="14:14" x14ac:dyDescent="0.2">
      <c r="N202"/>
    </row>
    <row r="203" spans="14:14" x14ac:dyDescent="0.2">
      <c r="N203"/>
    </row>
    <row r="204" spans="14:14" x14ac:dyDescent="0.2">
      <c r="N204"/>
    </row>
    <row r="205" spans="14:14" x14ac:dyDescent="0.2">
      <c r="N205"/>
    </row>
    <row r="206" spans="14:14" x14ac:dyDescent="0.2">
      <c r="N206"/>
    </row>
    <row r="207" spans="14:14" x14ac:dyDescent="0.2">
      <c r="N207"/>
    </row>
    <row r="208" spans="14:14" x14ac:dyDescent="0.2">
      <c r="N208"/>
    </row>
    <row r="209" spans="14:14" x14ac:dyDescent="0.2">
      <c r="N209"/>
    </row>
    <row r="210" spans="14:14" x14ac:dyDescent="0.2">
      <c r="N210"/>
    </row>
    <row r="211" spans="14:14" x14ac:dyDescent="0.2">
      <c r="N211"/>
    </row>
    <row r="212" spans="14:14" x14ac:dyDescent="0.2">
      <c r="N212"/>
    </row>
    <row r="213" spans="14:14" x14ac:dyDescent="0.2">
      <c r="N213"/>
    </row>
    <row r="214" spans="14:14" x14ac:dyDescent="0.2">
      <c r="N214"/>
    </row>
    <row r="215" spans="14:14" x14ac:dyDescent="0.2">
      <c r="N215"/>
    </row>
    <row r="216" spans="14:14" x14ac:dyDescent="0.2">
      <c r="N216"/>
    </row>
    <row r="217" spans="14:14" x14ac:dyDescent="0.2">
      <c r="N217"/>
    </row>
    <row r="218" spans="14:14" x14ac:dyDescent="0.2">
      <c r="N218"/>
    </row>
    <row r="219" spans="14:14" x14ac:dyDescent="0.2">
      <c r="N219"/>
    </row>
    <row r="220" spans="14:14" x14ac:dyDescent="0.2">
      <c r="N220"/>
    </row>
    <row r="221" spans="14:14" x14ac:dyDescent="0.2">
      <c r="N221"/>
    </row>
    <row r="222" spans="14:14" x14ac:dyDescent="0.2">
      <c r="N222"/>
    </row>
    <row r="223" spans="14:14" x14ac:dyDescent="0.2">
      <c r="N223"/>
    </row>
    <row r="224" spans="14:14" x14ac:dyDescent="0.2">
      <c r="N224"/>
    </row>
    <row r="225" spans="14:14" x14ac:dyDescent="0.2">
      <c r="N225"/>
    </row>
    <row r="226" spans="14:14" x14ac:dyDescent="0.2">
      <c r="N226"/>
    </row>
    <row r="227" spans="14:14" x14ac:dyDescent="0.2">
      <c r="N227"/>
    </row>
    <row r="228" spans="14:14" x14ac:dyDescent="0.2">
      <c r="N228"/>
    </row>
    <row r="229" spans="14:14" x14ac:dyDescent="0.2">
      <c r="N229"/>
    </row>
    <row r="230" spans="14:14" x14ac:dyDescent="0.2">
      <c r="N230"/>
    </row>
    <row r="231" spans="14:14" x14ac:dyDescent="0.2">
      <c r="N231"/>
    </row>
    <row r="232" spans="14:14" x14ac:dyDescent="0.2">
      <c r="N232"/>
    </row>
    <row r="233" spans="14:14" x14ac:dyDescent="0.2">
      <c r="N233"/>
    </row>
    <row r="234" spans="14:14" x14ac:dyDescent="0.2">
      <c r="N234"/>
    </row>
    <row r="235" spans="14:14" x14ac:dyDescent="0.2">
      <c r="N235"/>
    </row>
    <row r="236" spans="14:14" x14ac:dyDescent="0.2">
      <c r="N236"/>
    </row>
    <row r="237" spans="14:14" x14ac:dyDescent="0.2">
      <c r="N237"/>
    </row>
    <row r="238" spans="14:14" x14ac:dyDescent="0.2">
      <c r="N238"/>
    </row>
    <row r="239" spans="14:14" x14ac:dyDescent="0.2">
      <c r="N239"/>
    </row>
    <row r="240" spans="14:14" x14ac:dyDescent="0.2">
      <c r="N240"/>
    </row>
    <row r="241" spans="14:14" x14ac:dyDescent="0.2">
      <c r="N241"/>
    </row>
    <row r="242" spans="14:14" x14ac:dyDescent="0.2">
      <c r="N242"/>
    </row>
    <row r="243" spans="14:14" x14ac:dyDescent="0.2">
      <c r="N243"/>
    </row>
    <row r="244" spans="14:14" x14ac:dyDescent="0.2">
      <c r="N244"/>
    </row>
    <row r="245" spans="14:14" x14ac:dyDescent="0.2">
      <c r="N245"/>
    </row>
    <row r="246" spans="14:14" x14ac:dyDescent="0.2">
      <c r="N246"/>
    </row>
    <row r="247" spans="14:14" x14ac:dyDescent="0.2">
      <c r="N247"/>
    </row>
    <row r="248" spans="14:14" x14ac:dyDescent="0.2">
      <c r="N248"/>
    </row>
    <row r="249" spans="14:14" x14ac:dyDescent="0.2">
      <c r="N249"/>
    </row>
    <row r="250" spans="14:14" x14ac:dyDescent="0.2">
      <c r="N250"/>
    </row>
    <row r="251" spans="14:14" x14ac:dyDescent="0.2">
      <c r="N251"/>
    </row>
    <row r="252" spans="14:14" x14ac:dyDescent="0.2">
      <c r="N252"/>
    </row>
    <row r="253" spans="14:14" x14ac:dyDescent="0.2">
      <c r="N253"/>
    </row>
    <row r="254" spans="14:14" x14ac:dyDescent="0.2">
      <c r="N254"/>
    </row>
    <row r="255" spans="14:14" x14ac:dyDescent="0.2">
      <c r="N255"/>
    </row>
    <row r="256" spans="14:14" x14ac:dyDescent="0.2">
      <c r="N256"/>
    </row>
    <row r="257" spans="14:14" x14ac:dyDescent="0.2">
      <c r="N257"/>
    </row>
    <row r="258" spans="14:14" x14ac:dyDescent="0.2">
      <c r="N258"/>
    </row>
    <row r="259" spans="14:14" x14ac:dyDescent="0.2">
      <c r="N259"/>
    </row>
    <row r="260" spans="14:14" x14ac:dyDescent="0.2">
      <c r="N260"/>
    </row>
    <row r="261" spans="14:14" x14ac:dyDescent="0.2">
      <c r="N261"/>
    </row>
    <row r="262" spans="14:14" x14ac:dyDescent="0.2">
      <c r="N262"/>
    </row>
    <row r="263" spans="14:14" x14ac:dyDescent="0.2">
      <c r="N263"/>
    </row>
    <row r="264" spans="14:14" x14ac:dyDescent="0.2">
      <c r="N264"/>
    </row>
    <row r="265" spans="14:14" x14ac:dyDescent="0.2">
      <c r="N265"/>
    </row>
    <row r="266" spans="14:14" x14ac:dyDescent="0.2">
      <c r="N266"/>
    </row>
    <row r="267" spans="14:14" x14ac:dyDescent="0.2">
      <c r="N267"/>
    </row>
    <row r="268" spans="14:14" x14ac:dyDescent="0.2">
      <c r="N268"/>
    </row>
    <row r="269" spans="14:14" x14ac:dyDescent="0.2">
      <c r="N269"/>
    </row>
    <row r="270" spans="14:14" x14ac:dyDescent="0.2">
      <c r="N270"/>
    </row>
    <row r="271" spans="14:14" x14ac:dyDescent="0.2">
      <c r="N271"/>
    </row>
    <row r="272" spans="14:14" x14ac:dyDescent="0.2">
      <c r="N272"/>
    </row>
    <row r="273" spans="14:14" x14ac:dyDescent="0.2">
      <c r="N273"/>
    </row>
    <row r="274" spans="14:14" x14ac:dyDescent="0.2">
      <c r="N274"/>
    </row>
    <row r="275" spans="14:14" x14ac:dyDescent="0.2">
      <c r="N275"/>
    </row>
    <row r="276" spans="14:14" x14ac:dyDescent="0.2">
      <c r="N276"/>
    </row>
    <row r="277" spans="14:14" x14ac:dyDescent="0.2">
      <c r="N277"/>
    </row>
    <row r="278" spans="14:14" x14ac:dyDescent="0.2">
      <c r="N278"/>
    </row>
    <row r="279" spans="14:14" x14ac:dyDescent="0.2">
      <c r="N279"/>
    </row>
    <row r="280" spans="14:14" x14ac:dyDescent="0.2">
      <c r="N280"/>
    </row>
    <row r="281" spans="14:14" x14ac:dyDescent="0.2">
      <c r="N281"/>
    </row>
    <row r="282" spans="14:14" x14ac:dyDescent="0.2">
      <c r="N282"/>
    </row>
    <row r="283" spans="14:14" x14ac:dyDescent="0.2">
      <c r="N283"/>
    </row>
    <row r="284" spans="14:14" x14ac:dyDescent="0.2">
      <c r="N284"/>
    </row>
    <row r="285" spans="14:14" x14ac:dyDescent="0.2">
      <c r="N285"/>
    </row>
    <row r="286" spans="14:14" x14ac:dyDescent="0.2">
      <c r="N286"/>
    </row>
    <row r="287" spans="14:14" x14ac:dyDescent="0.2">
      <c r="N287"/>
    </row>
    <row r="288" spans="14:14" x14ac:dyDescent="0.2">
      <c r="N288"/>
    </row>
    <row r="289" spans="14:14" x14ac:dyDescent="0.2">
      <c r="N289"/>
    </row>
    <row r="290" spans="14:14" x14ac:dyDescent="0.2">
      <c r="N290"/>
    </row>
    <row r="291" spans="14:14" x14ac:dyDescent="0.2">
      <c r="N291"/>
    </row>
    <row r="292" spans="14:14" x14ac:dyDescent="0.2">
      <c r="N292"/>
    </row>
    <row r="293" spans="14:14" x14ac:dyDescent="0.2">
      <c r="N293"/>
    </row>
    <row r="294" spans="14:14" x14ac:dyDescent="0.2">
      <c r="N294"/>
    </row>
    <row r="295" spans="14:14" x14ac:dyDescent="0.2">
      <c r="N295"/>
    </row>
    <row r="296" spans="14:14" x14ac:dyDescent="0.2">
      <c r="N296"/>
    </row>
    <row r="297" spans="14:14" x14ac:dyDescent="0.2">
      <c r="N297"/>
    </row>
    <row r="298" spans="14:14" x14ac:dyDescent="0.2">
      <c r="N298"/>
    </row>
    <row r="299" spans="14:14" x14ac:dyDescent="0.2">
      <c r="N299"/>
    </row>
    <row r="300" spans="14:14" x14ac:dyDescent="0.2">
      <c r="N300"/>
    </row>
    <row r="301" spans="14:14" x14ac:dyDescent="0.2">
      <c r="N301"/>
    </row>
    <row r="302" spans="14:14" x14ac:dyDescent="0.2">
      <c r="N302"/>
    </row>
    <row r="303" spans="14:14" x14ac:dyDescent="0.2">
      <c r="N303"/>
    </row>
    <row r="304" spans="14:14" x14ac:dyDescent="0.2">
      <c r="N304"/>
    </row>
    <row r="305" spans="14:14" x14ac:dyDescent="0.2">
      <c r="N305"/>
    </row>
    <row r="306" spans="14:14" x14ac:dyDescent="0.2">
      <c r="N306"/>
    </row>
    <row r="307" spans="14:14" x14ac:dyDescent="0.2">
      <c r="N307"/>
    </row>
    <row r="308" spans="14:14" x14ac:dyDescent="0.2">
      <c r="N308"/>
    </row>
    <row r="309" spans="14:14" x14ac:dyDescent="0.2">
      <c r="N309"/>
    </row>
    <row r="310" spans="14:14" x14ac:dyDescent="0.2">
      <c r="N310"/>
    </row>
    <row r="311" spans="14:14" x14ac:dyDescent="0.2">
      <c r="N311"/>
    </row>
    <row r="312" spans="14:14" x14ac:dyDescent="0.2">
      <c r="N312"/>
    </row>
    <row r="313" spans="14:14" x14ac:dyDescent="0.2">
      <c r="N313"/>
    </row>
    <row r="314" spans="14:14" x14ac:dyDescent="0.2">
      <c r="N314"/>
    </row>
    <row r="315" spans="14:14" x14ac:dyDescent="0.2">
      <c r="N315"/>
    </row>
    <row r="316" spans="14:14" x14ac:dyDescent="0.2">
      <c r="N316"/>
    </row>
    <row r="317" spans="14:14" x14ac:dyDescent="0.2">
      <c r="N317"/>
    </row>
    <row r="318" spans="14:14" x14ac:dyDescent="0.2">
      <c r="N318"/>
    </row>
    <row r="319" spans="14:14" x14ac:dyDescent="0.2">
      <c r="N319"/>
    </row>
    <row r="320" spans="14:14" x14ac:dyDescent="0.2">
      <c r="N320"/>
    </row>
    <row r="321" spans="14:14" x14ac:dyDescent="0.2">
      <c r="N321"/>
    </row>
    <row r="322" spans="14:14" x14ac:dyDescent="0.2">
      <c r="N322"/>
    </row>
    <row r="323" spans="14:14" x14ac:dyDescent="0.2">
      <c r="N323"/>
    </row>
    <row r="324" spans="14:14" x14ac:dyDescent="0.2">
      <c r="N324"/>
    </row>
    <row r="325" spans="14:14" x14ac:dyDescent="0.2">
      <c r="N325"/>
    </row>
    <row r="326" spans="14:14" x14ac:dyDescent="0.2">
      <c r="N326"/>
    </row>
    <row r="327" spans="14:14" x14ac:dyDescent="0.2">
      <c r="N327"/>
    </row>
    <row r="328" spans="14:14" x14ac:dyDescent="0.2">
      <c r="N328"/>
    </row>
    <row r="329" spans="14:14" x14ac:dyDescent="0.2">
      <c r="N329"/>
    </row>
    <row r="330" spans="14:14" x14ac:dyDescent="0.2">
      <c r="N330"/>
    </row>
    <row r="331" spans="14:14" x14ac:dyDescent="0.2">
      <c r="N331"/>
    </row>
    <row r="332" spans="14:14" x14ac:dyDescent="0.2">
      <c r="N332"/>
    </row>
    <row r="333" spans="14:14" x14ac:dyDescent="0.2">
      <c r="N333"/>
    </row>
    <row r="334" spans="14:14" x14ac:dyDescent="0.2">
      <c r="N334"/>
    </row>
    <row r="335" spans="14:14" x14ac:dyDescent="0.2">
      <c r="N335"/>
    </row>
    <row r="336" spans="14:14" x14ac:dyDescent="0.2">
      <c r="N336"/>
    </row>
    <row r="337" spans="14:14" x14ac:dyDescent="0.2">
      <c r="N337"/>
    </row>
    <row r="338" spans="14:14" x14ac:dyDescent="0.2">
      <c r="N338"/>
    </row>
    <row r="339" spans="14:14" x14ac:dyDescent="0.2">
      <c r="N339"/>
    </row>
    <row r="340" spans="14:14" x14ac:dyDescent="0.2">
      <c r="N340"/>
    </row>
    <row r="341" spans="14:14" x14ac:dyDescent="0.2">
      <c r="N341"/>
    </row>
    <row r="342" spans="14:14" x14ac:dyDescent="0.2">
      <c r="N342"/>
    </row>
    <row r="343" spans="14:14" x14ac:dyDescent="0.2">
      <c r="N343"/>
    </row>
    <row r="344" spans="14:14" x14ac:dyDescent="0.2">
      <c r="N344"/>
    </row>
    <row r="345" spans="14:14" x14ac:dyDescent="0.2">
      <c r="N345"/>
    </row>
    <row r="346" spans="14:14" x14ac:dyDescent="0.2">
      <c r="N346"/>
    </row>
    <row r="347" spans="14:14" x14ac:dyDescent="0.2">
      <c r="N347"/>
    </row>
    <row r="348" spans="14:14" x14ac:dyDescent="0.2">
      <c r="N348"/>
    </row>
    <row r="349" spans="14:14" x14ac:dyDescent="0.2">
      <c r="N349"/>
    </row>
    <row r="350" spans="14:14" x14ac:dyDescent="0.2">
      <c r="N350"/>
    </row>
    <row r="351" spans="14:14" x14ac:dyDescent="0.2">
      <c r="N351"/>
    </row>
    <row r="352" spans="14:14" x14ac:dyDescent="0.2">
      <c r="N352"/>
    </row>
    <row r="353" spans="14:14" x14ac:dyDescent="0.2">
      <c r="N353"/>
    </row>
    <row r="354" spans="14:14" x14ac:dyDescent="0.2">
      <c r="N354"/>
    </row>
    <row r="355" spans="14:14" x14ac:dyDescent="0.2">
      <c r="N355"/>
    </row>
    <row r="356" spans="14:14" x14ac:dyDescent="0.2">
      <c r="N356"/>
    </row>
    <row r="357" spans="14:14" x14ac:dyDescent="0.2">
      <c r="N357"/>
    </row>
    <row r="358" spans="14:14" x14ac:dyDescent="0.2">
      <c r="N358"/>
    </row>
    <row r="359" spans="14:14" x14ac:dyDescent="0.2">
      <c r="N359"/>
    </row>
    <row r="360" spans="14:14" x14ac:dyDescent="0.2">
      <c r="N360"/>
    </row>
    <row r="361" spans="14:14" x14ac:dyDescent="0.2">
      <c r="N361"/>
    </row>
    <row r="362" spans="14:14" x14ac:dyDescent="0.2">
      <c r="N362"/>
    </row>
    <row r="363" spans="14:14" x14ac:dyDescent="0.2">
      <c r="N363"/>
    </row>
    <row r="364" spans="14:14" x14ac:dyDescent="0.2">
      <c r="N364"/>
    </row>
    <row r="365" spans="14:14" x14ac:dyDescent="0.2">
      <c r="N365"/>
    </row>
    <row r="366" spans="14:14" x14ac:dyDescent="0.2">
      <c r="N366"/>
    </row>
    <row r="367" spans="14:14" x14ac:dyDescent="0.2">
      <c r="N367"/>
    </row>
    <row r="368" spans="14:14" x14ac:dyDescent="0.2">
      <c r="N368"/>
    </row>
    <row r="369" spans="14:14" x14ac:dyDescent="0.2">
      <c r="N369"/>
    </row>
    <row r="370" spans="14:14" x14ac:dyDescent="0.2">
      <c r="N370"/>
    </row>
    <row r="371" spans="14:14" x14ac:dyDescent="0.2">
      <c r="N371"/>
    </row>
    <row r="372" spans="14:14" x14ac:dyDescent="0.2">
      <c r="N372"/>
    </row>
    <row r="373" spans="14:14" x14ac:dyDescent="0.2">
      <c r="N373"/>
    </row>
    <row r="374" spans="14:14" x14ac:dyDescent="0.2">
      <c r="N374"/>
    </row>
    <row r="375" spans="14:14" x14ac:dyDescent="0.2">
      <c r="N375"/>
    </row>
    <row r="376" spans="14:14" x14ac:dyDescent="0.2">
      <c r="N376"/>
    </row>
    <row r="377" spans="14:14" x14ac:dyDescent="0.2">
      <c r="N377"/>
    </row>
    <row r="378" spans="14:14" x14ac:dyDescent="0.2">
      <c r="N378"/>
    </row>
    <row r="379" spans="14:14" x14ac:dyDescent="0.2">
      <c r="N379"/>
    </row>
    <row r="380" spans="14:14" x14ac:dyDescent="0.2">
      <c r="N380"/>
    </row>
    <row r="381" spans="14:14" x14ac:dyDescent="0.2">
      <c r="N381"/>
    </row>
    <row r="382" spans="14:14" x14ac:dyDescent="0.2">
      <c r="N382"/>
    </row>
    <row r="383" spans="14:14" x14ac:dyDescent="0.2">
      <c r="N383"/>
    </row>
    <row r="384" spans="14:14" x14ac:dyDescent="0.2">
      <c r="N384"/>
    </row>
    <row r="385" spans="14:14" x14ac:dyDescent="0.2">
      <c r="N385"/>
    </row>
    <row r="386" spans="14:14" x14ac:dyDescent="0.2">
      <c r="N386"/>
    </row>
    <row r="387" spans="14:14" x14ac:dyDescent="0.2">
      <c r="N387"/>
    </row>
    <row r="388" spans="14:14" x14ac:dyDescent="0.2">
      <c r="N388"/>
    </row>
    <row r="389" spans="14:14" x14ac:dyDescent="0.2">
      <c r="N389"/>
    </row>
    <row r="390" spans="14:14" x14ac:dyDescent="0.2">
      <c r="N390"/>
    </row>
    <row r="391" spans="14:14" x14ac:dyDescent="0.2">
      <c r="N391"/>
    </row>
    <row r="392" spans="14:14" x14ac:dyDescent="0.2">
      <c r="N392"/>
    </row>
    <row r="393" spans="14:14" x14ac:dyDescent="0.2">
      <c r="N393"/>
    </row>
    <row r="394" spans="14:14" x14ac:dyDescent="0.2">
      <c r="N394"/>
    </row>
    <row r="395" spans="14:14" x14ac:dyDescent="0.2">
      <c r="N395"/>
    </row>
    <row r="396" spans="14:14" x14ac:dyDescent="0.2">
      <c r="N396"/>
    </row>
    <row r="397" spans="14:14" x14ac:dyDescent="0.2">
      <c r="N397"/>
    </row>
    <row r="398" spans="14:14" x14ac:dyDescent="0.2">
      <c r="N398"/>
    </row>
    <row r="399" spans="14:14" x14ac:dyDescent="0.2">
      <c r="N399"/>
    </row>
    <row r="400" spans="14:14" x14ac:dyDescent="0.2">
      <c r="N400"/>
    </row>
    <row r="401" spans="14:14" x14ac:dyDescent="0.2">
      <c r="N401"/>
    </row>
    <row r="402" spans="14:14" x14ac:dyDescent="0.2">
      <c r="N402"/>
    </row>
    <row r="403" spans="14:14" x14ac:dyDescent="0.2">
      <c r="N403"/>
    </row>
    <row r="404" spans="14:14" x14ac:dyDescent="0.2">
      <c r="N404"/>
    </row>
    <row r="405" spans="14:14" x14ac:dyDescent="0.2">
      <c r="N405"/>
    </row>
    <row r="406" spans="14:14" x14ac:dyDescent="0.2">
      <c r="N406"/>
    </row>
    <row r="407" spans="14:14" x14ac:dyDescent="0.2">
      <c r="N407"/>
    </row>
    <row r="408" spans="14:14" x14ac:dyDescent="0.2">
      <c r="N408"/>
    </row>
    <row r="409" spans="14:14" x14ac:dyDescent="0.2">
      <c r="N409"/>
    </row>
    <row r="410" spans="14:14" x14ac:dyDescent="0.2">
      <c r="N410"/>
    </row>
    <row r="411" spans="14:14" x14ac:dyDescent="0.2">
      <c r="N411"/>
    </row>
    <row r="412" spans="14:14" x14ac:dyDescent="0.2">
      <c r="N412"/>
    </row>
    <row r="413" spans="14:14" x14ac:dyDescent="0.2">
      <c r="N413"/>
    </row>
    <row r="414" spans="14:14" x14ac:dyDescent="0.2">
      <c r="N414"/>
    </row>
    <row r="415" spans="14:14" x14ac:dyDescent="0.2">
      <c r="N415"/>
    </row>
    <row r="416" spans="14:14" x14ac:dyDescent="0.2">
      <c r="N416"/>
    </row>
    <row r="417" spans="14:14" x14ac:dyDescent="0.2">
      <c r="N417"/>
    </row>
    <row r="418" spans="14:14" x14ac:dyDescent="0.2">
      <c r="N418"/>
    </row>
    <row r="419" spans="14:14" x14ac:dyDescent="0.2">
      <c r="N419"/>
    </row>
    <row r="420" spans="14:14" x14ac:dyDescent="0.2">
      <c r="N420"/>
    </row>
    <row r="421" spans="14:14" x14ac:dyDescent="0.2">
      <c r="N421"/>
    </row>
    <row r="422" spans="14:14" x14ac:dyDescent="0.2">
      <c r="N422"/>
    </row>
    <row r="423" spans="14:14" x14ac:dyDescent="0.2">
      <c r="N423"/>
    </row>
    <row r="424" spans="14:14" x14ac:dyDescent="0.2">
      <c r="N424"/>
    </row>
    <row r="425" spans="14:14" x14ac:dyDescent="0.2">
      <c r="N425"/>
    </row>
    <row r="426" spans="14:14" x14ac:dyDescent="0.2">
      <c r="N426"/>
    </row>
    <row r="427" spans="14:14" x14ac:dyDescent="0.2">
      <c r="N427"/>
    </row>
    <row r="428" spans="14:14" x14ac:dyDescent="0.2">
      <c r="N428"/>
    </row>
    <row r="429" spans="14:14" x14ac:dyDescent="0.2">
      <c r="N429"/>
    </row>
    <row r="430" spans="14:14" x14ac:dyDescent="0.2">
      <c r="N430"/>
    </row>
    <row r="431" spans="14:14" x14ac:dyDescent="0.2">
      <c r="N431"/>
    </row>
    <row r="432" spans="14:14" x14ac:dyDescent="0.2">
      <c r="N432"/>
    </row>
    <row r="433" spans="14:14" x14ac:dyDescent="0.2">
      <c r="N433"/>
    </row>
    <row r="434" spans="14:14" x14ac:dyDescent="0.2">
      <c r="N434"/>
    </row>
    <row r="435" spans="14:14" x14ac:dyDescent="0.2">
      <c r="N435"/>
    </row>
    <row r="436" spans="14:14" x14ac:dyDescent="0.2">
      <c r="N436"/>
    </row>
    <row r="437" spans="14:14" x14ac:dyDescent="0.2">
      <c r="N437"/>
    </row>
    <row r="438" spans="14:14" x14ac:dyDescent="0.2">
      <c r="N438"/>
    </row>
    <row r="439" spans="14:14" x14ac:dyDescent="0.2">
      <c r="N439"/>
    </row>
    <row r="440" spans="14:14" x14ac:dyDescent="0.2">
      <c r="N440"/>
    </row>
    <row r="441" spans="14:14" x14ac:dyDescent="0.2">
      <c r="N441"/>
    </row>
    <row r="442" spans="14:14" x14ac:dyDescent="0.2">
      <c r="N442"/>
    </row>
    <row r="443" spans="14:14" x14ac:dyDescent="0.2">
      <c r="N443"/>
    </row>
    <row r="444" spans="14:14" x14ac:dyDescent="0.2">
      <c r="N444"/>
    </row>
    <row r="445" spans="14:14" x14ac:dyDescent="0.2">
      <c r="N445"/>
    </row>
    <row r="446" spans="14:14" x14ac:dyDescent="0.2">
      <c r="N446"/>
    </row>
    <row r="447" spans="14:14" x14ac:dyDescent="0.2">
      <c r="N447"/>
    </row>
    <row r="448" spans="14:14" x14ac:dyDescent="0.2">
      <c r="N448"/>
    </row>
    <row r="449" spans="14:14" x14ac:dyDescent="0.2">
      <c r="N449"/>
    </row>
    <row r="450" spans="14:14" x14ac:dyDescent="0.2">
      <c r="N450"/>
    </row>
    <row r="451" spans="14:14" x14ac:dyDescent="0.2">
      <c r="N451"/>
    </row>
    <row r="452" spans="14:14" x14ac:dyDescent="0.2">
      <c r="N452"/>
    </row>
    <row r="453" spans="14:14" x14ac:dyDescent="0.2">
      <c r="N453"/>
    </row>
    <row r="454" spans="14:14" x14ac:dyDescent="0.2">
      <c r="N454"/>
    </row>
    <row r="455" spans="14:14" x14ac:dyDescent="0.2">
      <c r="N455"/>
    </row>
    <row r="456" spans="14:14" x14ac:dyDescent="0.2">
      <c r="N456"/>
    </row>
    <row r="457" spans="14:14" x14ac:dyDescent="0.2">
      <c r="N457"/>
    </row>
    <row r="458" spans="14:14" x14ac:dyDescent="0.2">
      <c r="N458"/>
    </row>
    <row r="459" spans="14:14" x14ac:dyDescent="0.2">
      <c r="N459"/>
    </row>
    <row r="460" spans="14:14" x14ac:dyDescent="0.2">
      <c r="N460"/>
    </row>
    <row r="461" spans="14:14" x14ac:dyDescent="0.2">
      <c r="N461"/>
    </row>
    <row r="462" spans="14:14" x14ac:dyDescent="0.2">
      <c r="N462"/>
    </row>
    <row r="463" spans="14:14" x14ac:dyDescent="0.2">
      <c r="N463"/>
    </row>
    <row r="464" spans="14:14" x14ac:dyDescent="0.2">
      <c r="N464"/>
    </row>
    <row r="465" spans="14:14" x14ac:dyDescent="0.2">
      <c r="N465"/>
    </row>
    <row r="466" spans="14:14" x14ac:dyDescent="0.2">
      <c r="N466"/>
    </row>
    <row r="467" spans="14:14" x14ac:dyDescent="0.2">
      <c r="N467"/>
    </row>
    <row r="468" spans="14:14" x14ac:dyDescent="0.2">
      <c r="N468"/>
    </row>
    <row r="469" spans="14:14" x14ac:dyDescent="0.2">
      <c r="N469"/>
    </row>
    <row r="470" spans="14:14" x14ac:dyDescent="0.2">
      <c r="N470"/>
    </row>
    <row r="471" spans="14:14" x14ac:dyDescent="0.2">
      <c r="N471"/>
    </row>
    <row r="472" spans="14:14" x14ac:dyDescent="0.2">
      <c r="N472"/>
    </row>
    <row r="473" spans="14:14" x14ac:dyDescent="0.2">
      <c r="N473"/>
    </row>
    <row r="474" spans="14:14" x14ac:dyDescent="0.2">
      <c r="N474"/>
    </row>
    <row r="475" spans="14:14" x14ac:dyDescent="0.2">
      <c r="N475"/>
    </row>
    <row r="476" spans="14:14" x14ac:dyDescent="0.2">
      <c r="N476"/>
    </row>
    <row r="477" spans="14:14" x14ac:dyDescent="0.2">
      <c r="N477"/>
    </row>
    <row r="478" spans="14:14" x14ac:dyDescent="0.2">
      <c r="N478"/>
    </row>
    <row r="479" spans="14:14" x14ac:dyDescent="0.2">
      <c r="N479"/>
    </row>
    <row r="480" spans="14:14" x14ac:dyDescent="0.2">
      <c r="N480"/>
    </row>
    <row r="481" spans="14:14" x14ac:dyDescent="0.2">
      <c r="N481"/>
    </row>
    <row r="482" spans="14:14" x14ac:dyDescent="0.2">
      <c r="N482"/>
    </row>
    <row r="483" spans="14:14" x14ac:dyDescent="0.2">
      <c r="N483"/>
    </row>
    <row r="484" spans="14:14" x14ac:dyDescent="0.2">
      <c r="N484"/>
    </row>
    <row r="485" spans="14:14" x14ac:dyDescent="0.2">
      <c r="N485"/>
    </row>
    <row r="486" spans="14:14" x14ac:dyDescent="0.2">
      <c r="N486"/>
    </row>
    <row r="487" spans="14:14" x14ac:dyDescent="0.2">
      <c r="N487"/>
    </row>
    <row r="488" spans="14:14" x14ac:dyDescent="0.2">
      <c r="N488"/>
    </row>
    <row r="489" spans="14:14" x14ac:dyDescent="0.2">
      <c r="N489"/>
    </row>
    <row r="490" spans="14:14" x14ac:dyDescent="0.2">
      <c r="N490"/>
    </row>
    <row r="491" spans="14:14" x14ac:dyDescent="0.2">
      <c r="N491"/>
    </row>
    <row r="492" spans="14:14" x14ac:dyDescent="0.2">
      <c r="N492"/>
    </row>
    <row r="493" spans="14:14" x14ac:dyDescent="0.2">
      <c r="N493"/>
    </row>
    <row r="494" spans="14:14" x14ac:dyDescent="0.2">
      <c r="N494"/>
    </row>
    <row r="495" spans="14:14" x14ac:dyDescent="0.2">
      <c r="N495"/>
    </row>
    <row r="496" spans="14:14" x14ac:dyDescent="0.2">
      <c r="N496"/>
    </row>
    <row r="497" spans="14:14" x14ac:dyDescent="0.2">
      <c r="N497"/>
    </row>
    <row r="498" spans="14:14" x14ac:dyDescent="0.2">
      <c r="N498"/>
    </row>
    <row r="499" spans="14:14" x14ac:dyDescent="0.2">
      <c r="N499"/>
    </row>
    <row r="500" spans="14:14" x14ac:dyDescent="0.2">
      <c r="N500"/>
    </row>
    <row r="501" spans="14:14" x14ac:dyDescent="0.2">
      <c r="N501"/>
    </row>
    <row r="502" spans="14:14" x14ac:dyDescent="0.2">
      <c r="N502"/>
    </row>
    <row r="503" spans="14:14" x14ac:dyDescent="0.2">
      <c r="N503"/>
    </row>
    <row r="504" spans="14:14" x14ac:dyDescent="0.2">
      <c r="N504"/>
    </row>
    <row r="505" spans="14:14" x14ac:dyDescent="0.2">
      <c r="N505"/>
    </row>
    <row r="506" spans="14:14" x14ac:dyDescent="0.2">
      <c r="N506"/>
    </row>
    <row r="507" spans="14:14" x14ac:dyDescent="0.2">
      <c r="N507"/>
    </row>
    <row r="508" spans="14:14" x14ac:dyDescent="0.2">
      <c r="N508"/>
    </row>
    <row r="509" spans="14:14" x14ac:dyDescent="0.2">
      <c r="N509"/>
    </row>
    <row r="510" spans="14:14" x14ac:dyDescent="0.2">
      <c r="N510"/>
    </row>
    <row r="511" spans="14:14" x14ac:dyDescent="0.2">
      <c r="N511"/>
    </row>
    <row r="512" spans="14:14" x14ac:dyDescent="0.2">
      <c r="N512"/>
    </row>
    <row r="513" spans="14:14" x14ac:dyDescent="0.2">
      <c r="N513"/>
    </row>
    <row r="514" spans="14:14" x14ac:dyDescent="0.2">
      <c r="N514"/>
    </row>
    <row r="515" spans="14:14" x14ac:dyDescent="0.2">
      <c r="N515"/>
    </row>
    <row r="516" spans="14:14" x14ac:dyDescent="0.2">
      <c r="N516"/>
    </row>
    <row r="517" spans="14:14" x14ac:dyDescent="0.2">
      <c r="N517"/>
    </row>
    <row r="518" spans="14:14" x14ac:dyDescent="0.2">
      <c r="N518"/>
    </row>
    <row r="519" spans="14:14" x14ac:dyDescent="0.2">
      <c r="N519"/>
    </row>
    <row r="520" spans="14:14" x14ac:dyDescent="0.2">
      <c r="N520"/>
    </row>
    <row r="521" spans="14:14" x14ac:dyDescent="0.2">
      <c r="N521"/>
    </row>
    <row r="522" spans="14:14" x14ac:dyDescent="0.2">
      <c r="N522"/>
    </row>
    <row r="523" spans="14:14" x14ac:dyDescent="0.2">
      <c r="N523"/>
    </row>
    <row r="524" spans="14:14" x14ac:dyDescent="0.2">
      <c r="N524"/>
    </row>
    <row r="525" spans="14:14" x14ac:dyDescent="0.2">
      <c r="N525"/>
    </row>
    <row r="526" spans="14:14" x14ac:dyDescent="0.2">
      <c r="N526"/>
    </row>
    <row r="527" spans="14:14" x14ac:dyDescent="0.2">
      <c r="N527"/>
    </row>
    <row r="528" spans="14:14" x14ac:dyDescent="0.2">
      <c r="N528"/>
    </row>
    <row r="529" spans="14:14" x14ac:dyDescent="0.2">
      <c r="N529"/>
    </row>
    <row r="530" spans="14:14" x14ac:dyDescent="0.2">
      <c r="N530"/>
    </row>
    <row r="531" spans="14:14" x14ac:dyDescent="0.2">
      <c r="N531"/>
    </row>
    <row r="532" spans="14:14" x14ac:dyDescent="0.2">
      <c r="N532"/>
    </row>
    <row r="533" spans="14:14" x14ac:dyDescent="0.2">
      <c r="N533"/>
    </row>
    <row r="534" spans="14:14" x14ac:dyDescent="0.2">
      <c r="N534"/>
    </row>
    <row r="535" spans="14:14" x14ac:dyDescent="0.2">
      <c r="N535"/>
    </row>
    <row r="536" spans="14:14" x14ac:dyDescent="0.2">
      <c r="N536"/>
    </row>
    <row r="537" spans="14:14" x14ac:dyDescent="0.2">
      <c r="N537"/>
    </row>
    <row r="538" spans="14:14" x14ac:dyDescent="0.2">
      <c r="N538"/>
    </row>
    <row r="539" spans="14:14" x14ac:dyDescent="0.2">
      <c r="N539"/>
    </row>
    <row r="540" spans="14:14" x14ac:dyDescent="0.2">
      <c r="N540"/>
    </row>
    <row r="541" spans="14:14" x14ac:dyDescent="0.2">
      <c r="N541"/>
    </row>
    <row r="542" spans="14:14" x14ac:dyDescent="0.2">
      <c r="N542"/>
    </row>
    <row r="543" spans="14:14" x14ac:dyDescent="0.2">
      <c r="N543"/>
    </row>
    <row r="544" spans="14:14" x14ac:dyDescent="0.2">
      <c r="N544"/>
    </row>
    <row r="545" spans="14:14" x14ac:dyDescent="0.2">
      <c r="N545"/>
    </row>
    <row r="546" spans="14:14" x14ac:dyDescent="0.2">
      <c r="N546"/>
    </row>
    <row r="547" spans="14:14" x14ac:dyDescent="0.2">
      <c r="N547"/>
    </row>
    <row r="548" spans="14:14" x14ac:dyDescent="0.2">
      <c r="N548"/>
    </row>
    <row r="549" spans="14:14" x14ac:dyDescent="0.2">
      <c r="N549"/>
    </row>
    <row r="550" spans="14:14" x14ac:dyDescent="0.2">
      <c r="N550"/>
    </row>
    <row r="551" spans="14:14" x14ac:dyDescent="0.2">
      <c r="N551"/>
    </row>
    <row r="552" spans="14:14" x14ac:dyDescent="0.2">
      <c r="N552"/>
    </row>
    <row r="553" spans="14:14" x14ac:dyDescent="0.2">
      <c r="N553"/>
    </row>
    <row r="554" spans="14:14" x14ac:dyDescent="0.2">
      <c r="N554"/>
    </row>
    <row r="555" spans="14:14" x14ac:dyDescent="0.2">
      <c r="N555"/>
    </row>
    <row r="556" spans="14:14" x14ac:dyDescent="0.2">
      <c r="N556"/>
    </row>
    <row r="557" spans="14:14" x14ac:dyDescent="0.2">
      <c r="N557"/>
    </row>
    <row r="558" spans="14:14" x14ac:dyDescent="0.2">
      <c r="N558"/>
    </row>
    <row r="559" spans="14:14" x14ac:dyDescent="0.2">
      <c r="N559"/>
    </row>
    <row r="560" spans="14:14" x14ac:dyDescent="0.2">
      <c r="N560"/>
    </row>
    <row r="561" spans="14:14" x14ac:dyDescent="0.2">
      <c r="N561"/>
    </row>
    <row r="562" spans="14:14" x14ac:dyDescent="0.2">
      <c r="N562"/>
    </row>
    <row r="563" spans="14:14" x14ac:dyDescent="0.2">
      <c r="N563"/>
    </row>
    <row r="564" spans="14:14" x14ac:dyDescent="0.2">
      <c r="N564"/>
    </row>
    <row r="565" spans="14:14" x14ac:dyDescent="0.2">
      <c r="N565"/>
    </row>
    <row r="566" spans="14:14" x14ac:dyDescent="0.2">
      <c r="N566"/>
    </row>
    <row r="567" spans="14:14" x14ac:dyDescent="0.2">
      <c r="N567"/>
    </row>
    <row r="568" spans="14:14" x14ac:dyDescent="0.2">
      <c r="N568"/>
    </row>
    <row r="569" spans="14:14" x14ac:dyDescent="0.2">
      <c r="N569"/>
    </row>
    <row r="570" spans="14:14" x14ac:dyDescent="0.2">
      <c r="N570"/>
    </row>
    <row r="571" spans="14:14" x14ac:dyDescent="0.2">
      <c r="N571"/>
    </row>
    <row r="572" spans="14:14" x14ac:dyDescent="0.2">
      <c r="N572"/>
    </row>
    <row r="573" spans="14:14" x14ac:dyDescent="0.2">
      <c r="N573"/>
    </row>
    <row r="574" spans="14:14" x14ac:dyDescent="0.2">
      <c r="N574"/>
    </row>
    <row r="575" spans="14:14" x14ac:dyDescent="0.2">
      <c r="N575"/>
    </row>
    <row r="576" spans="14:14" x14ac:dyDescent="0.2">
      <c r="N576"/>
    </row>
    <row r="577" spans="14:14" x14ac:dyDescent="0.2">
      <c r="N577"/>
    </row>
    <row r="578" spans="14:14" x14ac:dyDescent="0.2">
      <c r="N578"/>
    </row>
    <row r="579" spans="14:14" x14ac:dyDescent="0.2">
      <c r="N579"/>
    </row>
    <row r="580" spans="14:14" x14ac:dyDescent="0.2">
      <c r="N580"/>
    </row>
    <row r="581" spans="14:14" x14ac:dyDescent="0.2">
      <c r="N581"/>
    </row>
    <row r="582" spans="14:14" x14ac:dyDescent="0.2">
      <c r="N582"/>
    </row>
    <row r="583" spans="14:14" x14ac:dyDescent="0.2">
      <c r="N583"/>
    </row>
    <row r="584" spans="14:14" x14ac:dyDescent="0.2">
      <c r="N584"/>
    </row>
    <row r="585" spans="14:14" x14ac:dyDescent="0.2">
      <c r="N585"/>
    </row>
    <row r="586" spans="14:14" x14ac:dyDescent="0.2">
      <c r="N586"/>
    </row>
    <row r="587" spans="14:14" x14ac:dyDescent="0.2">
      <c r="N587"/>
    </row>
    <row r="588" spans="14:14" x14ac:dyDescent="0.2">
      <c r="N588"/>
    </row>
    <row r="589" spans="14:14" x14ac:dyDescent="0.2">
      <c r="N589"/>
    </row>
    <row r="590" spans="14:14" x14ac:dyDescent="0.2">
      <c r="N590"/>
    </row>
    <row r="591" spans="14:14" x14ac:dyDescent="0.2">
      <c r="N591"/>
    </row>
    <row r="592" spans="14:14" x14ac:dyDescent="0.2">
      <c r="N592"/>
    </row>
    <row r="593" spans="14:14" x14ac:dyDescent="0.2">
      <c r="N593"/>
    </row>
    <row r="594" spans="14:14" x14ac:dyDescent="0.2">
      <c r="N594"/>
    </row>
    <row r="595" spans="14:14" x14ac:dyDescent="0.2">
      <c r="N595"/>
    </row>
    <row r="596" spans="14:14" x14ac:dyDescent="0.2">
      <c r="N596"/>
    </row>
    <row r="597" spans="14:14" x14ac:dyDescent="0.2">
      <c r="N597"/>
    </row>
    <row r="598" spans="14:14" x14ac:dyDescent="0.2">
      <c r="N598"/>
    </row>
    <row r="599" spans="14:14" x14ac:dyDescent="0.2">
      <c r="N599"/>
    </row>
    <row r="600" spans="14:14" x14ac:dyDescent="0.2">
      <c r="N600"/>
    </row>
    <row r="601" spans="14:14" x14ac:dyDescent="0.2">
      <c r="N601"/>
    </row>
    <row r="602" spans="14:14" x14ac:dyDescent="0.2">
      <c r="N602"/>
    </row>
    <row r="603" spans="14:14" x14ac:dyDescent="0.2">
      <c r="N603"/>
    </row>
    <row r="604" spans="14:14" x14ac:dyDescent="0.2">
      <c r="N604"/>
    </row>
    <row r="605" spans="14:14" x14ac:dyDescent="0.2">
      <c r="N605"/>
    </row>
    <row r="606" spans="14:14" x14ac:dyDescent="0.2">
      <c r="N606"/>
    </row>
    <row r="607" spans="14:14" x14ac:dyDescent="0.2">
      <c r="N607"/>
    </row>
    <row r="608" spans="14:14" x14ac:dyDescent="0.2">
      <c r="N608"/>
    </row>
    <row r="609" spans="14:14" x14ac:dyDescent="0.2">
      <c r="N609"/>
    </row>
    <row r="610" spans="14:14" x14ac:dyDescent="0.2">
      <c r="N610"/>
    </row>
    <row r="611" spans="14:14" x14ac:dyDescent="0.2">
      <c r="N611"/>
    </row>
    <row r="612" spans="14:14" x14ac:dyDescent="0.2">
      <c r="N612"/>
    </row>
    <row r="613" spans="14:14" x14ac:dyDescent="0.2">
      <c r="N613"/>
    </row>
    <row r="614" spans="14:14" x14ac:dyDescent="0.2">
      <c r="N614"/>
    </row>
    <row r="615" spans="14:14" x14ac:dyDescent="0.2">
      <c r="N615"/>
    </row>
    <row r="616" spans="14:14" x14ac:dyDescent="0.2">
      <c r="N616"/>
    </row>
    <row r="617" spans="14:14" x14ac:dyDescent="0.2">
      <c r="N617"/>
    </row>
    <row r="618" spans="14:14" x14ac:dyDescent="0.2">
      <c r="N618"/>
    </row>
    <row r="619" spans="14:14" x14ac:dyDescent="0.2">
      <c r="N619"/>
    </row>
    <row r="620" spans="14:14" x14ac:dyDescent="0.2">
      <c r="N620"/>
    </row>
    <row r="621" spans="14:14" x14ac:dyDescent="0.2">
      <c r="N621"/>
    </row>
    <row r="622" spans="14:14" x14ac:dyDescent="0.2">
      <c r="N622"/>
    </row>
    <row r="623" spans="14:14" x14ac:dyDescent="0.2">
      <c r="N623"/>
    </row>
    <row r="624" spans="14:14" x14ac:dyDescent="0.2">
      <c r="N624"/>
    </row>
    <row r="625" spans="14:14" x14ac:dyDescent="0.2">
      <c r="N625"/>
    </row>
    <row r="626" spans="14:14" x14ac:dyDescent="0.2">
      <c r="N626"/>
    </row>
    <row r="627" spans="14:14" x14ac:dyDescent="0.2">
      <c r="N627"/>
    </row>
    <row r="628" spans="14:14" x14ac:dyDescent="0.2">
      <c r="N628"/>
    </row>
    <row r="629" spans="14:14" x14ac:dyDescent="0.2">
      <c r="N629"/>
    </row>
    <row r="630" spans="14:14" x14ac:dyDescent="0.2">
      <c r="N630"/>
    </row>
    <row r="631" spans="14:14" x14ac:dyDescent="0.2">
      <c r="N631"/>
    </row>
    <row r="632" spans="14:14" x14ac:dyDescent="0.2">
      <c r="N632"/>
    </row>
    <row r="633" spans="14:14" x14ac:dyDescent="0.2">
      <c r="N633"/>
    </row>
    <row r="634" spans="14:14" x14ac:dyDescent="0.2">
      <c r="N634"/>
    </row>
    <row r="635" spans="14:14" x14ac:dyDescent="0.2">
      <c r="N635"/>
    </row>
    <row r="636" spans="14:14" x14ac:dyDescent="0.2">
      <c r="N636"/>
    </row>
    <row r="637" spans="14:14" x14ac:dyDescent="0.2">
      <c r="N637"/>
    </row>
    <row r="638" spans="14:14" x14ac:dyDescent="0.2">
      <c r="N638"/>
    </row>
    <row r="639" spans="14:14" x14ac:dyDescent="0.2">
      <c r="N639"/>
    </row>
    <row r="640" spans="14:14" x14ac:dyDescent="0.2">
      <c r="N640"/>
    </row>
    <row r="641" spans="14:14" x14ac:dyDescent="0.2">
      <c r="N641"/>
    </row>
    <row r="642" spans="14:14" x14ac:dyDescent="0.2">
      <c r="N642"/>
    </row>
    <row r="643" spans="14:14" x14ac:dyDescent="0.2">
      <c r="N643"/>
    </row>
    <row r="644" spans="14:14" x14ac:dyDescent="0.2">
      <c r="N644"/>
    </row>
    <row r="645" spans="14:14" x14ac:dyDescent="0.2">
      <c r="N645"/>
    </row>
    <row r="646" spans="14:14" x14ac:dyDescent="0.2">
      <c r="N646"/>
    </row>
    <row r="647" spans="14:14" x14ac:dyDescent="0.2">
      <c r="N647"/>
    </row>
    <row r="648" spans="14:14" x14ac:dyDescent="0.2">
      <c r="N648"/>
    </row>
    <row r="649" spans="14:14" x14ac:dyDescent="0.2">
      <c r="N649"/>
    </row>
    <row r="650" spans="14:14" x14ac:dyDescent="0.2">
      <c r="N650"/>
    </row>
    <row r="651" spans="14:14" x14ac:dyDescent="0.2">
      <c r="N651"/>
    </row>
    <row r="652" spans="14:14" x14ac:dyDescent="0.2">
      <c r="N652"/>
    </row>
    <row r="653" spans="14:14" x14ac:dyDescent="0.2">
      <c r="N653"/>
    </row>
    <row r="654" spans="14:14" x14ac:dyDescent="0.2">
      <c r="N654"/>
    </row>
    <row r="655" spans="14:14" x14ac:dyDescent="0.2">
      <c r="N655"/>
    </row>
    <row r="656" spans="14:14" x14ac:dyDescent="0.2">
      <c r="N656"/>
    </row>
    <row r="657" spans="14:14" x14ac:dyDescent="0.2">
      <c r="N657"/>
    </row>
    <row r="658" spans="14:14" x14ac:dyDescent="0.2">
      <c r="N658"/>
    </row>
    <row r="659" spans="14:14" x14ac:dyDescent="0.2">
      <c r="N659"/>
    </row>
    <row r="660" spans="14:14" x14ac:dyDescent="0.2">
      <c r="N660"/>
    </row>
    <row r="661" spans="14:14" x14ac:dyDescent="0.2">
      <c r="N661"/>
    </row>
    <row r="662" spans="14:14" x14ac:dyDescent="0.2">
      <c r="N662"/>
    </row>
    <row r="663" spans="14:14" x14ac:dyDescent="0.2">
      <c r="N663"/>
    </row>
    <row r="664" spans="14:14" x14ac:dyDescent="0.2">
      <c r="N664"/>
    </row>
    <row r="665" spans="14:14" x14ac:dyDescent="0.2">
      <c r="N665"/>
    </row>
    <row r="666" spans="14:14" x14ac:dyDescent="0.2">
      <c r="N666"/>
    </row>
    <row r="667" spans="14:14" x14ac:dyDescent="0.2">
      <c r="N667"/>
    </row>
    <row r="668" spans="14:14" x14ac:dyDescent="0.2">
      <c r="N668"/>
    </row>
    <row r="669" spans="14:14" x14ac:dyDescent="0.2">
      <c r="N669"/>
    </row>
    <row r="670" spans="14:14" x14ac:dyDescent="0.2">
      <c r="N670"/>
    </row>
    <row r="671" spans="14:14" x14ac:dyDescent="0.2">
      <c r="N671"/>
    </row>
    <row r="672" spans="14:14" x14ac:dyDescent="0.2">
      <c r="N672"/>
    </row>
    <row r="673" spans="14:14" x14ac:dyDescent="0.2">
      <c r="N673"/>
    </row>
    <row r="674" spans="14:14" x14ac:dyDescent="0.2">
      <c r="N674"/>
    </row>
    <row r="675" spans="14:14" x14ac:dyDescent="0.2">
      <c r="N675"/>
    </row>
    <row r="676" spans="14:14" x14ac:dyDescent="0.2">
      <c r="N676"/>
    </row>
    <row r="677" spans="14:14" x14ac:dyDescent="0.2">
      <c r="N677"/>
    </row>
    <row r="678" spans="14:14" x14ac:dyDescent="0.2">
      <c r="N678"/>
    </row>
    <row r="679" spans="14:14" x14ac:dyDescent="0.2">
      <c r="N679"/>
    </row>
    <row r="680" spans="14:14" x14ac:dyDescent="0.2">
      <c r="N680"/>
    </row>
    <row r="681" spans="14:14" x14ac:dyDescent="0.2">
      <c r="N681"/>
    </row>
    <row r="682" spans="14:14" x14ac:dyDescent="0.2">
      <c r="N682"/>
    </row>
    <row r="683" spans="14:14" x14ac:dyDescent="0.2">
      <c r="N683"/>
    </row>
    <row r="684" spans="14:14" x14ac:dyDescent="0.2">
      <c r="N684"/>
    </row>
    <row r="685" spans="14:14" x14ac:dyDescent="0.2">
      <c r="N685"/>
    </row>
    <row r="686" spans="14:14" x14ac:dyDescent="0.2">
      <c r="N686"/>
    </row>
    <row r="687" spans="14:14" x14ac:dyDescent="0.2">
      <c r="N687"/>
    </row>
    <row r="688" spans="14:14" x14ac:dyDescent="0.2">
      <c r="N688"/>
    </row>
    <row r="689" spans="14:14" x14ac:dyDescent="0.2">
      <c r="N689"/>
    </row>
    <row r="690" spans="14:14" x14ac:dyDescent="0.2">
      <c r="N690"/>
    </row>
    <row r="691" spans="14:14" x14ac:dyDescent="0.2">
      <c r="N691"/>
    </row>
    <row r="692" spans="14:14" x14ac:dyDescent="0.2">
      <c r="N692"/>
    </row>
    <row r="693" spans="14:14" x14ac:dyDescent="0.2">
      <c r="N693"/>
    </row>
    <row r="694" spans="14:14" x14ac:dyDescent="0.2">
      <c r="N694"/>
    </row>
    <row r="695" spans="14:14" x14ac:dyDescent="0.2">
      <c r="N695"/>
    </row>
    <row r="696" spans="14:14" x14ac:dyDescent="0.2">
      <c r="N696"/>
    </row>
    <row r="697" spans="14:14" x14ac:dyDescent="0.2">
      <c r="N697"/>
    </row>
    <row r="698" spans="14:14" x14ac:dyDescent="0.2">
      <c r="N698"/>
    </row>
    <row r="699" spans="14:14" x14ac:dyDescent="0.2">
      <c r="N699"/>
    </row>
    <row r="700" spans="14:14" x14ac:dyDescent="0.2">
      <c r="N700"/>
    </row>
    <row r="701" spans="14:14" x14ac:dyDescent="0.2">
      <c r="N701"/>
    </row>
    <row r="702" spans="14:14" x14ac:dyDescent="0.2">
      <c r="N702"/>
    </row>
    <row r="703" spans="14:14" x14ac:dyDescent="0.2">
      <c r="N703"/>
    </row>
    <row r="704" spans="14:14" x14ac:dyDescent="0.2">
      <c r="N704"/>
    </row>
    <row r="705" spans="14:14" x14ac:dyDescent="0.2">
      <c r="N705"/>
    </row>
    <row r="706" spans="14:14" x14ac:dyDescent="0.2">
      <c r="N706"/>
    </row>
    <row r="707" spans="14:14" x14ac:dyDescent="0.2">
      <c r="N707"/>
    </row>
    <row r="708" spans="14:14" x14ac:dyDescent="0.2">
      <c r="N708"/>
    </row>
    <row r="709" spans="14:14" x14ac:dyDescent="0.2">
      <c r="N709"/>
    </row>
    <row r="710" spans="14:14" x14ac:dyDescent="0.2">
      <c r="N710"/>
    </row>
    <row r="711" spans="14:14" x14ac:dyDescent="0.2">
      <c r="N711"/>
    </row>
    <row r="712" spans="14:14" x14ac:dyDescent="0.2">
      <c r="N712"/>
    </row>
    <row r="713" spans="14:14" x14ac:dyDescent="0.2">
      <c r="N713"/>
    </row>
    <row r="714" spans="14:14" x14ac:dyDescent="0.2">
      <c r="N714"/>
    </row>
    <row r="715" spans="14:14" x14ac:dyDescent="0.2">
      <c r="N715"/>
    </row>
    <row r="716" spans="14:14" x14ac:dyDescent="0.2">
      <c r="N716"/>
    </row>
    <row r="717" spans="14:14" x14ac:dyDescent="0.2">
      <c r="N717"/>
    </row>
    <row r="718" spans="14:14" x14ac:dyDescent="0.2">
      <c r="N718"/>
    </row>
    <row r="719" spans="14:14" x14ac:dyDescent="0.2">
      <c r="N719"/>
    </row>
    <row r="720" spans="14:14" x14ac:dyDescent="0.2">
      <c r="N720"/>
    </row>
    <row r="721" spans="14:14" x14ac:dyDescent="0.2">
      <c r="N721"/>
    </row>
    <row r="722" spans="14:14" x14ac:dyDescent="0.2">
      <c r="N722"/>
    </row>
    <row r="723" spans="14:14" x14ac:dyDescent="0.2">
      <c r="N723"/>
    </row>
    <row r="724" spans="14:14" x14ac:dyDescent="0.2">
      <c r="N724"/>
    </row>
    <row r="725" spans="14:14" x14ac:dyDescent="0.2">
      <c r="N725"/>
    </row>
  </sheetData>
  <sheetProtection algorithmName="SHA-512" hashValue="cfZDUX+o1vNP0Mrhd/xuGwDqSb+5UkcyuGU21DSD94FK4neTHPk/GX9hUoEaiUiVZ0sTpD/AaFBez21cKLxeyw==" saltValue="5lg6Ao0vo526OJZ/yA1QEw==" spinCount="100000" sheet="1" objects="1" scenarios="1"/>
  <sortState xmlns:xlrd2="http://schemas.microsoft.com/office/spreadsheetml/2017/richdata2" ref="N4:R568">
    <sortCondition ref="R4:R568"/>
    <sortCondition ref="P4:P568"/>
  </sortState>
  <mergeCells count="4">
    <mergeCell ref="A58:G58"/>
    <mergeCell ref="I4:I6"/>
    <mergeCell ref="I24:I26"/>
    <mergeCell ref="I36:I38"/>
  </mergeCells>
  <conditionalFormatting sqref="H4">
    <cfRule type="cellIs" dxfId="13" priority="19" operator="equal">
      <formula>0</formula>
    </cfRule>
    <cfRule type="cellIs" dxfId="12" priority="20" operator="notEqual">
      <formula>0</formula>
    </cfRule>
  </conditionalFormatting>
  <conditionalFormatting sqref="H24">
    <cfRule type="cellIs" dxfId="11" priority="5" operator="equal">
      <formula>0</formula>
    </cfRule>
    <cfRule type="cellIs" dxfId="10" priority="6" operator="notEqual">
      <formula>0</formula>
    </cfRule>
  </conditionalFormatting>
  <conditionalFormatting sqref="H36">
    <cfRule type="cellIs" dxfId="9" priority="1" operator="equal">
      <formula>0</formula>
    </cfRule>
    <cfRule type="cellIs" dxfId="8" priority="2" operator="notEqual">
      <formula>0</formula>
    </cfRule>
  </conditionalFormatting>
  <pageMargins left="0.7" right="0.7" top="0.75" bottom="0.75" header="0.3" footer="0.3"/>
  <pageSetup scale="84" orientation="landscape" r:id="rId1"/>
</worksheet>
</file>

<file path=xl/worksheets/sheet7.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600-000000000000}">
  <sheetPr transitionEvaluation="1" codeName="Sheet2">
    <tabColor indexed="10"/>
  </sheetPr>
  <dimension ref="A1:I164"/>
  <sheetViews>
    <sheetView topLeftCell="A10" zoomScale="80" zoomScaleNormal="80" workbookViewId="0">
      <selection activeCell="C43" sqref="C43"/>
    </sheetView>
  </sheetViews>
  <sheetFormatPr defaultRowHeight="11.25" x14ac:dyDescent="0.2"/>
  <cols>
    <col min="1" max="1" width="52.83203125" customWidth="1"/>
    <col min="2" max="2" width="16.6640625" customWidth="1"/>
    <col min="3" max="3" width="19" customWidth="1"/>
    <col min="4" max="4" width="19.5" customWidth="1"/>
    <col min="5" max="5" width="20.6640625" customWidth="1"/>
    <col min="6" max="7" width="19" customWidth="1"/>
    <col min="8" max="9" width="16" style="21" customWidth="1"/>
  </cols>
  <sheetData>
    <row r="1" spans="1:9" x14ac:dyDescent="0.2">
      <c r="A1" s="133" t="str">
        <f>'DOE25'!A1</f>
        <v>NAME:</v>
      </c>
      <c r="B1" s="2"/>
      <c r="C1" s="13"/>
      <c r="D1" s="13"/>
      <c r="E1" s="15"/>
      <c r="F1" s="13"/>
      <c r="G1" s="13"/>
      <c r="H1" s="124"/>
      <c r="I1" s="124"/>
    </row>
    <row r="2" spans="1:9" x14ac:dyDescent="0.2">
      <c r="A2" s="134" t="str">
        <f>'DOE25'!A2</f>
        <v>Fremont</v>
      </c>
      <c r="B2" s="126"/>
      <c r="C2" s="15" t="s">
        <v>264</v>
      </c>
      <c r="D2" s="15" t="s">
        <v>265</v>
      </c>
      <c r="E2" s="15" t="s">
        <v>266</v>
      </c>
      <c r="F2" s="15" t="s">
        <v>267</v>
      </c>
      <c r="G2" s="15" t="s">
        <v>268</v>
      </c>
      <c r="H2" s="125"/>
      <c r="I2" s="125"/>
    </row>
    <row r="3" spans="1:9" x14ac:dyDescent="0.2">
      <c r="A3" s="5" t="s">
        <v>270</v>
      </c>
      <c r="B3" s="6" t="s">
        <v>138</v>
      </c>
      <c r="C3" s="23" t="s">
        <v>273</v>
      </c>
      <c r="D3" s="23" t="s">
        <v>274</v>
      </c>
      <c r="E3" s="23" t="s">
        <v>275</v>
      </c>
      <c r="F3" s="23" t="s">
        <v>276</v>
      </c>
      <c r="G3" s="23" t="s">
        <v>277</v>
      </c>
      <c r="H3" s="4"/>
      <c r="I3" s="4"/>
    </row>
    <row r="4" spans="1:9" x14ac:dyDescent="0.2">
      <c r="A4" s="1" t="s">
        <v>279</v>
      </c>
      <c r="B4" s="127"/>
      <c r="C4" s="3"/>
      <c r="D4" s="3"/>
      <c r="E4" s="3"/>
      <c r="F4" s="3"/>
      <c r="G4" s="3"/>
      <c r="H4" s="124"/>
      <c r="I4" s="124"/>
    </row>
    <row r="5" spans="1:9" x14ac:dyDescent="0.2">
      <c r="A5" s="3"/>
      <c r="B5" s="7"/>
      <c r="C5" s="25" t="s">
        <v>280</v>
      </c>
      <c r="D5" s="26" t="s">
        <v>281</v>
      </c>
      <c r="E5" s="25" t="s">
        <v>282</v>
      </c>
      <c r="F5" s="25" t="s">
        <v>283</v>
      </c>
      <c r="G5" s="25" t="s">
        <v>284</v>
      </c>
      <c r="H5" s="25" t="s">
        <v>100</v>
      </c>
      <c r="I5" s="124"/>
    </row>
    <row r="6" spans="1:9" x14ac:dyDescent="0.2">
      <c r="A6" s="1" t="s">
        <v>285</v>
      </c>
      <c r="B6" s="7"/>
      <c r="C6" s="14" t="s">
        <v>286</v>
      </c>
      <c r="D6" s="13"/>
      <c r="E6" s="13"/>
      <c r="F6" s="13"/>
      <c r="G6" s="13"/>
      <c r="H6" s="124"/>
      <c r="I6" s="124"/>
    </row>
    <row r="7" spans="1:9" x14ac:dyDescent="0.2">
      <c r="A7" s="29" t="s">
        <v>287</v>
      </c>
      <c r="B7" s="7"/>
      <c r="C7" s="24" t="s">
        <v>288</v>
      </c>
      <c r="D7" s="24" t="s">
        <v>288</v>
      </c>
      <c r="E7" s="24" t="s">
        <v>288</v>
      </c>
      <c r="F7" s="24" t="s">
        <v>288</v>
      </c>
      <c r="G7" s="24" t="s">
        <v>288</v>
      </c>
      <c r="H7" s="24" t="s">
        <v>288</v>
      </c>
      <c r="I7" s="124"/>
    </row>
    <row r="8" spans="1:9" x14ac:dyDescent="0.2">
      <c r="A8" s="1" t="s">
        <v>139</v>
      </c>
      <c r="B8" s="6">
        <v>100</v>
      </c>
      <c r="C8" s="95">
        <f>'DOE25'!F9</f>
        <v>567008.72</v>
      </c>
      <c r="D8" s="95">
        <f>'DOE25'!G9</f>
        <v>4.1900000000000004</v>
      </c>
      <c r="E8" s="95">
        <f>'DOE25'!H9</f>
        <v>0</v>
      </c>
      <c r="F8" s="95">
        <f>'DOE25'!I9</f>
        <v>0</v>
      </c>
      <c r="G8" s="95">
        <f>'DOE25'!J9</f>
        <v>655538.05000000005</v>
      </c>
      <c r="H8" s="124">
        <f>SUM(C8:G8)</f>
        <v>1222550.96</v>
      </c>
      <c r="I8" s="124"/>
    </row>
    <row r="9" spans="1:9" x14ac:dyDescent="0.2">
      <c r="A9" s="1" t="s">
        <v>140</v>
      </c>
      <c r="B9" s="6">
        <v>110</v>
      </c>
      <c r="C9" s="95">
        <f>'DOE25'!F10</f>
        <v>0</v>
      </c>
      <c r="D9" s="95">
        <f>'DOE25'!G10</f>
        <v>0</v>
      </c>
      <c r="E9" s="95">
        <f>'DOE25'!H10</f>
        <v>0</v>
      </c>
      <c r="F9" s="95">
        <f>'DOE25'!I10</f>
        <v>0</v>
      </c>
      <c r="G9" s="95">
        <f>'DOE25'!J10</f>
        <v>0</v>
      </c>
      <c r="H9" s="124">
        <f t="shared" ref="H9:H18" si="0">SUM(C9:G9)</f>
        <v>0</v>
      </c>
      <c r="I9" s="124"/>
    </row>
    <row r="10" spans="1:9" x14ac:dyDescent="0.2">
      <c r="A10" s="1" t="s">
        <v>141</v>
      </c>
      <c r="B10" s="6">
        <v>120</v>
      </c>
      <c r="C10" s="95">
        <f>'DOE25'!F11</f>
        <v>0</v>
      </c>
      <c r="D10" s="24" t="s">
        <v>288</v>
      </c>
      <c r="E10" s="24" t="s">
        <v>288</v>
      </c>
      <c r="F10" s="24" t="s">
        <v>288</v>
      </c>
      <c r="G10" s="24" t="s">
        <v>288</v>
      </c>
      <c r="H10" s="124">
        <f t="shared" si="0"/>
        <v>0</v>
      </c>
      <c r="I10" s="124"/>
    </row>
    <row r="11" spans="1:9" x14ac:dyDescent="0.2">
      <c r="A11" s="1" t="s">
        <v>142</v>
      </c>
      <c r="B11" s="6">
        <v>130</v>
      </c>
      <c r="C11" s="95">
        <f>'DOE25'!F12</f>
        <v>0</v>
      </c>
      <c r="D11" s="95">
        <f>'DOE25'!G12</f>
        <v>0</v>
      </c>
      <c r="E11" s="95">
        <f>'DOE25'!H12</f>
        <v>0</v>
      </c>
      <c r="F11" s="95">
        <f>'DOE25'!I12</f>
        <v>0</v>
      </c>
      <c r="G11" s="95">
        <f>'DOE25'!J12</f>
        <v>0</v>
      </c>
      <c r="H11" s="124">
        <f t="shared" si="0"/>
        <v>0</v>
      </c>
      <c r="I11" s="124"/>
    </row>
    <row r="12" spans="1:9" x14ac:dyDescent="0.2">
      <c r="A12" s="1" t="s">
        <v>143</v>
      </c>
      <c r="B12" s="6">
        <v>140</v>
      </c>
      <c r="C12" s="95">
        <f>'DOE25'!F13</f>
        <v>0</v>
      </c>
      <c r="D12" s="95">
        <f>'DOE25'!G13</f>
        <v>57669.75</v>
      </c>
      <c r="E12" s="95">
        <f>'DOE25'!H13</f>
        <v>66701.19</v>
      </c>
      <c r="F12" s="95">
        <f>'DOE25'!I13</f>
        <v>0</v>
      </c>
      <c r="G12" s="95">
        <f>'DOE25'!J13</f>
        <v>0</v>
      </c>
      <c r="H12" s="124">
        <f t="shared" si="0"/>
        <v>124370.94</v>
      </c>
      <c r="I12" s="124"/>
    </row>
    <row r="13" spans="1:9" x14ac:dyDescent="0.2">
      <c r="A13" s="1" t="s">
        <v>144</v>
      </c>
      <c r="B13" s="6">
        <v>150</v>
      </c>
      <c r="C13" s="95">
        <f>'DOE25'!F14</f>
        <v>0</v>
      </c>
      <c r="D13" s="95">
        <f>'DOE25'!G14</f>
        <v>0</v>
      </c>
      <c r="E13" s="95">
        <f>'DOE25'!H14</f>
        <v>0</v>
      </c>
      <c r="F13" s="95">
        <f>'DOE25'!I14</f>
        <v>0</v>
      </c>
      <c r="G13" s="95">
        <f>'DOE25'!J14</f>
        <v>0</v>
      </c>
      <c r="H13" s="124">
        <f t="shared" si="0"/>
        <v>0</v>
      </c>
      <c r="I13" s="124"/>
    </row>
    <row r="14" spans="1:9" x14ac:dyDescent="0.2">
      <c r="A14" s="1" t="s">
        <v>145</v>
      </c>
      <c r="B14" s="6">
        <v>160</v>
      </c>
      <c r="C14" s="24" t="s">
        <v>288</v>
      </c>
      <c r="D14" s="24" t="s">
        <v>288</v>
      </c>
      <c r="E14" s="24" t="s">
        <v>288</v>
      </c>
      <c r="F14" s="95">
        <f>'DOE25'!I15</f>
        <v>0</v>
      </c>
      <c r="G14" s="24" t="s">
        <v>288</v>
      </c>
      <c r="H14" s="124">
        <f t="shared" si="0"/>
        <v>0</v>
      </c>
      <c r="I14" s="124"/>
    </row>
    <row r="15" spans="1:9" x14ac:dyDescent="0.2">
      <c r="A15" s="1" t="s">
        <v>146</v>
      </c>
      <c r="B15" s="6">
        <v>170</v>
      </c>
      <c r="C15" s="95">
        <f>'DOE25'!F16</f>
        <v>0</v>
      </c>
      <c r="D15" s="95">
        <f>'DOE25'!G16</f>
        <v>11349.2</v>
      </c>
      <c r="E15" s="95">
        <f>'DOE25'!H16</f>
        <v>0</v>
      </c>
      <c r="F15" s="95">
        <f>'DOE25'!I16</f>
        <v>0</v>
      </c>
      <c r="G15" s="24" t="s">
        <v>288</v>
      </c>
      <c r="H15" s="124">
        <f t="shared" si="0"/>
        <v>11349.2</v>
      </c>
      <c r="I15" s="124"/>
    </row>
    <row r="16" spans="1:9" x14ac:dyDescent="0.2">
      <c r="A16" s="1" t="s">
        <v>147</v>
      </c>
      <c r="B16" s="6">
        <v>180</v>
      </c>
      <c r="C16" s="95">
        <f>'DOE25'!F17</f>
        <v>30485.91</v>
      </c>
      <c r="D16" s="95">
        <f>'DOE25'!G17</f>
        <v>0</v>
      </c>
      <c r="E16" s="95">
        <f>'DOE25'!H17</f>
        <v>0</v>
      </c>
      <c r="F16" s="95">
        <f>'DOE25'!I17</f>
        <v>0</v>
      </c>
      <c r="G16" s="95">
        <f>'DOE25'!J17</f>
        <v>0</v>
      </c>
      <c r="H16" s="124">
        <f t="shared" si="0"/>
        <v>30485.91</v>
      </c>
      <c r="I16" s="124"/>
    </row>
    <row r="17" spans="1:9" ht="12" thickBot="1" x14ac:dyDescent="0.25">
      <c r="A17" s="1" t="s">
        <v>148</v>
      </c>
      <c r="B17" s="6">
        <v>190</v>
      </c>
      <c r="C17" s="95">
        <f>'DOE25'!F18</f>
        <v>0</v>
      </c>
      <c r="D17" s="95">
        <f>'DOE25'!G18</f>
        <v>0</v>
      </c>
      <c r="E17" s="95">
        <f>'DOE25'!H18</f>
        <v>0</v>
      </c>
      <c r="F17" s="95">
        <f>'DOE25'!I18</f>
        <v>0</v>
      </c>
      <c r="G17" s="95">
        <f>'DOE25'!J18</f>
        <v>0</v>
      </c>
      <c r="H17" s="124">
        <f t="shared" si="0"/>
        <v>0</v>
      </c>
      <c r="I17" s="124"/>
    </row>
    <row r="18" spans="1:9" ht="12" thickTop="1" x14ac:dyDescent="0.2">
      <c r="A18" s="38" t="s">
        <v>149</v>
      </c>
      <c r="B18" s="39"/>
      <c r="C18" s="41">
        <f>SUM(C8:C17)</f>
        <v>597494.63</v>
      </c>
      <c r="D18" s="41">
        <f>SUM(D8:D17)</f>
        <v>69023.14</v>
      </c>
      <c r="E18" s="41">
        <f>SUM(E8:E17)</f>
        <v>66701.19</v>
      </c>
      <c r="F18" s="41">
        <f>SUM(F8:F17)</f>
        <v>0</v>
      </c>
      <c r="G18" s="41">
        <f>SUM(G8:G17)</f>
        <v>655538.05000000005</v>
      </c>
      <c r="H18" s="41">
        <f t="shared" si="0"/>
        <v>1388757.01</v>
      </c>
      <c r="I18" s="124"/>
    </row>
    <row r="19" spans="1:9" x14ac:dyDescent="0.2">
      <c r="A19" s="1" t="s">
        <v>302</v>
      </c>
      <c r="B19" s="127"/>
      <c r="C19" s="13"/>
      <c r="D19" s="13"/>
      <c r="E19" s="13"/>
      <c r="F19" s="13"/>
      <c r="G19" s="13"/>
      <c r="H19" s="124"/>
      <c r="I19" s="124"/>
    </row>
    <row r="20" spans="1:9" x14ac:dyDescent="0.2">
      <c r="A20" s="29" t="s">
        <v>303</v>
      </c>
      <c r="B20" s="7"/>
      <c r="C20" s="24" t="s">
        <v>288</v>
      </c>
      <c r="D20" s="24" t="s">
        <v>288</v>
      </c>
      <c r="E20" s="24" t="s">
        <v>288</v>
      </c>
      <c r="F20" s="24" t="s">
        <v>288</v>
      </c>
      <c r="G20" s="24" t="s">
        <v>288</v>
      </c>
      <c r="H20" s="24" t="s">
        <v>288</v>
      </c>
      <c r="I20" s="124"/>
    </row>
    <row r="21" spans="1:9" x14ac:dyDescent="0.2">
      <c r="A21" s="1" t="s">
        <v>150</v>
      </c>
      <c r="B21" s="6">
        <v>400</v>
      </c>
      <c r="C21" s="95">
        <f>'DOE25'!F22</f>
        <v>17050.359999999986</v>
      </c>
      <c r="D21" s="95">
        <f>'DOE25'!G22</f>
        <v>-78697.729999999981</v>
      </c>
      <c r="E21" s="95">
        <f>'DOE25'!H22</f>
        <v>61647.37000000001</v>
      </c>
      <c r="F21" s="95">
        <f>'DOE25'!I22</f>
        <v>0</v>
      </c>
      <c r="G21" s="95">
        <f>'DOE25'!J22</f>
        <v>0</v>
      </c>
      <c r="H21" s="124">
        <f t="shared" ref="H21:H31" si="1">SUM(C21:G21)</f>
        <v>1.4551915228366852E-11</v>
      </c>
      <c r="I21" s="124"/>
    </row>
    <row r="22" spans="1:9" x14ac:dyDescent="0.2">
      <c r="A22" s="1" t="s">
        <v>151</v>
      </c>
      <c r="B22" s="6">
        <v>410</v>
      </c>
      <c r="C22" s="95">
        <f>'DOE25'!F23</f>
        <v>0</v>
      </c>
      <c r="D22" s="95">
        <f>'DOE25'!G23</f>
        <v>0</v>
      </c>
      <c r="E22" s="95">
        <f>'DOE25'!H23</f>
        <v>0</v>
      </c>
      <c r="F22" s="95">
        <f>'DOE25'!I23</f>
        <v>0</v>
      </c>
      <c r="G22" s="95">
        <f>'DOE25'!J23</f>
        <v>0</v>
      </c>
      <c r="H22" s="124">
        <f t="shared" si="1"/>
        <v>0</v>
      </c>
      <c r="I22" s="124"/>
    </row>
    <row r="23" spans="1:9" x14ac:dyDescent="0.2">
      <c r="A23" s="1" t="s">
        <v>152</v>
      </c>
      <c r="B23" s="6">
        <v>420</v>
      </c>
      <c r="C23" s="95">
        <f>'DOE25'!F24</f>
        <v>25367.840000000004</v>
      </c>
      <c r="D23" s="95">
        <f>'DOE25'!G24</f>
        <v>0</v>
      </c>
      <c r="E23" s="95">
        <f>'DOE25'!H24</f>
        <v>0</v>
      </c>
      <c r="F23" s="95">
        <f>'DOE25'!I24</f>
        <v>0</v>
      </c>
      <c r="G23" s="95">
        <f>'DOE25'!J24</f>
        <v>0</v>
      </c>
      <c r="H23" s="124">
        <f t="shared" si="1"/>
        <v>25367.840000000004</v>
      </c>
      <c r="I23" s="124"/>
    </row>
    <row r="24" spans="1:9" x14ac:dyDescent="0.2">
      <c r="A24" s="1" t="s">
        <v>153</v>
      </c>
      <c r="B24" s="6">
        <v>430</v>
      </c>
      <c r="C24" s="95">
        <f>'DOE25'!F25</f>
        <v>0</v>
      </c>
      <c r="D24" s="95">
        <f>'DOE25'!G25</f>
        <v>0</v>
      </c>
      <c r="E24" s="95">
        <f>'DOE25'!H25</f>
        <v>0</v>
      </c>
      <c r="F24" s="95">
        <f>'DOE25'!I25</f>
        <v>0</v>
      </c>
      <c r="G24" s="24" t="s">
        <v>288</v>
      </c>
      <c r="H24" s="124">
        <f t="shared" si="1"/>
        <v>0</v>
      </c>
      <c r="I24" s="124"/>
    </row>
    <row r="25" spans="1:9" x14ac:dyDescent="0.2">
      <c r="A25" s="1" t="s">
        <v>154</v>
      </c>
      <c r="B25" s="6">
        <v>440</v>
      </c>
      <c r="C25" s="95">
        <f>'DOE25'!F26</f>
        <v>0</v>
      </c>
      <c r="D25" s="24" t="s">
        <v>288</v>
      </c>
      <c r="E25" s="24" t="s">
        <v>288</v>
      </c>
      <c r="F25" s="95">
        <f>'DOE25'!I26</f>
        <v>0</v>
      </c>
      <c r="G25" s="24" t="s">
        <v>288</v>
      </c>
      <c r="H25" s="124">
        <f t="shared" si="1"/>
        <v>0</v>
      </c>
      <c r="I25" s="124"/>
    </row>
    <row r="26" spans="1:9" x14ac:dyDescent="0.2">
      <c r="A26" s="1" t="s">
        <v>155</v>
      </c>
      <c r="B26" s="6">
        <v>450</v>
      </c>
      <c r="C26" s="95">
        <f>'DOE25'!F27</f>
        <v>0</v>
      </c>
      <c r="D26" s="24" t="s">
        <v>288</v>
      </c>
      <c r="E26" s="24" t="s">
        <v>288</v>
      </c>
      <c r="F26" s="95">
        <f>'DOE25'!I27</f>
        <v>0</v>
      </c>
      <c r="G26" s="24" t="s">
        <v>288</v>
      </c>
      <c r="H26" s="124">
        <f t="shared" si="1"/>
        <v>0</v>
      </c>
      <c r="I26" s="124"/>
    </row>
    <row r="27" spans="1:9" x14ac:dyDescent="0.2">
      <c r="A27" s="1" t="s">
        <v>156</v>
      </c>
      <c r="B27" s="6">
        <v>460</v>
      </c>
      <c r="C27" s="95">
        <f>'DOE25'!F28</f>
        <v>128209.26000000002</v>
      </c>
      <c r="D27" s="95">
        <f>'DOE25'!G28</f>
        <v>75975</v>
      </c>
      <c r="E27" s="95">
        <f>'DOE25'!H28</f>
        <v>0</v>
      </c>
      <c r="F27" s="95">
        <f>'DOE25'!I28</f>
        <v>0</v>
      </c>
      <c r="G27" s="24" t="s">
        <v>288</v>
      </c>
      <c r="H27" s="124">
        <f t="shared" si="1"/>
        <v>204184.26</v>
      </c>
      <c r="I27" s="124"/>
    </row>
    <row r="28" spans="1:9" x14ac:dyDescent="0.2">
      <c r="A28" s="1" t="s">
        <v>157</v>
      </c>
      <c r="B28" s="6">
        <v>470</v>
      </c>
      <c r="C28" s="95">
        <f>'DOE25'!F29</f>
        <v>0</v>
      </c>
      <c r="D28" s="95">
        <f>'DOE25'!G29</f>
        <v>0</v>
      </c>
      <c r="E28" s="95">
        <f>'DOE25'!H29</f>
        <v>0</v>
      </c>
      <c r="F28" s="95">
        <f>'DOE25'!I29</f>
        <v>0</v>
      </c>
      <c r="G28" s="24" t="s">
        <v>288</v>
      </c>
      <c r="H28" s="124">
        <f t="shared" si="1"/>
        <v>0</v>
      </c>
      <c r="I28" s="124"/>
    </row>
    <row r="29" spans="1:9" x14ac:dyDescent="0.2">
      <c r="A29" s="1" t="s">
        <v>158</v>
      </c>
      <c r="B29" s="6">
        <v>480</v>
      </c>
      <c r="C29" s="95">
        <f>'DOE25'!F30</f>
        <v>0</v>
      </c>
      <c r="D29" s="95">
        <f>'DOE25'!G30</f>
        <v>4911.42</v>
      </c>
      <c r="E29" s="95">
        <f>'DOE25'!H30</f>
        <v>5053.82</v>
      </c>
      <c r="F29" s="95">
        <f>'DOE25'!I30</f>
        <v>0</v>
      </c>
      <c r="G29" s="24" t="s">
        <v>288</v>
      </c>
      <c r="H29" s="124">
        <f t="shared" si="1"/>
        <v>9965.24</v>
      </c>
      <c r="I29" s="124"/>
    </row>
    <row r="30" spans="1:9" ht="12" thickBot="1" x14ac:dyDescent="0.25">
      <c r="A30" s="1" t="s">
        <v>159</v>
      </c>
      <c r="B30" s="71">
        <v>490</v>
      </c>
      <c r="C30" s="95">
        <f>'DOE25'!F31</f>
        <v>0</v>
      </c>
      <c r="D30" s="95">
        <f>'DOE25'!G31</f>
        <v>0</v>
      </c>
      <c r="E30" s="95">
        <f>'DOE25'!H31</f>
        <v>0</v>
      </c>
      <c r="F30" s="95">
        <f>'DOE25'!I31</f>
        <v>0</v>
      </c>
      <c r="G30" s="95">
        <f>'DOE25'!J31</f>
        <v>0</v>
      </c>
      <c r="H30" s="124">
        <f t="shared" si="1"/>
        <v>0</v>
      </c>
      <c r="I30" s="124"/>
    </row>
    <row r="31" spans="1:9" ht="12" thickTop="1" x14ac:dyDescent="0.2">
      <c r="A31" s="38" t="s">
        <v>160</v>
      </c>
      <c r="B31" s="2"/>
      <c r="C31" s="41">
        <f>SUM(C21:C30)</f>
        <v>170627.46000000002</v>
      </c>
      <c r="D31" s="41">
        <f>SUM(D21:D30)</f>
        <v>2188.6900000000187</v>
      </c>
      <c r="E31" s="41">
        <f>SUM(E21:E30)</f>
        <v>66701.19</v>
      </c>
      <c r="F31" s="41">
        <f>SUM(F21:F30)</f>
        <v>0</v>
      </c>
      <c r="G31" s="41">
        <f>SUM(G21:G30)</f>
        <v>0</v>
      </c>
      <c r="H31" s="41">
        <f t="shared" si="1"/>
        <v>239517.34000000005</v>
      </c>
      <c r="I31" s="124"/>
    </row>
    <row r="32" spans="1:9" x14ac:dyDescent="0.2">
      <c r="A32" s="29" t="s">
        <v>304</v>
      </c>
      <c r="B32" s="2" t="s">
        <v>286</v>
      </c>
      <c r="C32" s="24" t="s">
        <v>288</v>
      </c>
      <c r="D32" s="24" t="s">
        <v>288</v>
      </c>
      <c r="E32" s="24" t="s">
        <v>288</v>
      </c>
      <c r="F32" s="24" t="s">
        <v>288</v>
      </c>
      <c r="G32" s="24" t="s">
        <v>288</v>
      </c>
      <c r="H32" s="24" t="s">
        <v>288</v>
      </c>
      <c r="I32" s="124"/>
    </row>
    <row r="33" spans="1:9" x14ac:dyDescent="0.2">
      <c r="A33" s="29" t="s">
        <v>846</v>
      </c>
      <c r="B33" s="2"/>
      <c r="C33" s="24" t="s">
        <v>288</v>
      </c>
      <c r="D33" s="24" t="s">
        <v>288</v>
      </c>
      <c r="E33" s="24" t="s">
        <v>288</v>
      </c>
      <c r="F33" s="24" t="s">
        <v>288</v>
      </c>
      <c r="G33" s="24" t="s">
        <v>288</v>
      </c>
      <c r="H33" s="24" t="s">
        <v>288</v>
      </c>
      <c r="I33" s="124"/>
    </row>
    <row r="34" spans="1:9" x14ac:dyDescent="0.2">
      <c r="A34" s="1" t="s">
        <v>849</v>
      </c>
      <c r="B34" s="6">
        <v>751</v>
      </c>
      <c r="C34" s="95">
        <f>'DOE25'!F35</f>
        <v>0</v>
      </c>
      <c r="D34" s="95">
        <f>'DOE25'!G35</f>
        <v>11349.2</v>
      </c>
      <c r="E34" s="95">
        <f>'DOE25'!H35</f>
        <v>0</v>
      </c>
      <c r="F34" s="95">
        <f>'DOE25'!I35</f>
        <v>0</v>
      </c>
      <c r="G34" s="24" t="s">
        <v>288</v>
      </c>
      <c r="H34" s="124">
        <f t="shared" ref="H34:H51" si="2">SUM(C34:G34)</f>
        <v>11349.2</v>
      </c>
      <c r="I34" s="124"/>
    </row>
    <row r="35" spans="1:9" x14ac:dyDescent="0.2">
      <c r="A35" s="1" t="s">
        <v>850</v>
      </c>
      <c r="B35" s="6">
        <v>752</v>
      </c>
      <c r="C35" s="95">
        <f>'DOE25'!F36</f>
        <v>0</v>
      </c>
      <c r="D35" s="95">
        <f>'DOE25'!G36</f>
        <v>0</v>
      </c>
      <c r="E35" s="95">
        <f>'DOE25'!H36</f>
        <v>0</v>
      </c>
      <c r="F35" s="95">
        <f>'DOE25'!I36</f>
        <v>0</v>
      </c>
      <c r="G35" s="24" t="s">
        <v>288</v>
      </c>
      <c r="H35" s="124">
        <f t="shared" si="2"/>
        <v>0</v>
      </c>
      <c r="I35" s="124"/>
    </row>
    <row r="36" spans="1:9" x14ac:dyDescent="0.2">
      <c r="A36" s="1" t="s">
        <v>856</v>
      </c>
      <c r="B36" s="6">
        <v>756</v>
      </c>
      <c r="C36" s="95">
        <f>'DOE25'!F37</f>
        <v>0</v>
      </c>
      <c r="D36" s="95">
        <f>'DOE25'!G37</f>
        <v>0</v>
      </c>
      <c r="E36" s="95">
        <f>'DOE25'!H37</f>
        <v>0</v>
      </c>
      <c r="F36" s="95">
        <f>'DOE25'!I37</f>
        <v>0</v>
      </c>
      <c r="G36" s="95">
        <f>'DOE25'!J37</f>
        <v>0</v>
      </c>
      <c r="H36" s="124">
        <f t="shared" si="2"/>
        <v>0</v>
      </c>
      <c r="I36" s="124"/>
    </row>
    <row r="37" spans="1:9" x14ac:dyDescent="0.2">
      <c r="A37" s="29" t="s">
        <v>845</v>
      </c>
      <c r="B37" s="6"/>
      <c r="C37" s="24" t="s">
        <v>288</v>
      </c>
      <c r="D37" s="24" t="s">
        <v>288</v>
      </c>
      <c r="E37" s="24" t="s">
        <v>288</v>
      </c>
      <c r="F37" s="24" t="s">
        <v>288</v>
      </c>
      <c r="G37" s="24" t="s">
        <v>288</v>
      </c>
      <c r="H37" s="24" t="s">
        <v>288</v>
      </c>
      <c r="I37" s="124"/>
    </row>
    <row r="38" spans="1:9" x14ac:dyDescent="0.2">
      <c r="A38" s="1" t="s">
        <v>857</v>
      </c>
      <c r="B38" s="6">
        <v>756</v>
      </c>
      <c r="C38" s="95">
        <f>'DOE25'!F39</f>
        <v>0</v>
      </c>
      <c r="D38" s="95">
        <f>'DOE25'!G39</f>
        <v>0</v>
      </c>
      <c r="E38" s="95">
        <f>'DOE25'!H39</f>
        <v>0</v>
      </c>
      <c r="F38" s="95">
        <f>'DOE25'!I39</f>
        <v>0</v>
      </c>
      <c r="G38" s="95">
        <f>'DOE25'!J39</f>
        <v>0</v>
      </c>
      <c r="H38" s="124">
        <f t="shared" si="2"/>
        <v>0</v>
      </c>
      <c r="I38" s="124"/>
    </row>
    <row r="39" spans="1:9" x14ac:dyDescent="0.2">
      <c r="A39" s="1" t="s">
        <v>861</v>
      </c>
      <c r="B39" s="6"/>
      <c r="C39" s="24" t="s">
        <v>288</v>
      </c>
      <c r="D39" s="95">
        <f>'DOE25'!G40</f>
        <v>-6694.2</v>
      </c>
      <c r="E39" s="24" t="s">
        <v>288</v>
      </c>
      <c r="F39" s="24" t="s">
        <v>288</v>
      </c>
      <c r="G39" s="24" t="s">
        <v>288</v>
      </c>
      <c r="H39" s="124">
        <f t="shared" si="2"/>
        <v>-6694.2</v>
      </c>
      <c r="I39" s="124"/>
    </row>
    <row r="40" spans="1:9" x14ac:dyDescent="0.2">
      <c r="A40" s="1" t="s">
        <v>871</v>
      </c>
      <c r="B40" s="6"/>
      <c r="C40" s="24" t="s">
        <v>288</v>
      </c>
      <c r="D40" s="24" t="s">
        <v>288</v>
      </c>
      <c r="E40" s="24" t="s">
        <v>288</v>
      </c>
      <c r="F40" s="95">
        <f>'DOE25'!I41</f>
        <v>0</v>
      </c>
      <c r="G40" s="24" t="s">
        <v>288</v>
      </c>
      <c r="H40" s="124">
        <f t="shared" si="2"/>
        <v>0</v>
      </c>
      <c r="I40" s="124"/>
    </row>
    <row r="41" spans="1:9" x14ac:dyDescent="0.2">
      <c r="A41" s="29" t="s">
        <v>847</v>
      </c>
      <c r="B41" s="6"/>
      <c r="C41" s="24" t="s">
        <v>288</v>
      </c>
      <c r="D41" s="24" t="s">
        <v>288</v>
      </c>
      <c r="E41" s="24" t="s">
        <v>288</v>
      </c>
      <c r="F41" s="24" t="s">
        <v>288</v>
      </c>
      <c r="G41" s="24" t="s">
        <v>288</v>
      </c>
      <c r="H41" s="24" t="s">
        <v>288</v>
      </c>
      <c r="I41" s="124"/>
    </row>
    <row r="42" spans="1:9" x14ac:dyDescent="0.2">
      <c r="A42" s="1" t="s">
        <v>862</v>
      </c>
      <c r="B42" s="6">
        <v>754</v>
      </c>
      <c r="C42" s="95">
        <f>'DOE25'!F43</f>
        <v>0</v>
      </c>
      <c r="D42" s="95">
        <f>'DOE25'!G43</f>
        <v>61779.45</v>
      </c>
      <c r="E42" s="95">
        <f>'DOE25'!H43</f>
        <v>0</v>
      </c>
      <c r="F42" s="95">
        <f>'DOE25'!I43</f>
        <v>0</v>
      </c>
      <c r="G42" s="95">
        <f>'DOE25'!J43</f>
        <v>0</v>
      </c>
      <c r="H42" s="124">
        <f t="shared" si="2"/>
        <v>61779.45</v>
      </c>
      <c r="I42" s="124"/>
    </row>
    <row r="43" spans="1:9" x14ac:dyDescent="0.2">
      <c r="A43" s="1" t="s">
        <v>863</v>
      </c>
      <c r="B43" s="6">
        <v>755</v>
      </c>
      <c r="C43" s="95">
        <f>'DOE25'!F44</f>
        <v>250000</v>
      </c>
      <c r="D43" s="95">
        <f>'DOE25'!G44</f>
        <v>0</v>
      </c>
      <c r="E43" s="95">
        <f>'DOE25'!H44</f>
        <v>0</v>
      </c>
      <c r="F43" s="95">
        <f>'DOE25'!I44</f>
        <v>0</v>
      </c>
      <c r="G43" s="24" t="s">
        <v>288</v>
      </c>
      <c r="H43" s="124">
        <f t="shared" si="2"/>
        <v>250000</v>
      </c>
      <c r="I43" s="124"/>
    </row>
    <row r="44" spans="1:9" x14ac:dyDescent="0.2">
      <c r="A44" s="1" t="s">
        <v>864</v>
      </c>
      <c r="B44" s="6">
        <v>753</v>
      </c>
      <c r="C44" s="95">
        <f>'DOE25'!F45</f>
        <v>0</v>
      </c>
      <c r="D44" s="95">
        <f>'DOE25'!G45</f>
        <v>0</v>
      </c>
      <c r="E44" s="95">
        <f>'DOE25'!H45</f>
        <v>0</v>
      </c>
      <c r="F44" s="95">
        <f>'DOE25'!I45</f>
        <v>0</v>
      </c>
      <c r="G44" s="95">
        <f>'DOE25'!J45</f>
        <v>0</v>
      </c>
      <c r="H44" s="124">
        <f t="shared" si="2"/>
        <v>0</v>
      </c>
      <c r="I44" s="124"/>
    </row>
    <row r="45" spans="1:9" x14ac:dyDescent="0.2">
      <c r="A45" s="1" t="s">
        <v>880</v>
      </c>
      <c r="B45" s="6"/>
      <c r="C45" s="95">
        <f>'DOE25'!F46</f>
        <v>0</v>
      </c>
      <c r="D45" s="24" t="s">
        <v>288</v>
      </c>
      <c r="E45" s="24" t="s">
        <v>288</v>
      </c>
      <c r="F45" s="24" t="s">
        <v>288</v>
      </c>
      <c r="G45" s="24" t="s">
        <v>288</v>
      </c>
      <c r="H45" s="124">
        <f t="shared" si="2"/>
        <v>0</v>
      </c>
      <c r="I45" s="124"/>
    </row>
    <row r="46" spans="1:9" x14ac:dyDescent="0.2">
      <c r="A46" s="29" t="s">
        <v>848</v>
      </c>
      <c r="B46" s="6"/>
      <c r="C46" s="24" t="s">
        <v>288</v>
      </c>
      <c r="D46" s="24" t="s">
        <v>288</v>
      </c>
      <c r="E46" s="24" t="s">
        <v>288</v>
      </c>
      <c r="F46" s="24" t="s">
        <v>288</v>
      </c>
      <c r="G46" s="24" t="s">
        <v>288</v>
      </c>
      <c r="H46" s="24" t="s">
        <v>288</v>
      </c>
      <c r="I46" s="124"/>
    </row>
    <row r="47" spans="1:9" x14ac:dyDescent="0.2">
      <c r="A47" s="1" t="s">
        <v>881</v>
      </c>
      <c r="B47" s="6">
        <v>760</v>
      </c>
      <c r="C47" s="95">
        <f>'DOE25'!F48</f>
        <v>0</v>
      </c>
      <c r="D47" s="95">
        <f>'DOE25'!G48</f>
        <v>0</v>
      </c>
      <c r="E47" s="95">
        <f>'DOE25'!H48</f>
        <v>0</v>
      </c>
      <c r="F47" s="95">
        <f>'DOE25'!I48</f>
        <v>0</v>
      </c>
      <c r="G47" s="95">
        <f>'DOE25'!J48</f>
        <v>655538.05000000005</v>
      </c>
      <c r="H47" s="124">
        <f t="shared" si="2"/>
        <v>655538.05000000005</v>
      </c>
      <c r="I47" s="124"/>
    </row>
    <row r="48" spans="1:9" x14ac:dyDescent="0.2">
      <c r="A48" s="1" t="s">
        <v>882</v>
      </c>
      <c r="B48" s="6">
        <v>753</v>
      </c>
      <c r="C48" s="95">
        <f>'DOE25'!F49</f>
        <v>74487.64</v>
      </c>
      <c r="D48" s="95">
        <f>'DOE25'!G49</f>
        <v>400</v>
      </c>
      <c r="E48" s="95">
        <f>'DOE25'!H49</f>
        <v>0</v>
      </c>
      <c r="F48" s="95">
        <f>'DOE25'!I49</f>
        <v>0</v>
      </c>
      <c r="G48" s="95">
        <f>'DOE25'!J49</f>
        <v>0</v>
      </c>
      <c r="H48" s="124">
        <f t="shared" si="2"/>
        <v>74887.64</v>
      </c>
      <c r="I48" s="124"/>
    </row>
    <row r="49" spans="1:9" ht="12" thickBot="1" x14ac:dyDescent="0.25">
      <c r="A49" s="29" t="s">
        <v>883</v>
      </c>
      <c r="B49" s="71">
        <v>770</v>
      </c>
      <c r="C49" s="95">
        <f>'DOE25'!F50</f>
        <v>102379.53</v>
      </c>
      <c r="D49" s="24" t="s">
        <v>288</v>
      </c>
      <c r="E49" s="24" t="s">
        <v>288</v>
      </c>
      <c r="F49" s="24" t="s">
        <v>288</v>
      </c>
      <c r="G49" s="24" t="s">
        <v>288</v>
      </c>
      <c r="H49" s="124">
        <f t="shared" si="2"/>
        <v>102379.53</v>
      </c>
      <c r="I49" s="124"/>
    </row>
    <row r="50" spans="1:9" ht="12.75" thickTop="1" thickBot="1" x14ac:dyDescent="0.25">
      <c r="A50" s="38" t="s">
        <v>884</v>
      </c>
      <c r="B50" s="48"/>
      <c r="C50" s="41">
        <f>SUM(C34:C49)</f>
        <v>426867.17000000004</v>
      </c>
      <c r="D50" s="41">
        <f>SUM(D34:D49)</f>
        <v>66834.45</v>
      </c>
      <c r="E50" s="41">
        <f>SUM(E34:E49)</f>
        <v>0</v>
      </c>
      <c r="F50" s="41">
        <f>SUM(F34:F49)</f>
        <v>0</v>
      </c>
      <c r="G50" s="41">
        <f>SUM(G34:G49)</f>
        <v>655538.05000000005</v>
      </c>
      <c r="H50" s="41">
        <f t="shared" si="2"/>
        <v>1149239.6700000002</v>
      </c>
      <c r="I50" s="124"/>
    </row>
    <row r="51" spans="1:9" ht="12" thickTop="1" x14ac:dyDescent="0.2">
      <c r="A51" s="38" t="s">
        <v>885</v>
      </c>
      <c r="B51" s="2"/>
      <c r="C51" s="41">
        <f>C50+C31</f>
        <v>597494.63000000012</v>
      </c>
      <c r="D51" s="41">
        <f>D50+D31</f>
        <v>69023.140000000014</v>
      </c>
      <c r="E51" s="41">
        <f>E50+E31</f>
        <v>66701.19</v>
      </c>
      <c r="F51" s="41">
        <f>F50+F31</f>
        <v>0</v>
      </c>
      <c r="G51" s="41">
        <f>G50+G31</f>
        <v>655538.05000000005</v>
      </c>
      <c r="H51" s="41">
        <f t="shared" si="2"/>
        <v>1388757.0100000002</v>
      </c>
      <c r="I51" s="124"/>
    </row>
    <row r="52" spans="1:9" x14ac:dyDescent="0.2">
      <c r="H52" s="124"/>
      <c r="I52" s="124"/>
    </row>
    <row r="53" spans="1:9" x14ac:dyDescent="0.2">
      <c r="B53" s="3"/>
      <c r="C53" s="16" t="s">
        <v>280</v>
      </c>
      <c r="D53" s="16" t="s">
        <v>281</v>
      </c>
      <c r="E53" s="16" t="s">
        <v>282</v>
      </c>
      <c r="F53" s="16" t="s">
        <v>283</v>
      </c>
      <c r="G53" s="16" t="s">
        <v>306</v>
      </c>
    </row>
    <row r="54" spans="1:9" x14ac:dyDescent="0.2">
      <c r="A54" s="1" t="s">
        <v>319</v>
      </c>
      <c r="B54" s="127"/>
      <c r="C54" s="24" t="s">
        <v>288</v>
      </c>
      <c r="D54" s="24" t="s">
        <v>288</v>
      </c>
      <c r="E54" s="24" t="s">
        <v>288</v>
      </c>
      <c r="F54" s="24" t="s">
        <v>288</v>
      </c>
      <c r="G54" s="24" t="s">
        <v>288</v>
      </c>
      <c r="H54" s="24" t="s">
        <v>288</v>
      </c>
      <c r="I54" s="20"/>
    </row>
    <row r="55" spans="1:9" x14ac:dyDescent="0.2">
      <c r="A55" s="128" t="s">
        <v>161</v>
      </c>
      <c r="B55" s="127"/>
      <c r="C55" s="24" t="s">
        <v>288</v>
      </c>
      <c r="D55" s="24" t="s">
        <v>288</v>
      </c>
      <c r="E55" s="24" t="s">
        <v>288</v>
      </c>
      <c r="F55" s="24" t="s">
        <v>288</v>
      </c>
      <c r="G55" s="24" t="s">
        <v>288</v>
      </c>
      <c r="H55" s="24" t="s">
        <v>288</v>
      </c>
      <c r="I55"/>
    </row>
    <row r="56" spans="1:9" x14ac:dyDescent="0.2">
      <c r="A56" s="1" t="s">
        <v>162</v>
      </c>
      <c r="B56" s="6" t="s">
        <v>163</v>
      </c>
      <c r="C56" s="95">
        <f>'DOE25'!F60</f>
        <v>8482346</v>
      </c>
      <c r="D56" s="95">
        <f>'DOE25'!G60</f>
        <v>0</v>
      </c>
      <c r="E56" s="95">
        <f>'DOE25'!H60</f>
        <v>0</v>
      </c>
      <c r="F56" s="95">
        <f>'DOE25'!I60</f>
        <v>0</v>
      </c>
      <c r="G56" s="95">
        <f>'DOE25'!J60</f>
        <v>0</v>
      </c>
      <c r="H56" s="124">
        <f t="shared" ref="H56:H63" si="3">SUM(C56:G56)</f>
        <v>8482346</v>
      </c>
      <c r="I56"/>
    </row>
    <row r="57" spans="1:9" x14ac:dyDescent="0.2">
      <c r="A57" s="1" t="s">
        <v>164</v>
      </c>
      <c r="B57" s="6" t="s">
        <v>165</v>
      </c>
      <c r="C57" s="95">
        <f>'DOE25'!F79</f>
        <v>8644.7000000000007</v>
      </c>
      <c r="D57" s="24" t="s">
        <v>288</v>
      </c>
      <c r="E57" s="95">
        <f>'DOE25'!H79</f>
        <v>0</v>
      </c>
      <c r="F57" s="24" t="s">
        <v>288</v>
      </c>
      <c r="G57" s="24" t="s">
        <v>288</v>
      </c>
      <c r="H57" s="124">
        <f t="shared" si="3"/>
        <v>8644.7000000000007</v>
      </c>
      <c r="I57"/>
    </row>
    <row r="58" spans="1:9" x14ac:dyDescent="0.2">
      <c r="A58" s="1" t="s">
        <v>166</v>
      </c>
      <c r="B58" s="6" t="s">
        <v>167</v>
      </c>
      <c r="C58" s="95">
        <f>'DOE25'!F94</f>
        <v>0</v>
      </c>
      <c r="D58" s="24" t="s">
        <v>288</v>
      </c>
      <c r="E58" s="95">
        <f>'DOE25'!H94</f>
        <v>0</v>
      </c>
      <c r="F58" s="24" t="s">
        <v>288</v>
      </c>
      <c r="G58" s="24" t="s">
        <v>288</v>
      </c>
      <c r="H58" s="124">
        <f t="shared" si="3"/>
        <v>0</v>
      </c>
      <c r="I58"/>
    </row>
    <row r="59" spans="1:9" x14ac:dyDescent="0.2">
      <c r="A59" s="69" t="s">
        <v>168</v>
      </c>
      <c r="B59" s="37" t="s">
        <v>169</v>
      </c>
      <c r="C59" s="95">
        <f>'DOE25'!F96</f>
        <v>2079.12</v>
      </c>
      <c r="D59" s="95">
        <f>'DOE25'!G96</f>
        <v>0</v>
      </c>
      <c r="E59" s="95">
        <f>'DOE25'!H96</f>
        <v>0</v>
      </c>
      <c r="F59" s="95">
        <f>'DOE25'!I96</f>
        <v>0</v>
      </c>
      <c r="G59" s="95">
        <f>'DOE25'!J96</f>
        <v>1007.85</v>
      </c>
      <c r="H59" s="124">
        <f t="shared" si="3"/>
        <v>3086.97</v>
      </c>
      <c r="I59"/>
    </row>
    <row r="60" spans="1:9" x14ac:dyDescent="0.2">
      <c r="A60" s="1" t="s">
        <v>170</v>
      </c>
      <c r="B60" s="118" t="s">
        <v>171</v>
      </c>
      <c r="C60" s="24" t="s">
        <v>288</v>
      </c>
      <c r="D60" s="95">
        <f>'DOE25'!G97</f>
        <v>9305.2900000000009</v>
      </c>
      <c r="E60" s="24" t="s">
        <v>288</v>
      </c>
      <c r="F60" s="24" t="s">
        <v>288</v>
      </c>
      <c r="G60" s="24" t="s">
        <v>288</v>
      </c>
      <c r="H60" s="124">
        <f t="shared" si="3"/>
        <v>9305.2900000000009</v>
      </c>
      <c r="I60"/>
    </row>
    <row r="61" spans="1:9" ht="12" thickBot="1" x14ac:dyDescent="0.25">
      <c r="A61" s="1" t="s">
        <v>172</v>
      </c>
      <c r="B61" s="118" t="s">
        <v>173</v>
      </c>
      <c r="C61" s="95">
        <f>SUM('DOE25'!F98:F110)</f>
        <v>79229.59</v>
      </c>
      <c r="D61" s="95">
        <f>SUM('DOE25'!G98:G110)</f>
        <v>0</v>
      </c>
      <c r="E61" s="95">
        <f>SUM('DOE25'!H98:H110)</f>
        <v>0</v>
      </c>
      <c r="F61" s="95">
        <f>SUM('DOE25'!I98:I110)</f>
        <v>0</v>
      </c>
      <c r="G61" s="95">
        <f>SUM('DOE25'!J98:J110)</f>
        <v>0</v>
      </c>
      <c r="H61" s="124">
        <f t="shared" si="3"/>
        <v>79229.59</v>
      </c>
      <c r="I61"/>
    </row>
    <row r="62" spans="1:9" ht="12.75" thickTop="1" thickBot="1" x14ac:dyDescent="0.25">
      <c r="A62" s="29" t="s">
        <v>174</v>
      </c>
      <c r="B62" s="6"/>
      <c r="C62" s="130">
        <f>SUM(C57:C61)</f>
        <v>89953.41</v>
      </c>
      <c r="D62" s="130">
        <f>SUM(D57:D61)</f>
        <v>9305.2900000000009</v>
      </c>
      <c r="E62" s="130">
        <f>SUM(E57:E61)</f>
        <v>0</v>
      </c>
      <c r="F62" s="130">
        <f>SUM(F57:F61)</f>
        <v>0</v>
      </c>
      <c r="G62" s="130">
        <f>SUM(G57:G61)</f>
        <v>1007.85</v>
      </c>
      <c r="H62" s="124">
        <f t="shared" si="3"/>
        <v>100266.55000000002</v>
      </c>
      <c r="I62"/>
    </row>
    <row r="63" spans="1:9" ht="12" thickTop="1" x14ac:dyDescent="0.2">
      <c r="A63" s="29" t="s">
        <v>175</v>
      </c>
      <c r="B63" s="6"/>
      <c r="C63" s="22">
        <f>C56+C62</f>
        <v>8572299.4100000001</v>
      </c>
      <c r="D63" s="22">
        <f>D56+D62</f>
        <v>9305.2900000000009</v>
      </c>
      <c r="E63" s="22">
        <f>E56+E62</f>
        <v>0</v>
      </c>
      <c r="F63" s="22">
        <f>F56+F62</f>
        <v>0</v>
      </c>
      <c r="G63" s="22">
        <f>G56+G62</f>
        <v>1007.85</v>
      </c>
      <c r="H63" s="124">
        <f t="shared" si="3"/>
        <v>8582612.5499999989</v>
      </c>
      <c r="I63"/>
    </row>
    <row r="64" spans="1:9" x14ac:dyDescent="0.2">
      <c r="A64" s="29" t="s">
        <v>320</v>
      </c>
      <c r="B64" s="6"/>
      <c r="C64" s="24" t="s">
        <v>288</v>
      </c>
      <c r="D64" s="24" t="s">
        <v>288</v>
      </c>
      <c r="E64" s="24" t="s">
        <v>288</v>
      </c>
      <c r="F64" s="24" t="s">
        <v>288</v>
      </c>
      <c r="G64" s="24" t="s">
        <v>288</v>
      </c>
      <c r="H64" s="24" t="s">
        <v>288</v>
      </c>
      <c r="I64"/>
    </row>
    <row r="65" spans="1:9" x14ac:dyDescent="0.2">
      <c r="A65" s="29" t="s">
        <v>176</v>
      </c>
      <c r="B65" s="6"/>
      <c r="C65" s="24" t="s">
        <v>288</v>
      </c>
      <c r="D65" s="24" t="s">
        <v>288</v>
      </c>
      <c r="E65" s="24" t="s">
        <v>288</v>
      </c>
      <c r="F65" s="24" t="s">
        <v>288</v>
      </c>
      <c r="G65" s="24" t="s">
        <v>288</v>
      </c>
      <c r="H65" s="24" t="s">
        <v>288</v>
      </c>
      <c r="I65"/>
    </row>
    <row r="66" spans="1:9" x14ac:dyDescent="0.2">
      <c r="A66" s="1" t="s">
        <v>834</v>
      </c>
      <c r="B66" s="6">
        <v>3111</v>
      </c>
      <c r="C66" s="95">
        <f>'DOE25'!F117</f>
        <v>1559889.94</v>
      </c>
      <c r="D66" s="24" t="s">
        <v>288</v>
      </c>
      <c r="E66" s="24" t="s">
        <v>288</v>
      </c>
      <c r="F66" s="24" t="s">
        <v>288</v>
      </c>
      <c r="G66" s="24" t="s">
        <v>288</v>
      </c>
      <c r="H66" s="124">
        <f t="shared" ref="H66:H81" si="4">SUM(C66:G66)</f>
        <v>1559889.94</v>
      </c>
      <c r="I66"/>
    </row>
    <row r="67" spans="1:9" x14ac:dyDescent="0.2">
      <c r="A67" s="1" t="s">
        <v>770</v>
      </c>
      <c r="B67" s="6">
        <v>3112</v>
      </c>
      <c r="C67" s="95">
        <f>'DOE25'!F118</f>
        <v>1001250</v>
      </c>
      <c r="D67" s="24"/>
      <c r="E67" s="24"/>
      <c r="F67" s="24"/>
      <c r="G67" s="24"/>
      <c r="H67" s="124">
        <f t="shared" si="4"/>
        <v>1001250</v>
      </c>
      <c r="I67"/>
    </row>
    <row r="68" spans="1:9" x14ac:dyDescent="0.2">
      <c r="A68" s="1" t="s">
        <v>873</v>
      </c>
      <c r="B68" s="6">
        <v>3119</v>
      </c>
      <c r="C68" s="24" t="str">
        <f>'DOE25'!F119</f>
        <v>............</v>
      </c>
      <c r="D68" s="24" t="s">
        <v>288</v>
      </c>
      <c r="E68" s="24" t="s">
        <v>288</v>
      </c>
      <c r="F68" s="24" t="s">
        <v>288</v>
      </c>
      <c r="G68" s="24" t="s">
        <v>288</v>
      </c>
      <c r="H68" s="24" t="s">
        <v>288</v>
      </c>
      <c r="I68"/>
    </row>
    <row r="69" spans="1:9" ht="12" thickBot="1" x14ac:dyDescent="0.25">
      <c r="A69" s="1" t="s">
        <v>251</v>
      </c>
      <c r="B69" s="6" t="s">
        <v>177</v>
      </c>
      <c r="C69" s="95">
        <f>'DOE25'!F120</f>
        <v>5985.63</v>
      </c>
      <c r="D69" s="95">
        <f>'DOE25'!G120</f>
        <v>0</v>
      </c>
      <c r="E69" s="95">
        <f>'DOE25'!H120</f>
        <v>0</v>
      </c>
      <c r="F69" s="95">
        <f>'DOE25'!I120</f>
        <v>0</v>
      </c>
      <c r="G69" s="95">
        <f>'DOE25'!J120</f>
        <v>0</v>
      </c>
      <c r="H69" s="124">
        <f t="shared" si="4"/>
        <v>5985.63</v>
      </c>
      <c r="I69"/>
    </row>
    <row r="70" spans="1:9" ht="12" thickTop="1" x14ac:dyDescent="0.2">
      <c r="A70" s="29" t="s">
        <v>252</v>
      </c>
      <c r="B70" s="2"/>
      <c r="C70" s="139">
        <f>SUM(C66:C69)</f>
        <v>2567125.5699999998</v>
      </c>
      <c r="D70" s="139">
        <f>D69</f>
        <v>0</v>
      </c>
      <c r="E70" s="139">
        <f>E69</f>
        <v>0</v>
      </c>
      <c r="F70" s="139">
        <f>F69</f>
        <v>0</v>
      </c>
      <c r="G70" s="139">
        <f>G69</f>
        <v>0</v>
      </c>
      <c r="H70" s="124">
        <f t="shared" si="4"/>
        <v>2567125.5699999998</v>
      </c>
      <c r="I70"/>
    </row>
    <row r="71" spans="1:9" x14ac:dyDescent="0.2">
      <c r="A71" s="29" t="s">
        <v>178</v>
      </c>
      <c r="B71" s="2"/>
      <c r="C71" s="24" t="s">
        <v>288</v>
      </c>
      <c r="D71" s="24" t="s">
        <v>288</v>
      </c>
      <c r="E71" s="24" t="s">
        <v>288</v>
      </c>
      <c r="F71" s="24" t="s">
        <v>288</v>
      </c>
      <c r="G71" s="24" t="s">
        <v>288</v>
      </c>
      <c r="H71" s="24" t="s">
        <v>288</v>
      </c>
      <c r="I71"/>
    </row>
    <row r="72" spans="1:9" x14ac:dyDescent="0.2">
      <c r="A72" s="1" t="s">
        <v>253</v>
      </c>
      <c r="B72" s="6">
        <v>3210</v>
      </c>
      <c r="C72" s="95">
        <f>'DOE25'!F123</f>
        <v>0</v>
      </c>
      <c r="D72" s="24" t="s">
        <v>288</v>
      </c>
      <c r="E72" s="24" t="s">
        <v>288</v>
      </c>
      <c r="F72" s="95">
        <f>'DOE25'!I123</f>
        <v>0</v>
      </c>
      <c r="G72" s="24" t="s">
        <v>288</v>
      </c>
      <c r="H72" s="124">
        <f t="shared" si="4"/>
        <v>0</v>
      </c>
      <c r="I72"/>
    </row>
    <row r="73" spans="1:9" x14ac:dyDescent="0.2">
      <c r="A73" s="1" t="s">
        <v>254</v>
      </c>
      <c r="B73" s="6">
        <v>3215</v>
      </c>
      <c r="C73" s="95">
        <f>'DOE25'!F124</f>
        <v>0</v>
      </c>
      <c r="D73" s="24" t="s">
        <v>288</v>
      </c>
      <c r="E73" s="24" t="s">
        <v>288</v>
      </c>
      <c r="F73" s="95">
        <f>'DOE25'!I124</f>
        <v>0</v>
      </c>
      <c r="G73" s="24" t="s">
        <v>288</v>
      </c>
      <c r="H73" s="124">
        <f t="shared" si="4"/>
        <v>0</v>
      </c>
      <c r="I73"/>
    </row>
    <row r="74" spans="1:9" x14ac:dyDescent="0.2">
      <c r="A74" s="1" t="s">
        <v>255</v>
      </c>
      <c r="B74" s="6">
        <v>3220</v>
      </c>
      <c r="C74" s="95">
        <f>'DOE25'!F125</f>
        <v>0</v>
      </c>
      <c r="D74" s="24"/>
      <c r="E74" s="24"/>
      <c r="F74" s="24"/>
      <c r="G74" s="24"/>
      <c r="H74" s="124">
        <f t="shared" si="4"/>
        <v>0</v>
      </c>
      <c r="I74"/>
    </row>
    <row r="75" spans="1:9" x14ac:dyDescent="0.2">
      <c r="A75" s="1" t="s">
        <v>256</v>
      </c>
      <c r="B75" s="6">
        <v>3230</v>
      </c>
      <c r="C75" s="95">
        <f>'DOE25'!F126</f>
        <v>158502.16</v>
      </c>
      <c r="D75" s="24" t="s">
        <v>288</v>
      </c>
      <c r="E75" s="24" t="s">
        <v>288</v>
      </c>
      <c r="F75" s="24" t="s">
        <v>288</v>
      </c>
      <c r="G75" s="24" t="s">
        <v>288</v>
      </c>
      <c r="H75" s="124">
        <f t="shared" si="4"/>
        <v>158502.16</v>
      </c>
      <c r="I75"/>
    </row>
    <row r="76" spans="1:9" x14ac:dyDescent="0.2">
      <c r="A76" s="1" t="s">
        <v>257</v>
      </c>
      <c r="B76" s="6" t="s">
        <v>179</v>
      </c>
      <c r="C76" s="95">
        <f>SUM('DOE25'!F127:F130)</f>
        <v>0</v>
      </c>
      <c r="D76" s="24" t="s">
        <v>288</v>
      </c>
      <c r="E76" s="95">
        <f>SUM('DOE25'!H127:H130)</f>
        <v>4777</v>
      </c>
      <c r="F76" s="95">
        <f>SUM('DOE25'!I127:I130)</f>
        <v>0</v>
      </c>
      <c r="G76" s="24" t="s">
        <v>288</v>
      </c>
      <c r="H76" s="124">
        <f t="shared" si="4"/>
        <v>4777</v>
      </c>
      <c r="I76"/>
    </row>
    <row r="77" spans="1:9" ht="12" thickBot="1" x14ac:dyDescent="0.25">
      <c r="A77" s="1" t="s">
        <v>258</v>
      </c>
      <c r="B77" s="6" t="s">
        <v>180</v>
      </c>
      <c r="C77" s="95">
        <f>SUM('DOE25'!F131:F135)</f>
        <v>0</v>
      </c>
      <c r="D77" s="95">
        <f>SUM('DOE25'!G131:G135)</f>
        <v>1039.53</v>
      </c>
      <c r="E77" s="95">
        <f>SUM('DOE25'!H131:H135)</f>
        <v>0</v>
      </c>
      <c r="F77" s="95">
        <f>SUM('DOE25'!I131:I135)</f>
        <v>0</v>
      </c>
      <c r="G77" s="95">
        <f>SUM('DOE25'!J131:J135)</f>
        <v>0</v>
      </c>
      <c r="H77" s="124">
        <f t="shared" si="4"/>
        <v>1039.53</v>
      </c>
      <c r="I77"/>
    </row>
    <row r="78" spans="1:9" ht="12.75" thickTop="1" thickBot="1" x14ac:dyDescent="0.25">
      <c r="A78" s="29" t="s">
        <v>259</v>
      </c>
      <c r="B78" s="6"/>
      <c r="C78" s="130">
        <f>SUM(C72:C77)</f>
        <v>158502.16</v>
      </c>
      <c r="D78" s="130">
        <f>SUM(D72:D77)</f>
        <v>1039.53</v>
      </c>
      <c r="E78" s="130">
        <f>SUM(E72:E77)</f>
        <v>4777</v>
      </c>
      <c r="F78" s="130">
        <f>SUM(F72:F77)</f>
        <v>0</v>
      </c>
      <c r="G78" s="130">
        <f>SUM(G72:G77)</f>
        <v>0</v>
      </c>
      <c r="H78" s="124">
        <f t="shared" si="4"/>
        <v>164318.69</v>
      </c>
      <c r="I78"/>
    </row>
    <row r="79" spans="1:9" ht="12" thickTop="1" x14ac:dyDescent="0.2">
      <c r="A79" s="1" t="s">
        <v>260</v>
      </c>
      <c r="B79" s="6">
        <v>3700</v>
      </c>
      <c r="C79" s="95">
        <f>'DOE25'!F137</f>
        <v>0</v>
      </c>
      <c r="D79" s="95">
        <f>'DOE25'!G137</f>
        <v>0</v>
      </c>
      <c r="E79" s="95">
        <f>'DOE25'!H137</f>
        <v>0</v>
      </c>
      <c r="F79" s="24" t="s">
        <v>288</v>
      </c>
      <c r="G79" s="24" t="s">
        <v>288</v>
      </c>
      <c r="H79" s="124">
        <f t="shared" si="4"/>
        <v>0</v>
      </c>
      <c r="I79"/>
    </row>
    <row r="80" spans="1:9" ht="12" thickBot="1" x14ac:dyDescent="0.25">
      <c r="A80" s="1" t="s">
        <v>886</v>
      </c>
      <c r="B80" s="6">
        <v>3800</v>
      </c>
      <c r="C80" s="95">
        <f>'DOE25'!F138</f>
        <v>0</v>
      </c>
      <c r="D80" s="24" t="s">
        <v>288</v>
      </c>
      <c r="E80" s="95">
        <f>'DOE25'!H138</f>
        <v>0</v>
      </c>
      <c r="F80" s="24" t="s">
        <v>288</v>
      </c>
      <c r="G80" s="24" t="s">
        <v>288</v>
      </c>
      <c r="H80" s="124">
        <f t="shared" si="4"/>
        <v>0</v>
      </c>
      <c r="I80"/>
    </row>
    <row r="81" spans="1:9" ht="12.75" thickTop="1" thickBot="1" x14ac:dyDescent="0.25">
      <c r="A81" s="29" t="s">
        <v>744</v>
      </c>
      <c r="B81" s="2"/>
      <c r="C81" s="130">
        <f>SUM(C79:C80)+C78+C70</f>
        <v>2725627.73</v>
      </c>
      <c r="D81" s="130">
        <f>SUM(D79:D80)+D78+D70</f>
        <v>1039.53</v>
      </c>
      <c r="E81" s="130">
        <f>SUM(E79:E80)+E78+E70</f>
        <v>4777</v>
      </c>
      <c r="F81" s="130">
        <f>SUM(F79:F80)+F78+F70</f>
        <v>0</v>
      </c>
      <c r="G81" s="130">
        <f>SUM(G79:G80)+G78+G70</f>
        <v>0</v>
      </c>
      <c r="H81" s="130">
        <f t="shared" si="4"/>
        <v>2731444.26</v>
      </c>
      <c r="I81"/>
    </row>
    <row r="82" spans="1:9" ht="12" thickTop="1" x14ac:dyDescent="0.2">
      <c r="B82" s="3"/>
      <c r="C82" s="16" t="s">
        <v>280</v>
      </c>
      <c r="D82" s="16" t="s">
        <v>281</v>
      </c>
      <c r="E82" s="16" t="s">
        <v>282</v>
      </c>
      <c r="F82" s="16" t="s">
        <v>283</v>
      </c>
      <c r="G82" s="16" t="s">
        <v>306</v>
      </c>
      <c r="H82" s="16"/>
      <c r="I82"/>
    </row>
    <row r="83" spans="1:9" x14ac:dyDescent="0.2">
      <c r="A83" s="1" t="s">
        <v>319</v>
      </c>
      <c r="B83" s="127"/>
      <c r="C83" s="24" t="s">
        <v>288</v>
      </c>
      <c r="D83" s="24" t="s">
        <v>288</v>
      </c>
      <c r="E83" s="24" t="s">
        <v>288</v>
      </c>
      <c r="F83" s="24" t="s">
        <v>288</v>
      </c>
      <c r="G83" s="24" t="s">
        <v>288</v>
      </c>
      <c r="H83" s="24" t="s">
        <v>288</v>
      </c>
      <c r="I83"/>
    </row>
    <row r="84" spans="1:9" x14ac:dyDescent="0.2">
      <c r="A84" s="128" t="s">
        <v>181</v>
      </c>
      <c r="B84" s="127"/>
      <c r="C84" s="24" t="s">
        <v>288</v>
      </c>
      <c r="D84" s="24" t="s">
        <v>288</v>
      </c>
      <c r="E84" s="24" t="s">
        <v>288</v>
      </c>
      <c r="F84" s="24" t="s">
        <v>288</v>
      </c>
      <c r="G84" s="24" t="s">
        <v>288</v>
      </c>
      <c r="H84" s="24" t="s">
        <v>288</v>
      </c>
      <c r="I84"/>
    </row>
    <row r="85" spans="1:9" x14ac:dyDescent="0.2">
      <c r="A85" t="s">
        <v>745</v>
      </c>
      <c r="B85" s="32" t="s">
        <v>182</v>
      </c>
      <c r="C85" s="95">
        <f>'DOE25'!F147</f>
        <v>0</v>
      </c>
      <c r="D85" s="95">
        <f>'DOE25'!G147</f>
        <v>0</v>
      </c>
      <c r="E85" s="95">
        <f>'DOE25'!H147</f>
        <v>0</v>
      </c>
      <c r="F85" s="95">
        <f>'DOE25'!I147</f>
        <v>0</v>
      </c>
      <c r="G85" s="24" t="s">
        <v>288</v>
      </c>
      <c r="H85" s="124">
        <f t="shared" ref="H85:H104" si="5">SUM(C85:G85)</f>
        <v>0</v>
      </c>
      <c r="I85"/>
    </row>
    <row r="86" spans="1:9" x14ac:dyDescent="0.2">
      <c r="A86" s="33" t="s">
        <v>178</v>
      </c>
      <c r="B86" s="32"/>
      <c r="C86" s="24" t="s">
        <v>288</v>
      </c>
      <c r="D86" s="24" t="s">
        <v>288</v>
      </c>
      <c r="E86" s="24" t="s">
        <v>288</v>
      </c>
      <c r="F86" s="24" t="s">
        <v>288</v>
      </c>
      <c r="G86" s="24" t="s">
        <v>288</v>
      </c>
      <c r="H86" s="24" t="s">
        <v>288</v>
      </c>
    </row>
    <row r="87" spans="1:9" x14ac:dyDescent="0.2">
      <c r="A87" t="s">
        <v>746</v>
      </c>
      <c r="B87" s="32" t="s">
        <v>183</v>
      </c>
      <c r="C87" s="95">
        <f>SUM('DOE25'!F149:F152)</f>
        <v>0</v>
      </c>
      <c r="D87" s="24" t="s">
        <v>288</v>
      </c>
      <c r="E87" s="95">
        <f>SUM('DOE25'!H149:H152)</f>
        <v>14043.75</v>
      </c>
      <c r="F87" s="95">
        <f>SUM('DOE25'!I149:I152)</f>
        <v>0</v>
      </c>
      <c r="G87" s="24" t="s">
        <v>288</v>
      </c>
      <c r="H87" s="124">
        <f t="shared" si="5"/>
        <v>14043.75</v>
      </c>
    </row>
    <row r="88" spans="1:9" x14ac:dyDescent="0.2">
      <c r="A88" s="287" t="s">
        <v>747</v>
      </c>
      <c r="B88" s="325" t="s">
        <v>184</v>
      </c>
      <c r="C88" s="326">
        <f>SUM('DOE25'!F153:F162)</f>
        <v>2913.13</v>
      </c>
      <c r="D88" s="326">
        <f>SUM('DOE25'!G153:G162)</f>
        <v>277440.63</v>
      </c>
      <c r="E88" s="326">
        <f>SUM('DOE25'!H153:H162)</f>
        <v>322570.14</v>
      </c>
      <c r="F88" s="326">
        <f>SUM('DOE25'!I153:I162)</f>
        <v>0</v>
      </c>
      <c r="G88" s="24" t="s">
        <v>288</v>
      </c>
      <c r="H88" s="124">
        <f t="shared" si="5"/>
        <v>602923.9</v>
      </c>
    </row>
    <row r="89" spans="1:9" x14ac:dyDescent="0.2">
      <c r="A89" t="s">
        <v>748</v>
      </c>
      <c r="B89" s="32" t="s">
        <v>185</v>
      </c>
      <c r="C89" s="95">
        <f>'DOE25'!F164+'DOE25'!F167+'DOE25'!F169</f>
        <v>0</v>
      </c>
      <c r="D89" s="95">
        <f>'DOE25'!G164+'DOE25'!G169</f>
        <v>0</v>
      </c>
      <c r="E89" s="95">
        <f>'DOE25'!H164+'DOE25'!H169</f>
        <v>0</v>
      </c>
      <c r="F89" s="95">
        <f>'DOE25'!I164</f>
        <v>0</v>
      </c>
      <c r="G89" s="24" t="s">
        <v>288</v>
      </c>
      <c r="H89" s="124">
        <f t="shared" si="5"/>
        <v>0</v>
      </c>
    </row>
    <row r="90" spans="1:9" ht="12" thickBot="1" x14ac:dyDescent="0.25">
      <c r="A90" t="s">
        <v>749</v>
      </c>
      <c r="B90" s="32">
        <v>4810</v>
      </c>
      <c r="C90" s="95">
        <f>'DOE25'!F166</f>
        <v>0</v>
      </c>
      <c r="D90" s="24" t="s">
        <v>288</v>
      </c>
      <c r="E90" s="24" t="s">
        <v>288</v>
      </c>
      <c r="F90" s="24" t="s">
        <v>288</v>
      </c>
      <c r="G90" s="24" t="s">
        <v>288</v>
      </c>
      <c r="H90" s="124">
        <f t="shared" si="5"/>
        <v>0</v>
      </c>
    </row>
    <row r="91" spans="1:9" ht="12.75" thickTop="1" thickBot="1" x14ac:dyDescent="0.25">
      <c r="A91" s="33" t="s">
        <v>750</v>
      </c>
      <c r="C91" s="131">
        <f>SUM(C85:C90)</f>
        <v>2913.13</v>
      </c>
      <c r="D91" s="131">
        <f>SUM(D85:D90)</f>
        <v>277440.63</v>
      </c>
      <c r="E91" s="131">
        <f>SUM(E85:E90)</f>
        <v>336613.89</v>
      </c>
      <c r="F91" s="131">
        <f>SUM(F85:F90)</f>
        <v>0</v>
      </c>
      <c r="G91" s="24" t="s">
        <v>288</v>
      </c>
      <c r="H91" s="124">
        <f t="shared" si="5"/>
        <v>616967.65</v>
      </c>
    </row>
    <row r="92" spans="1:9" ht="12" thickTop="1" x14ac:dyDescent="0.2">
      <c r="A92" s="33" t="s">
        <v>186</v>
      </c>
      <c r="C92" s="24" t="s">
        <v>288</v>
      </c>
      <c r="D92" s="24" t="s">
        <v>288</v>
      </c>
      <c r="E92" s="24" t="s">
        <v>288</v>
      </c>
      <c r="F92" s="24" t="s">
        <v>288</v>
      </c>
      <c r="G92" s="24" t="s">
        <v>288</v>
      </c>
      <c r="H92" s="24" t="s">
        <v>288</v>
      </c>
    </row>
    <row r="93" spans="1:9" x14ac:dyDescent="0.2">
      <c r="A93" t="s">
        <v>751</v>
      </c>
      <c r="B93" s="32" t="s">
        <v>187</v>
      </c>
      <c r="C93" s="95">
        <f>SUM('DOE25'!F174:F176)</f>
        <v>0</v>
      </c>
      <c r="D93" s="24" t="s">
        <v>288</v>
      </c>
      <c r="E93" s="24" t="s">
        <v>288</v>
      </c>
      <c r="F93" s="95">
        <f>SUM('DOE25'!I174:I176)</f>
        <v>0</v>
      </c>
      <c r="G93" s="24" t="s">
        <v>288</v>
      </c>
      <c r="H93" s="124">
        <f t="shared" si="5"/>
        <v>0</v>
      </c>
    </row>
    <row r="94" spans="1:9" x14ac:dyDescent="0.2">
      <c r="A94" t="s">
        <v>752</v>
      </c>
      <c r="B94" s="32">
        <v>5140</v>
      </c>
      <c r="C94" s="95">
        <f>'DOE25'!F177</f>
        <v>0</v>
      </c>
      <c r="D94" s="24" t="s">
        <v>288</v>
      </c>
      <c r="E94" s="24" t="s">
        <v>288</v>
      </c>
      <c r="F94" s="95">
        <f>'DOE25'!I177</f>
        <v>0</v>
      </c>
      <c r="G94" s="24" t="s">
        <v>288</v>
      </c>
      <c r="H94" s="124">
        <f t="shared" si="5"/>
        <v>0</v>
      </c>
    </row>
    <row r="95" spans="1:9" x14ac:dyDescent="0.2">
      <c r="A95" s="33" t="s">
        <v>331</v>
      </c>
      <c r="B95" s="32"/>
      <c r="C95" s="24" t="s">
        <v>288</v>
      </c>
      <c r="D95" s="24" t="s">
        <v>288</v>
      </c>
      <c r="E95" s="24" t="s">
        <v>288</v>
      </c>
      <c r="F95" s="24" t="s">
        <v>288</v>
      </c>
      <c r="G95" s="24" t="s">
        <v>288</v>
      </c>
      <c r="H95" s="24" t="s">
        <v>288</v>
      </c>
    </row>
    <row r="96" spans="1:9" x14ac:dyDescent="0.2">
      <c r="A96" t="s">
        <v>753</v>
      </c>
      <c r="B96" s="32">
        <v>5210</v>
      </c>
      <c r="C96" s="24" t="s">
        <v>288</v>
      </c>
      <c r="D96" s="95">
        <f>'DOE25'!G180</f>
        <v>0</v>
      </c>
      <c r="E96" s="95">
        <f>'DOE25'!H180</f>
        <v>0</v>
      </c>
      <c r="F96" s="95">
        <f>'DOE25'!I180</f>
        <v>0</v>
      </c>
      <c r="G96" s="95">
        <f>'DOE25'!J180</f>
        <v>100000</v>
      </c>
      <c r="H96" s="124">
        <f t="shared" si="5"/>
        <v>100000</v>
      </c>
    </row>
    <row r="97" spans="1:8" x14ac:dyDescent="0.2">
      <c r="A97" t="s">
        <v>754</v>
      </c>
      <c r="B97" s="32" t="s">
        <v>188</v>
      </c>
      <c r="C97" s="95">
        <f>SUM('DOE25'!F181:F182)</f>
        <v>0</v>
      </c>
      <c r="D97" s="95">
        <f>SUM('DOE25'!G181:G182)</f>
        <v>0</v>
      </c>
      <c r="E97" s="95">
        <f>SUM('DOE25'!H181:H182)</f>
        <v>0</v>
      </c>
      <c r="F97" s="95">
        <f>SUM('DOE25'!I181:I182)</f>
        <v>0</v>
      </c>
      <c r="G97" s="95">
        <f>SUM('DOE25'!J181:J182)</f>
        <v>0</v>
      </c>
      <c r="H97" s="124">
        <f t="shared" si="5"/>
        <v>0</v>
      </c>
    </row>
    <row r="98" spans="1:8" x14ac:dyDescent="0.2">
      <c r="A98" t="s">
        <v>755</v>
      </c>
      <c r="B98" s="32" t="s">
        <v>189</v>
      </c>
      <c r="C98" s="95">
        <f>'DOE25'!F183</f>
        <v>0</v>
      </c>
      <c r="D98" s="95">
        <f>'DOE25'!G183</f>
        <v>0</v>
      </c>
      <c r="E98" s="95">
        <f>'DOE25'!H183</f>
        <v>0</v>
      </c>
      <c r="F98" s="24" t="s">
        <v>288</v>
      </c>
      <c r="G98" s="95">
        <f>'DOE25'!J183</f>
        <v>0</v>
      </c>
      <c r="H98" s="124">
        <f t="shared" si="5"/>
        <v>0</v>
      </c>
    </row>
    <row r="99" spans="1:8" x14ac:dyDescent="0.2">
      <c r="A99" t="s">
        <v>756</v>
      </c>
      <c r="B99" s="32">
        <v>5251</v>
      </c>
      <c r="C99" s="95">
        <f>'DOE25'!F186</f>
        <v>0</v>
      </c>
      <c r="D99" s="95">
        <f>'DOE25'!G186</f>
        <v>0</v>
      </c>
      <c r="E99" s="95">
        <f>'DOE25'!H186</f>
        <v>0</v>
      </c>
      <c r="F99" s="95">
        <f>'DOE25'!I186</f>
        <v>0</v>
      </c>
      <c r="G99" s="24" t="s">
        <v>288</v>
      </c>
      <c r="H99" s="124">
        <f t="shared" si="5"/>
        <v>0</v>
      </c>
    </row>
    <row r="100" spans="1:8" x14ac:dyDescent="0.2">
      <c r="A100" t="s">
        <v>757</v>
      </c>
      <c r="B100" s="32" t="s">
        <v>190</v>
      </c>
      <c r="C100" s="95">
        <f>SUM('DOE25'!F187:F188)</f>
        <v>0</v>
      </c>
      <c r="D100" s="95">
        <f>SUM('DOE25'!G187:G188)</f>
        <v>0</v>
      </c>
      <c r="E100" s="95">
        <f>SUM('DOE25'!H187:H188)</f>
        <v>0</v>
      </c>
      <c r="F100" s="95">
        <f>SUM('DOE25'!I187:I188)</f>
        <v>0</v>
      </c>
      <c r="G100" s="24" t="s">
        <v>288</v>
      </c>
      <c r="H100" s="124">
        <f t="shared" si="5"/>
        <v>0</v>
      </c>
    </row>
    <row r="101" spans="1:8" x14ac:dyDescent="0.2">
      <c r="A101" t="s">
        <v>758</v>
      </c>
      <c r="B101" s="32" t="s">
        <v>191</v>
      </c>
      <c r="C101" s="95">
        <f>'DOE25'!F190</f>
        <v>0</v>
      </c>
      <c r="D101" s="95">
        <f>'DOE25'!G190</f>
        <v>0</v>
      </c>
      <c r="E101" s="95">
        <f>'DOE25'!H190</f>
        <v>0</v>
      </c>
      <c r="F101" s="95">
        <f>'DOE25'!I190</f>
        <v>0</v>
      </c>
      <c r="G101" s="24" t="s">
        <v>288</v>
      </c>
      <c r="H101" s="124">
        <f t="shared" si="5"/>
        <v>0</v>
      </c>
    </row>
    <row r="102" spans="1:8" ht="12" thickBot="1" x14ac:dyDescent="0.25">
      <c r="A102" t="s">
        <v>759</v>
      </c>
      <c r="B102" s="32" t="s">
        <v>192</v>
      </c>
      <c r="C102" s="95">
        <f>SUM('DOE25'!F191:F192)</f>
        <v>0</v>
      </c>
      <c r="D102" s="95">
        <f>SUM('DOE25'!G191:G192)</f>
        <v>0</v>
      </c>
      <c r="E102" s="95">
        <f>SUM('DOE25'!H191:H192)</f>
        <v>0</v>
      </c>
      <c r="F102" s="95">
        <f>SUM('DOE25'!I191:I192)</f>
        <v>0</v>
      </c>
      <c r="G102" s="24" t="s">
        <v>288</v>
      </c>
      <c r="H102" s="124">
        <f t="shared" si="5"/>
        <v>0</v>
      </c>
    </row>
    <row r="103" spans="1:8" ht="12.75" thickTop="1" thickBot="1" x14ac:dyDescent="0.25">
      <c r="A103" s="33" t="s">
        <v>760</v>
      </c>
      <c r="C103" s="86">
        <f>SUM(C93:C102)</f>
        <v>0</v>
      </c>
      <c r="D103" s="86">
        <f>SUM(D93:D102)</f>
        <v>0</v>
      </c>
      <c r="E103" s="86">
        <f>SUM(E93:E102)</f>
        <v>0</v>
      </c>
      <c r="F103" s="86">
        <f>SUM(F93:F102)</f>
        <v>0</v>
      </c>
      <c r="G103" s="86">
        <f>SUM(G93:G102)</f>
        <v>100000</v>
      </c>
      <c r="H103" s="86">
        <f t="shared" si="5"/>
        <v>100000</v>
      </c>
    </row>
    <row r="104" spans="1:8" ht="12.75" thickTop="1" thickBot="1" x14ac:dyDescent="0.25">
      <c r="A104" s="33" t="s">
        <v>761</v>
      </c>
      <c r="C104" s="86">
        <f>C63+C81+C91+C103</f>
        <v>11300840.270000001</v>
      </c>
      <c r="D104" s="86">
        <f>D63+D81+D91+D103</f>
        <v>287785.45</v>
      </c>
      <c r="E104" s="86">
        <f>E63+E81+E91+E103</f>
        <v>341390.89</v>
      </c>
      <c r="F104" s="86">
        <f>F63+F81+F91+F103</f>
        <v>0</v>
      </c>
      <c r="G104" s="86">
        <f>G63+G81+G103</f>
        <v>101007.85</v>
      </c>
      <c r="H104" s="86">
        <f t="shared" si="5"/>
        <v>12031024.460000001</v>
      </c>
    </row>
    <row r="105" spans="1:8" ht="12" thickTop="1" x14ac:dyDescent="0.2"/>
    <row r="106" spans="1:8" x14ac:dyDescent="0.2">
      <c r="B106" s="3"/>
      <c r="C106" s="16" t="s">
        <v>280</v>
      </c>
      <c r="D106" s="16" t="s">
        <v>281</v>
      </c>
      <c r="E106" s="16" t="s">
        <v>193</v>
      </c>
      <c r="F106" s="16" t="s">
        <v>283</v>
      </c>
      <c r="G106" s="16" t="s">
        <v>284</v>
      </c>
    </row>
    <row r="107" spans="1:8" x14ac:dyDescent="0.2">
      <c r="A107" s="29" t="s">
        <v>194</v>
      </c>
      <c r="B107" s="127"/>
      <c r="C107" s="24" t="s">
        <v>288</v>
      </c>
      <c r="D107" s="24" t="s">
        <v>288</v>
      </c>
      <c r="E107" s="24" t="s">
        <v>288</v>
      </c>
      <c r="F107" s="24" t="s">
        <v>288</v>
      </c>
      <c r="G107" s="24" t="s">
        <v>288</v>
      </c>
      <c r="H107" s="24" t="s">
        <v>288</v>
      </c>
    </row>
    <row r="108" spans="1:8" x14ac:dyDescent="0.2">
      <c r="A108" s="128" t="s">
        <v>195</v>
      </c>
      <c r="B108" s="127"/>
      <c r="C108" s="24" t="s">
        <v>288</v>
      </c>
      <c r="D108" s="24" t="s">
        <v>288</v>
      </c>
      <c r="E108" s="24" t="s">
        <v>288</v>
      </c>
      <c r="F108" s="24" t="s">
        <v>288</v>
      </c>
      <c r="G108" s="24" t="s">
        <v>288</v>
      </c>
      <c r="H108" s="24" t="s">
        <v>288</v>
      </c>
    </row>
    <row r="109" spans="1:8" x14ac:dyDescent="0.2">
      <c r="A109" t="s">
        <v>196</v>
      </c>
      <c r="B109" s="32" t="s">
        <v>197</v>
      </c>
      <c r="C109" s="95">
        <f>('DOE25'!L198)+('DOE25'!L216)+('DOE25'!L234)</f>
        <v>6526397.2599999998</v>
      </c>
      <c r="D109" s="24" t="s">
        <v>288</v>
      </c>
      <c r="E109" s="95">
        <f>('DOE25'!L277)+('DOE25'!L296)+('DOE25'!L315)</f>
        <v>97996.44</v>
      </c>
      <c r="F109" s="24" t="s">
        <v>288</v>
      </c>
      <c r="G109" s="24" t="s">
        <v>288</v>
      </c>
      <c r="H109" s="124">
        <f t="shared" ref="H109:H115" si="6">SUM(C109:G109)</f>
        <v>6624393.7000000002</v>
      </c>
    </row>
    <row r="110" spans="1:8" x14ac:dyDescent="0.2">
      <c r="A110" t="s">
        <v>198</v>
      </c>
      <c r="B110" s="32" t="s">
        <v>199</v>
      </c>
      <c r="C110" s="95">
        <f>('DOE25'!L199)+('DOE25'!L217)+('DOE25'!L235)</f>
        <v>1756915.52</v>
      </c>
      <c r="D110" s="24" t="s">
        <v>288</v>
      </c>
      <c r="E110" s="95">
        <f>('DOE25'!L278)+('DOE25'!L297)+('DOE25'!L316)</f>
        <v>89088.680000000008</v>
      </c>
      <c r="F110" s="24" t="s">
        <v>288</v>
      </c>
      <c r="G110" s="24" t="s">
        <v>288</v>
      </c>
      <c r="H110" s="124">
        <f t="shared" si="6"/>
        <v>1846004.2</v>
      </c>
    </row>
    <row r="111" spans="1:8" x14ac:dyDescent="0.2">
      <c r="A111" t="s">
        <v>200</v>
      </c>
      <c r="B111" s="32" t="s">
        <v>165</v>
      </c>
      <c r="C111" s="95">
        <f>('DOE25'!L200)+('DOE25'!L218)+('DOE25'!L236)</f>
        <v>0</v>
      </c>
      <c r="D111" s="24" t="s">
        <v>288</v>
      </c>
      <c r="E111" s="95">
        <f>('DOE25'!L279)+('DOE25'!L298)+('DOE25'!L317)</f>
        <v>0</v>
      </c>
      <c r="F111" s="24" t="s">
        <v>288</v>
      </c>
      <c r="G111" s="24" t="s">
        <v>288</v>
      </c>
      <c r="H111" s="124">
        <f t="shared" si="6"/>
        <v>0</v>
      </c>
    </row>
    <row r="112" spans="1:8" x14ac:dyDescent="0.2">
      <c r="A112" t="s">
        <v>201</v>
      </c>
      <c r="B112" s="32" t="s">
        <v>167</v>
      </c>
      <c r="C112" s="95">
        <f>('DOE25'!L201)+('DOE25'!L219)+('DOE25'!L237)</f>
        <v>43076.2</v>
      </c>
      <c r="D112" s="24" t="s">
        <v>288</v>
      </c>
      <c r="E112" s="95">
        <f>+('DOE25'!L280)+('DOE25'!L299)+('DOE25'!L318)</f>
        <v>34698.39</v>
      </c>
      <c r="F112" s="24" t="s">
        <v>288</v>
      </c>
      <c r="G112" s="24" t="s">
        <v>288</v>
      </c>
      <c r="H112" s="124">
        <f t="shared" si="6"/>
        <v>77774.59</v>
      </c>
    </row>
    <row r="113" spans="1:8" x14ac:dyDescent="0.2">
      <c r="A113" t="s">
        <v>202</v>
      </c>
      <c r="B113" s="32" t="s">
        <v>169</v>
      </c>
      <c r="C113" s="95">
        <f>'DOE25'!L251</f>
        <v>0</v>
      </c>
      <c r="D113" s="24" t="s">
        <v>288</v>
      </c>
      <c r="E113" s="95">
        <f>+'DOE25'!L333</f>
        <v>0</v>
      </c>
      <c r="F113" s="24" t="s">
        <v>288</v>
      </c>
      <c r="G113" s="24" t="s">
        <v>288</v>
      </c>
      <c r="H113" s="124">
        <f t="shared" si="6"/>
        <v>0</v>
      </c>
    </row>
    <row r="114" spans="1:8" ht="12" thickBot="1" x14ac:dyDescent="0.25">
      <c r="A114" t="s">
        <v>203</v>
      </c>
      <c r="B114" s="32" t="s">
        <v>204</v>
      </c>
      <c r="C114" s="95">
        <f>SUM('DOE25'!L252:L254)</f>
        <v>0</v>
      </c>
      <c r="D114" s="24" t="s">
        <v>288</v>
      </c>
      <c r="E114" s="95">
        <f>+ SUM('DOE25'!L334:L336)</f>
        <v>0</v>
      </c>
      <c r="F114" s="24" t="s">
        <v>288</v>
      </c>
      <c r="G114" s="24" t="s">
        <v>288</v>
      </c>
      <c r="H114" s="124">
        <f t="shared" si="6"/>
        <v>0</v>
      </c>
    </row>
    <row r="115" spans="1:8" ht="12.75" thickTop="1" thickBot="1" x14ac:dyDescent="0.25">
      <c r="A115" s="33" t="s">
        <v>205</v>
      </c>
      <c r="C115" s="86">
        <f>SUM(C109:C114)</f>
        <v>8326388.9799999995</v>
      </c>
      <c r="D115" s="86">
        <f>SUM(D109:D114)</f>
        <v>0</v>
      </c>
      <c r="E115" s="86">
        <f>SUM(E109:E114)</f>
        <v>221783.51</v>
      </c>
      <c r="F115" s="86">
        <f>SUM(F109:F114)</f>
        <v>0</v>
      </c>
      <c r="G115" s="86">
        <f>SUM(G109:G114)</f>
        <v>0</v>
      </c>
      <c r="H115" s="86">
        <f t="shared" si="6"/>
        <v>8548172.4900000002</v>
      </c>
    </row>
    <row r="116" spans="1:8" ht="12" thickTop="1" x14ac:dyDescent="0.2">
      <c r="C116" s="24" t="s">
        <v>288</v>
      </c>
      <c r="D116" s="24" t="s">
        <v>288</v>
      </c>
      <c r="E116" s="24" t="s">
        <v>288</v>
      </c>
      <c r="F116" s="24" t="s">
        <v>288</v>
      </c>
      <c r="G116" s="24" t="s">
        <v>288</v>
      </c>
      <c r="H116" s="24" t="s">
        <v>288</v>
      </c>
    </row>
    <row r="117" spans="1:8" x14ac:dyDescent="0.2">
      <c r="A117" s="33" t="s">
        <v>342</v>
      </c>
      <c r="C117" s="24" t="s">
        <v>288</v>
      </c>
      <c r="D117" s="24" t="s">
        <v>288</v>
      </c>
      <c r="E117" s="24" t="s">
        <v>288</v>
      </c>
      <c r="F117" s="24" t="s">
        <v>288</v>
      </c>
      <c r="G117" s="24" t="s">
        <v>288</v>
      </c>
      <c r="H117" s="24" t="s">
        <v>288</v>
      </c>
    </row>
    <row r="118" spans="1:8" x14ac:dyDescent="0.2">
      <c r="A118" t="s">
        <v>206</v>
      </c>
      <c r="B118" s="32" t="s">
        <v>207</v>
      </c>
      <c r="C118" s="95">
        <f>('DOE25'!L203)+('DOE25'!L221)+('DOE25'!L239)</f>
        <v>708172.14999999979</v>
      </c>
      <c r="D118" s="24" t="s">
        <v>288</v>
      </c>
      <c r="E118" s="95">
        <f>+('DOE25'!L282)+('DOE25'!L301)+('DOE25'!L320)</f>
        <v>32364.45</v>
      </c>
      <c r="F118" s="24" t="s">
        <v>288</v>
      </c>
      <c r="G118" s="24" t="s">
        <v>288</v>
      </c>
      <c r="H118" s="124">
        <f t="shared" ref="H118:H145" si="7">SUM(C118:G118)</f>
        <v>740536.59999999974</v>
      </c>
    </row>
    <row r="119" spans="1:8" x14ac:dyDescent="0.2">
      <c r="A119" t="s">
        <v>208</v>
      </c>
      <c r="B119" s="32" t="s">
        <v>209</v>
      </c>
      <c r="C119" s="95">
        <f>('DOE25'!L204)+('DOE25'!L222)+('DOE25'!L240)</f>
        <v>150452.11000000002</v>
      </c>
      <c r="D119" s="24" t="s">
        <v>288</v>
      </c>
      <c r="E119" s="95">
        <f>+('DOE25'!L283)+('DOE25'!L302)+('DOE25'!L321)</f>
        <v>24430.06</v>
      </c>
      <c r="F119" s="24" t="s">
        <v>288</v>
      </c>
      <c r="G119" s="24" t="s">
        <v>288</v>
      </c>
      <c r="H119" s="124">
        <f t="shared" si="7"/>
        <v>174882.17</v>
      </c>
    </row>
    <row r="120" spans="1:8" x14ac:dyDescent="0.2">
      <c r="A120" t="s">
        <v>210</v>
      </c>
      <c r="B120" s="32" t="s">
        <v>211</v>
      </c>
      <c r="C120" s="95">
        <f>('DOE25'!L205)+('DOE25'!L223)+('DOE25'!L241)</f>
        <v>669931.56000000006</v>
      </c>
      <c r="D120" s="24" t="s">
        <v>288</v>
      </c>
      <c r="E120" s="95">
        <f>+('DOE25'!L284)+('DOE25'!L303)+('DOE25'!L322)</f>
        <v>0</v>
      </c>
      <c r="F120" s="24" t="s">
        <v>288</v>
      </c>
      <c r="G120" s="24" t="s">
        <v>288</v>
      </c>
      <c r="H120" s="124">
        <f t="shared" si="7"/>
        <v>669931.56000000006</v>
      </c>
    </row>
    <row r="121" spans="1:8" x14ac:dyDescent="0.2">
      <c r="A121" t="s">
        <v>212</v>
      </c>
      <c r="B121" s="32" t="s">
        <v>213</v>
      </c>
      <c r="C121" s="95">
        <f>('DOE25'!L206)+('DOE25'!L224)+('DOE25'!L242)</f>
        <v>410171.78</v>
      </c>
      <c r="D121" s="24" t="s">
        <v>288</v>
      </c>
      <c r="E121" s="95">
        <f>+('DOE25'!L285)+('DOE25'!L304)+('DOE25'!L323)</f>
        <v>0</v>
      </c>
      <c r="F121" s="24" t="s">
        <v>288</v>
      </c>
      <c r="G121" s="24" t="s">
        <v>288</v>
      </c>
      <c r="H121" s="124">
        <f t="shared" si="7"/>
        <v>410171.78</v>
      </c>
    </row>
    <row r="122" spans="1:8" x14ac:dyDescent="0.2">
      <c r="A122" t="s">
        <v>214</v>
      </c>
      <c r="B122" s="32" t="s">
        <v>215</v>
      </c>
      <c r="C122" s="95">
        <f>('DOE25'!L207)+('DOE25'!L225)+('DOE25'!L243)</f>
        <v>0</v>
      </c>
      <c r="D122" s="24" t="s">
        <v>288</v>
      </c>
      <c r="E122" s="95">
        <f>+('DOE25'!L286)+('DOE25'!L305)+('DOE25'!L324)</f>
        <v>0</v>
      </c>
      <c r="F122" s="24" t="s">
        <v>288</v>
      </c>
      <c r="G122" s="24" t="s">
        <v>288</v>
      </c>
      <c r="H122" s="124">
        <f t="shared" si="7"/>
        <v>0</v>
      </c>
    </row>
    <row r="123" spans="1:8" x14ac:dyDescent="0.2">
      <c r="A123" t="s">
        <v>216</v>
      </c>
      <c r="B123" s="32" t="s">
        <v>217</v>
      </c>
      <c r="C123" s="95">
        <f>('DOE25'!L208)+('DOE25'!L226)+('DOE25'!L244)</f>
        <v>469622.17</v>
      </c>
      <c r="D123" s="24" t="s">
        <v>288</v>
      </c>
      <c r="E123" s="95">
        <f>+('DOE25'!L287)+('DOE25'!L306)+('DOE25'!L325)</f>
        <v>39543.99</v>
      </c>
      <c r="F123" s="24" t="s">
        <v>288</v>
      </c>
      <c r="G123" s="24" t="s">
        <v>288</v>
      </c>
      <c r="H123" s="124">
        <f t="shared" si="7"/>
        <v>509166.16</v>
      </c>
    </row>
    <row r="124" spans="1:8" x14ac:dyDescent="0.2">
      <c r="A124" t="s">
        <v>218</v>
      </c>
      <c r="B124" s="32" t="s">
        <v>219</v>
      </c>
      <c r="C124" s="95">
        <f>('DOE25'!L209)+('DOE25'!L227)+('DOE25'!L245+'DOE25'!L255)</f>
        <v>728517.97</v>
      </c>
      <c r="D124" s="24" t="s">
        <v>288</v>
      </c>
      <c r="E124" s="95">
        <f>+('DOE25'!L288)+('DOE25'!L307)+('DOE25'!L326)</f>
        <v>8768.8799999999992</v>
      </c>
      <c r="F124" s="24" t="s">
        <v>288</v>
      </c>
      <c r="G124" s="24" t="s">
        <v>288</v>
      </c>
      <c r="H124" s="124">
        <f t="shared" si="7"/>
        <v>737286.85</v>
      </c>
    </row>
    <row r="125" spans="1:8" x14ac:dyDescent="0.2">
      <c r="A125" t="s">
        <v>220</v>
      </c>
      <c r="B125" s="32" t="s">
        <v>221</v>
      </c>
      <c r="C125" s="95">
        <f>('DOE25'!L210)+('DOE25'!L228)+('DOE25'!L246)</f>
        <v>0</v>
      </c>
      <c r="D125" s="24" t="s">
        <v>288</v>
      </c>
      <c r="E125" s="95">
        <f>+('DOE25'!L289)+('DOE25'!L308)+('DOE25'!L327)</f>
        <v>0</v>
      </c>
      <c r="F125" s="24" t="s">
        <v>288</v>
      </c>
      <c r="G125" s="24" t="s">
        <v>288</v>
      </c>
      <c r="H125" s="124">
        <f t="shared" si="7"/>
        <v>0</v>
      </c>
    </row>
    <row r="126" spans="1:8" x14ac:dyDescent="0.2">
      <c r="A126" t="s">
        <v>222</v>
      </c>
      <c r="B126" s="32" t="s">
        <v>223</v>
      </c>
      <c r="C126" s="24" t="s">
        <v>288</v>
      </c>
      <c r="D126" s="24" t="s">
        <v>288</v>
      </c>
      <c r="E126" s="24" t="s">
        <v>288</v>
      </c>
      <c r="F126" s="24" t="s">
        <v>288</v>
      </c>
      <c r="G126" s="24" t="s">
        <v>288</v>
      </c>
      <c r="H126" s="24" t="s">
        <v>288</v>
      </c>
    </row>
    <row r="127" spans="1:8" ht="12" thickBot="1" x14ac:dyDescent="0.25">
      <c r="A127" t="s">
        <v>224</v>
      </c>
      <c r="B127" s="32" t="s">
        <v>225</v>
      </c>
      <c r="C127" s="24" t="s">
        <v>288</v>
      </c>
      <c r="D127" s="95">
        <f>('DOE25'!L359)+('DOE25'!L360)+('DOE25'!L361)</f>
        <v>226006</v>
      </c>
      <c r="E127" s="24" t="s">
        <v>288</v>
      </c>
      <c r="F127" s="24" t="s">
        <v>288</v>
      </c>
      <c r="G127" s="24" t="s">
        <v>288</v>
      </c>
      <c r="H127" s="124">
        <f t="shared" si="7"/>
        <v>226006</v>
      </c>
    </row>
    <row r="128" spans="1:8" ht="12.75" thickTop="1" thickBot="1" x14ac:dyDescent="0.25">
      <c r="A128" s="33" t="s">
        <v>226</v>
      </c>
      <c r="C128" s="86">
        <f>SUM(C118:C127)</f>
        <v>3136867.74</v>
      </c>
      <c r="D128" s="86">
        <f>SUM(D118:D127)</f>
        <v>226006</v>
      </c>
      <c r="E128" s="86">
        <f>SUM(E118:E127)</f>
        <v>105107.38</v>
      </c>
      <c r="F128" s="86">
        <f>SUM(F118:F127)</f>
        <v>0</v>
      </c>
      <c r="G128" s="86">
        <f>SUM(G118:G127)</f>
        <v>0</v>
      </c>
      <c r="H128" s="86">
        <f t="shared" si="7"/>
        <v>3467981.12</v>
      </c>
    </row>
    <row r="129" spans="1:8" ht="12" thickTop="1" x14ac:dyDescent="0.2">
      <c r="A129" s="33" t="s">
        <v>362</v>
      </c>
      <c r="C129" s="24" t="s">
        <v>288</v>
      </c>
      <c r="D129" s="24" t="s">
        <v>288</v>
      </c>
      <c r="E129" s="24" t="s">
        <v>288</v>
      </c>
      <c r="F129" s="24" t="s">
        <v>288</v>
      </c>
      <c r="G129" s="24" t="s">
        <v>288</v>
      </c>
      <c r="H129" s="24" t="s">
        <v>288</v>
      </c>
    </row>
    <row r="130" spans="1:8" x14ac:dyDescent="0.2">
      <c r="A130" t="s">
        <v>227</v>
      </c>
      <c r="B130" s="32" t="s">
        <v>228</v>
      </c>
      <c r="C130" s="95">
        <f>'DOE25'!L256</f>
        <v>18968</v>
      </c>
      <c r="D130" s="24" t="s">
        <v>288</v>
      </c>
      <c r="E130" s="129">
        <f>'DOE25'!L337</f>
        <v>14500</v>
      </c>
      <c r="F130" s="129">
        <f>SUM('DOE25'!L375:'DOE25'!L381)</f>
        <v>0</v>
      </c>
      <c r="G130" s="24" t="s">
        <v>288</v>
      </c>
      <c r="H130" s="124">
        <f t="shared" si="7"/>
        <v>33468</v>
      </c>
    </row>
    <row r="131" spans="1:8" x14ac:dyDescent="0.2">
      <c r="A131" t="s">
        <v>229</v>
      </c>
      <c r="B131" s="32">
        <v>5110</v>
      </c>
      <c r="C131" s="95">
        <f>'DOE25'!L261</f>
        <v>13658.56</v>
      </c>
      <c r="D131" s="24" t="s">
        <v>288</v>
      </c>
      <c r="E131" s="129">
        <f>'DOE25'!L342</f>
        <v>0</v>
      </c>
      <c r="F131" s="24" t="s">
        <v>288</v>
      </c>
      <c r="G131" s="24" t="s">
        <v>288</v>
      </c>
      <c r="H131" s="124">
        <f t="shared" si="7"/>
        <v>13658.56</v>
      </c>
    </row>
    <row r="132" spans="1:8" x14ac:dyDescent="0.2">
      <c r="A132" t="s">
        <v>230</v>
      </c>
      <c r="B132" s="32">
        <v>5120</v>
      </c>
      <c r="C132" s="95">
        <f>'DOE25'!L262</f>
        <v>857.14</v>
      </c>
      <c r="D132" s="24" t="s">
        <v>288</v>
      </c>
      <c r="E132" s="129">
        <f>'DOE25'!L343</f>
        <v>0</v>
      </c>
      <c r="F132" s="24" t="s">
        <v>288</v>
      </c>
      <c r="G132" s="24" t="s">
        <v>288</v>
      </c>
      <c r="H132" s="124">
        <f t="shared" si="7"/>
        <v>857.14</v>
      </c>
    </row>
    <row r="133" spans="1:8" x14ac:dyDescent="0.2">
      <c r="A133" s="33" t="s">
        <v>231</v>
      </c>
      <c r="C133" s="24" t="s">
        <v>288</v>
      </c>
      <c r="D133" s="24" t="s">
        <v>288</v>
      </c>
      <c r="E133" s="24" t="s">
        <v>288</v>
      </c>
      <c r="F133" s="24" t="s">
        <v>288</v>
      </c>
      <c r="G133" s="24" t="s">
        <v>288</v>
      </c>
      <c r="H133" s="24" t="s">
        <v>288</v>
      </c>
    </row>
    <row r="134" spans="1:8" x14ac:dyDescent="0.2">
      <c r="A134" t="s">
        <v>232</v>
      </c>
      <c r="B134" s="32">
        <v>5210</v>
      </c>
      <c r="C134" s="24" t="s">
        <v>288</v>
      </c>
      <c r="D134" s="95">
        <f>'DOE25'!K362</f>
        <v>0</v>
      </c>
      <c r="E134" s="95">
        <f>'DOE25'!L345</f>
        <v>0</v>
      </c>
      <c r="F134" s="95">
        <f>'DOE25'!K382</f>
        <v>0</v>
      </c>
      <c r="G134" s="95">
        <f>'DOE25'!K435</f>
        <v>0</v>
      </c>
      <c r="H134" s="124">
        <f t="shared" si="7"/>
        <v>0</v>
      </c>
    </row>
    <row r="135" spans="1:8" x14ac:dyDescent="0.2">
      <c r="A135" t="s">
        <v>233</v>
      </c>
      <c r="B135" s="32" t="s">
        <v>234</v>
      </c>
      <c r="C135" s="95">
        <f>'DOE25'!L264</f>
        <v>0</v>
      </c>
      <c r="D135" s="24" t="s">
        <v>288</v>
      </c>
      <c r="E135" s="129">
        <f>'DOE25'!L346</f>
        <v>0</v>
      </c>
      <c r="F135" s="24" t="s">
        <v>288</v>
      </c>
      <c r="G135" s="24" t="s">
        <v>288</v>
      </c>
      <c r="H135" s="124">
        <f t="shared" si="7"/>
        <v>0</v>
      </c>
    </row>
    <row r="136" spans="1:8" x14ac:dyDescent="0.2">
      <c r="A136" t="s">
        <v>235</v>
      </c>
      <c r="B136" s="32" t="s">
        <v>236</v>
      </c>
      <c r="C136" s="95">
        <f>'DOE25'!L265</f>
        <v>0</v>
      </c>
      <c r="D136" s="24" t="s">
        <v>288</v>
      </c>
      <c r="E136" s="24" t="s">
        <v>288</v>
      </c>
      <c r="F136" s="24" t="s">
        <v>288</v>
      </c>
      <c r="G136" s="24" t="s">
        <v>288</v>
      </c>
      <c r="H136" s="124">
        <f t="shared" si="7"/>
        <v>0</v>
      </c>
    </row>
    <row r="137" spans="1:8" x14ac:dyDescent="0.2">
      <c r="A137" t="s">
        <v>237</v>
      </c>
      <c r="B137" s="32" t="s">
        <v>189</v>
      </c>
      <c r="C137" s="95">
        <f>'DOE25'!L266</f>
        <v>0</v>
      </c>
      <c r="D137" s="24" t="s">
        <v>288</v>
      </c>
      <c r="E137" s="129">
        <f>'DOE25'!L347</f>
        <v>0</v>
      </c>
      <c r="F137" s="24" t="s">
        <v>288</v>
      </c>
      <c r="G137" s="24" t="s">
        <v>288</v>
      </c>
      <c r="H137" s="124">
        <f t="shared" si="7"/>
        <v>0</v>
      </c>
    </row>
    <row r="138" spans="1:8" x14ac:dyDescent="0.2">
      <c r="A138" t="s">
        <v>238</v>
      </c>
      <c r="B138" s="32">
        <v>5251</v>
      </c>
      <c r="C138" s="95">
        <f>'DOE25'!L394</f>
        <v>0</v>
      </c>
      <c r="D138" s="24" t="s">
        <v>288</v>
      </c>
      <c r="E138" s="24" t="s">
        <v>288</v>
      </c>
      <c r="F138" s="24" t="s">
        <v>288</v>
      </c>
      <c r="G138" s="24" t="s">
        <v>288</v>
      </c>
      <c r="H138" s="124">
        <f t="shared" si="7"/>
        <v>0</v>
      </c>
    </row>
    <row r="139" spans="1:8" x14ac:dyDescent="0.2">
      <c r="A139" t="s">
        <v>239</v>
      </c>
      <c r="B139" s="32">
        <v>5252</v>
      </c>
      <c r="C139" s="95">
        <f>'DOE25'!L402</f>
        <v>100995.54</v>
      </c>
      <c r="D139" s="24" t="s">
        <v>288</v>
      </c>
      <c r="E139" s="24" t="s">
        <v>288</v>
      </c>
      <c r="F139" s="24" t="s">
        <v>288</v>
      </c>
      <c r="G139" s="24" t="s">
        <v>288</v>
      </c>
      <c r="H139" s="124">
        <f t="shared" si="7"/>
        <v>100995.54</v>
      </c>
    </row>
    <row r="140" spans="1:8" x14ac:dyDescent="0.2">
      <c r="A140" t="s">
        <v>240</v>
      </c>
      <c r="B140" s="32">
        <v>5253</v>
      </c>
      <c r="C140" s="95">
        <f>'DOE25'!L408</f>
        <v>12.31</v>
      </c>
      <c r="D140" s="24" t="s">
        <v>288</v>
      </c>
      <c r="E140" s="24" t="s">
        <v>288</v>
      </c>
      <c r="F140" s="24" t="s">
        <v>288</v>
      </c>
      <c r="G140" s="24" t="s">
        <v>288</v>
      </c>
      <c r="H140" s="124">
        <f t="shared" si="7"/>
        <v>12.31</v>
      </c>
    </row>
    <row r="141" spans="1:8" x14ac:dyDescent="0.2">
      <c r="A141" t="s">
        <v>762</v>
      </c>
      <c r="B141" s="32">
        <v>5254</v>
      </c>
      <c r="C141" s="95">
        <f>('DOE25'!L267+'DOE25'!K348) - (C138+C139+C140)</f>
        <v>-1007.8499999999913</v>
      </c>
      <c r="D141" s="24" t="s">
        <v>288</v>
      </c>
      <c r="E141" s="24" t="s">
        <v>288</v>
      </c>
      <c r="F141" s="24" t="s">
        <v>288</v>
      </c>
      <c r="G141" s="24" t="s">
        <v>288</v>
      </c>
      <c r="H141" s="124">
        <f t="shared" si="7"/>
        <v>-1007.8499999999913</v>
      </c>
    </row>
    <row r="142" spans="1:8" x14ac:dyDescent="0.2">
      <c r="A142" t="s">
        <v>241</v>
      </c>
      <c r="B142" s="32">
        <v>5310</v>
      </c>
      <c r="C142" s="129">
        <f>'DOE25'!L269</f>
        <v>0</v>
      </c>
      <c r="D142" s="24" t="s">
        <v>288</v>
      </c>
      <c r="E142" s="129">
        <f>'DOE25'!L350</f>
        <v>0</v>
      </c>
      <c r="F142" s="24" t="s">
        <v>288</v>
      </c>
      <c r="G142" s="24" t="s">
        <v>288</v>
      </c>
      <c r="H142" s="124">
        <f t="shared" si="7"/>
        <v>0</v>
      </c>
    </row>
    <row r="143" spans="1:8" ht="12" thickBot="1" x14ac:dyDescent="0.25">
      <c r="A143" t="s">
        <v>242</v>
      </c>
      <c r="B143" s="32">
        <v>5390</v>
      </c>
      <c r="C143" s="129">
        <f>'DOE25'!L270</f>
        <v>0</v>
      </c>
      <c r="D143" s="24" t="s">
        <v>288</v>
      </c>
      <c r="E143" s="129">
        <f>'DOE25'!L351</f>
        <v>0</v>
      </c>
      <c r="F143" s="24" t="s">
        <v>288</v>
      </c>
      <c r="G143" s="24" t="s">
        <v>288</v>
      </c>
      <c r="H143" s="124">
        <f t="shared" si="7"/>
        <v>0</v>
      </c>
    </row>
    <row r="144" spans="1:8" ht="12" thickBot="1" x14ac:dyDescent="0.25">
      <c r="A144" s="33" t="s">
        <v>243</v>
      </c>
      <c r="C144" s="141">
        <f>SUM(C130:C143)</f>
        <v>133483.70000000001</v>
      </c>
      <c r="D144" s="141">
        <f>SUM(D130:D143)</f>
        <v>0</v>
      </c>
      <c r="E144" s="141">
        <f>SUM(E130:E143)</f>
        <v>14500</v>
      </c>
      <c r="F144" s="141">
        <f>SUM(F130:F143)</f>
        <v>0</v>
      </c>
      <c r="G144" s="141">
        <f>SUM(G130:G143)</f>
        <v>0</v>
      </c>
      <c r="H144" s="141">
        <f t="shared" si="7"/>
        <v>147983.70000000001</v>
      </c>
    </row>
    <row r="145" spans="1:9" ht="12.75" thickTop="1" thickBot="1" x14ac:dyDescent="0.25">
      <c r="A145" s="33" t="s">
        <v>244</v>
      </c>
      <c r="C145" s="86">
        <f>(C115+C128+C144)</f>
        <v>11596740.419999998</v>
      </c>
      <c r="D145" s="86">
        <f>(D115+D128+D144)</f>
        <v>226006</v>
      </c>
      <c r="E145" s="86">
        <f>(E115+E128+E144)</f>
        <v>341390.89</v>
      </c>
      <c r="F145" s="86">
        <f>(F115+F128+F144)</f>
        <v>0</v>
      </c>
      <c r="G145" s="86">
        <f>(G115+G128+G144)</f>
        <v>0</v>
      </c>
      <c r="H145" s="86">
        <f t="shared" si="7"/>
        <v>12164137.309999999</v>
      </c>
    </row>
    <row r="146" spans="1:9" ht="12" thickTop="1" x14ac:dyDescent="0.2">
      <c r="A146" s="33"/>
    </row>
    <row r="148" spans="1:9" x14ac:dyDescent="0.2">
      <c r="A148" s="135" t="s">
        <v>245</v>
      </c>
      <c r="B148" s="132"/>
      <c r="C148" s="115"/>
      <c r="D148" s="116"/>
      <c r="E148" s="116"/>
      <c r="F148" s="116"/>
      <c r="G148" s="116"/>
    </row>
    <row r="149" spans="1:9" x14ac:dyDescent="0.2">
      <c r="A149" s="136" t="s">
        <v>20</v>
      </c>
      <c r="B149" s="32" t="s">
        <v>264</v>
      </c>
      <c r="C149" s="32" t="s">
        <v>265</v>
      </c>
      <c r="D149" s="32" t="s">
        <v>266</v>
      </c>
      <c r="E149" s="32" t="s">
        <v>267</v>
      </c>
      <c r="F149" s="32" t="s">
        <v>268</v>
      </c>
      <c r="G149" s="32" t="s">
        <v>269</v>
      </c>
      <c r="H149" s="116"/>
      <c r="I149" s="116"/>
    </row>
    <row r="150" spans="1:9" x14ac:dyDescent="0.2">
      <c r="A150" s="135" t="s">
        <v>21</v>
      </c>
      <c r="B150" s="32" t="s">
        <v>22</v>
      </c>
      <c r="C150" s="32" t="s">
        <v>23</v>
      </c>
      <c r="D150" s="32" t="s">
        <v>24</v>
      </c>
      <c r="E150" s="32" t="s">
        <v>25</v>
      </c>
      <c r="F150" s="32" t="s">
        <v>26</v>
      </c>
      <c r="G150" s="32" t="s">
        <v>340</v>
      </c>
    </row>
    <row r="151" spans="1:9" x14ac:dyDescent="0.2">
      <c r="A151" s="136" t="s">
        <v>27</v>
      </c>
      <c r="B151" s="153">
        <f>'DOE25'!F491</f>
        <v>5</v>
      </c>
      <c r="C151" s="153">
        <f>'DOE25'!G491</f>
        <v>0</v>
      </c>
      <c r="D151" s="153">
        <f>'DOE25'!H491</f>
        <v>0</v>
      </c>
      <c r="E151" s="153">
        <f>'DOE25'!I491</f>
        <v>0</v>
      </c>
      <c r="F151" s="153">
        <f>'DOE25'!J491</f>
        <v>0</v>
      </c>
      <c r="G151" s="24" t="s">
        <v>288</v>
      </c>
    </row>
    <row r="152" spans="1:9" x14ac:dyDescent="0.2">
      <c r="A152" s="136" t="s">
        <v>28</v>
      </c>
      <c r="B152" s="152" t="str">
        <f>'DOE25'!F492</f>
        <v>11/17</v>
      </c>
      <c r="C152" s="152">
        <f>'DOE25'!G492</f>
        <v>0</v>
      </c>
      <c r="D152" s="152">
        <f>'DOE25'!H492</f>
        <v>0</v>
      </c>
      <c r="E152" s="152">
        <f>'DOE25'!I492</f>
        <v>0</v>
      </c>
      <c r="F152" s="152">
        <f>'DOE25'!J492</f>
        <v>0</v>
      </c>
      <c r="G152" s="24" t="s">
        <v>288</v>
      </c>
    </row>
    <row r="153" spans="1:9" x14ac:dyDescent="0.2">
      <c r="A153" s="136" t="s">
        <v>29</v>
      </c>
      <c r="B153" s="152" t="str">
        <f>'DOE25'!F493</f>
        <v>8/22</v>
      </c>
      <c r="C153" s="152">
        <f>'DOE25'!G493</f>
        <v>0</v>
      </c>
      <c r="D153" s="152">
        <f>'DOE25'!H493</f>
        <v>0</v>
      </c>
      <c r="E153" s="152">
        <f>'DOE25'!I493</f>
        <v>0</v>
      </c>
      <c r="F153" s="152">
        <f>'DOE25'!J493</f>
        <v>0</v>
      </c>
      <c r="G153" s="24" t="s">
        <v>288</v>
      </c>
    </row>
    <row r="154" spans="1:9" x14ac:dyDescent="0.2">
      <c r="A154" s="136" t="s">
        <v>30</v>
      </c>
      <c r="B154" s="137">
        <f>'DOE25'!F494</f>
        <v>66811.929999999993</v>
      </c>
      <c r="C154" s="137">
        <f>'DOE25'!G494</f>
        <v>0</v>
      </c>
      <c r="D154" s="137">
        <f>'DOE25'!H494</f>
        <v>0</v>
      </c>
      <c r="E154" s="137">
        <f>'DOE25'!I494</f>
        <v>0</v>
      </c>
      <c r="F154" s="137">
        <f>'DOE25'!J494</f>
        <v>0</v>
      </c>
      <c r="G154" s="24" t="s">
        <v>288</v>
      </c>
    </row>
    <row r="155" spans="1:9" x14ac:dyDescent="0.2">
      <c r="A155" s="136" t="s">
        <v>31</v>
      </c>
      <c r="B155" s="137">
        <f>'DOE25'!F495</f>
        <v>3.09</v>
      </c>
      <c r="C155" s="137">
        <f>'DOE25'!G495</f>
        <v>0</v>
      </c>
      <c r="D155" s="137">
        <f>'DOE25'!H495</f>
        <v>0</v>
      </c>
      <c r="E155" s="137">
        <f>'DOE25'!I495</f>
        <v>0</v>
      </c>
      <c r="F155" s="137">
        <f>'DOE25'!J495</f>
        <v>0</v>
      </c>
      <c r="G155" s="24" t="s">
        <v>288</v>
      </c>
    </row>
    <row r="156" spans="1:9" x14ac:dyDescent="0.2">
      <c r="A156" s="22" t="s">
        <v>32</v>
      </c>
      <c r="B156" s="137">
        <f>'DOE25'!F496</f>
        <v>27739.16</v>
      </c>
      <c r="C156" s="137">
        <f>'DOE25'!G496</f>
        <v>0</v>
      </c>
      <c r="D156" s="137">
        <f>'DOE25'!H496</f>
        <v>0</v>
      </c>
      <c r="E156" s="137">
        <f>'DOE25'!I496</f>
        <v>0</v>
      </c>
      <c r="F156" s="137">
        <f>'DOE25'!J496</f>
        <v>0</v>
      </c>
      <c r="G156" s="138">
        <f>SUM(B156:F156)</f>
        <v>27739.16</v>
      </c>
    </row>
    <row r="157" spans="1:9" x14ac:dyDescent="0.2">
      <c r="A157" s="22" t="s">
        <v>33</v>
      </c>
      <c r="B157" s="137">
        <f>'DOE25'!F497</f>
        <v>0</v>
      </c>
      <c r="C157" s="137">
        <f>'DOE25'!G497</f>
        <v>0</v>
      </c>
      <c r="D157" s="137">
        <f>'DOE25'!H497</f>
        <v>0</v>
      </c>
      <c r="E157" s="137">
        <f>'DOE25'!I497</f>
        <v>0</v>
      </c>
      <c r="F157" s="137">
        <f>'DOE25'!J497</f>
        <v>0</v>
      </c>
      <c r="G157" s="138">
        <f t="shared" ref="G157:G164" si="8">SUM(B157:F157)</f>
        <v>0</v>
      </c>
    </row>
    <row r="158" spans="1:9" x14ac:dyDescent="0.2">
      <c r="A158" s="22" t="s">
        <v>34</v>
      </c>
      <c r="B158" s="137">
        <f>'DOE25'!F498</f>
        <v>13658.56</v>
      </c>
      <c r="C158" s="137">
        <f>'DOE25'!G498</f>
        <v>0</v>
      </c>
      <c r="D158" s="137">
        <f>'DOE25'!H498</f>
        <v>0</v>
      </c>
      <c r="E158" s="137">
        <f>'DOE25'!I498</f>
        <v>0</v>
      </c>
      <c r="F158" s="137">
        <f>'DOE25'!J498</f>
        <v>0</v>
      </c>
      <c r="G158" s="138">
        <f t="shared" si="8"/>
        <v>13658.56</v>
      </c>
    </row>
    <row r="159" spans="1:9" x14ac:dyDescent="0.2">
      <c r="A159" s="22" t="s">
        <v>35</v>
      </c>
      <c r="B159" s="137">
        <f>'DOE25'!F499</f>
        <v>14080.6</v>
      </c>
      <c r="C159" s="137">
        <f>'DOE25'!G499</f>
        <v>0</v>
      </c>
      <c r="D159" s="137">
        <f>'DOE25'!H499</f>
        <v>0</v>
      </c>
      <c r="E159" s="137">
        <f>'DOE25'!I499</f>
        <v>0</v>
      </c>
      <c r="F159" s="137">
        <f>'DOE25'!J499</f>
        <v>0</v>
      </c>
      <c r="G159" s="138">
        <f t="shared" si="8"/>
        <v>14080.6</v>
      </c>
    </row>
    <row r="160" spans="1:9" x14ac:dyDescent="0.2">
      <c r="A160" s="22" t="s">
        <v>36</v>
      </c>
      <c r="B160" s="137">
        <f>'DOE25'!F500</f>
        <v>435.1</v>
      </c>
      <c r="C160" s="137">
        <f>'DOE25'!G500</f>
        <v>0</v>
      </c>
      <c r="D160" s="137">
        <f>'DOE25'!H500</f>
        <v>0</v>
      </c>
      <c r="E160" s="137">
        <f>'DOE25'!I500</f>
        <v>0</v>
      </c>
      <c r="F160" s="137">
        <f>'DOE25'!J500</f>
        <v>0</v>
      </c>
      <c r="G160" s="138">
        <f t="shared" si="8"/>
        <v>435.1</v>
      </c>
    </row>
    <row r="161" spans="1:7" x14ac:dyDescent="0.2">
      <c r="A161" s="22" t="s">
        <v>37</v>
      </c>
      <c r="B161" s="137">
        <f>'DOE25'!F501</f>
        <v>14515.7</v>
      </c>
      <c r="C161" s="137">
        <f>'DOE25'!G501</f>
        <v>0</v>
      </c>
      <c r="D161" s="137">
        <f>'DOE25'!H501</f>
        <v>0</v>
      </c>
      <c r="E161" s="137">
        <f>'DOE25'!I501</f>
        <v>0</v>
      </c>
      <c r="F161" s="137">
        <f>'DOE25'!J501</f>
        <v>0</v>
      </c>
      <c r="G161" s="138">
        <f t="shared" si="8"/>
        <v>14515.7</v>
      </c>
    </row>
    <row r="162" spans="1:7" x14ac:dyDescent="0.2">
      <c r="A162" s="22" t="s">
        <v>38</v>
      </c>
      <c r="B162" s="137">
        <f>'DOE25'!F502</f>
        <v>14080.6</v>
      </c>
      <c r="C162" s="137">
        <f>'DOE25'!G502</f>
        <v>0</v>
      </c>
      <c r="D162" s="137">
        <f>'DOE25'!H502</f>
        <v>0</v>
      </c>
      <c r="E162" s="137">
        <f>'DOE25'!I502</f>
        <v>0</v>
      </c>
      <c r="F162" s="137">
        <f>'DOE25'!J502</f>
        <v>0</v>
      </c>
      <c r="G162" s="138">
        <f t="shared" si="8"/>
        <v>14080.6</v>
      </c>
    </row>
    <row r="163" spans="1:7" x14ac:dyDescent="0.2">
      <c r="A163" s="22" t="s">
        <v>39</v>
      </c>
      <c r="B163" s="137">
        <f>'DOE25'!F503</f>
        <v>435.1</v>
      </c>
      <c r="C163" s="137">
        <f>'DOE25'!G503</f>
        <v>0</v>
      </c>
      <c r="D163" s="137">
        <f>'DOE25'!H503</f>
        <v>0</v>
      </c>
      <c r="E163" s="137">
        <f>'DOE25'!I503</f>
        <v>0</v>
      </c>
      <c r="F163" s="137">
        <f>'DOE25'!J503</f>
        <v>0</v>
      </c>
      <c r="G163" s="138">
        <f t="shared" si="8"/>
        <v>435.1</v>
      </c>
    </row>
    <row r="164" spans="1:7" x14ac:dyDescent="0.2">
      <c r="A164" s="22" t="s">
        <v>246</v>
      </c>
      <c r="B164" s="137">
        <f>'DOE25'!F504</f>
        <v>14515.7</v>
      </c>
      <c r="C164" s="137">
        <f>'DOE25'!G504</f>
        <v>0</v>
      </c>
      <c r="D164" s="137">
        <f>'DOE25'!H504</f>
        <v>0</v>
      </c>
      <c r="E164" s="137">
        <f>'DOE25'!I504</f>
        <v>0</v>
      </c>
      <c r="F164" s="137">
        <f>'DOE25'!J504</f>
        <v>0</v>
      </c>
      <c r="G164" s="138">
        <f t="shared" si="8"/>
        <v>14515.7</v>
      </c>
    </row>
  </sheetData>
  <sheetProtection algorithmName="SHA-512" hashValue="nvehDPePjPgYyDsglpXVDmX1HQ6urfEw216eRWwk0iNvIDE3Tm0ZS6IMl1J4f47QIRjuQBDg2CIF+PKFjTDjiw==" saltValue="dhCVKw3dDBQclro6RMaCdg==" spinCount="100000" sheet="1" objects="1" scenarios="1"/>
  <phoneticPr fontId="0" type="noConversion"/>
  <printOptions gridLines="1" gridLinesSet="0"/>
  <pageMargins left="0.75" right="0.75" top="1" bottom="1" header="0.5" footer="0.5"/>
  <pageSetup scale="90" orientation="landscape" r:id="rId1"/>
  <headerFooter alignWithMargins="0">
    <oddHeader>&amp;C&amp;A
2021-2022</oddHeader>
    <oddFooter>&amp;CPage &amp;P&amp;R&amp;D&amp;T</oddFooter>
  </headerFooter>
  <rowBreaks count="3" manualBreakCount="3">
    <brk id="82" max="16383" man="1"/>
    <brk id="105" max="16383" man="1"/>
    <brk id="146" max="16383" man="1"/>
  </rowBreaks>
</worksheet>
</file>

<file path=xl/worksheets/sheet8.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700-000000000000}">
  <sheetPr codeName="Sheet3">
    <tabColor indexed="43"/>
  </sheetPr>
  <dimension ref="A1:D42"/>
  <sheetViews>
    <sheetView topLeftCell="A7" zoomScaleNormal="100" workbookViewId="0">
      <selection activeCell="H13" sqref="H13"/>
    </sheetView>
  </sheetViews>
  <sheetFormatPr defaultRowHeight="11.25" x14ac:dyDescent="0.2"/>
  <cols>
    <col min="1" max="1" width="14.33203125" customWidth="1"/>
    <col min="2" max="2" width="49" bestFit="1" customWidth="1"/>
    <col min="3" max="3" width="13.5" customWidth="1"/>
    <col min="4" max="4" width="10.33203125" customWidth="1"/>
  </cols>
  <sheetData>
    <row r="1" spans="1:4" ht="18" x14ac:dyDescent="0.25">
      <c r="A1" s="385" t="s">
        <v>736</v>
      </c>
      <c r="B1" s="385"/>
      <c r="C1" s="385"/>
      <c r="D1" s="385"/>
    </row>
    <row r="2" spans="1:4" x14ac:dyDescent="0.2">
      <c r="A2" s="186" t="s">
        <v>713</v>
      </c>
      <c r="B2" s="185" t="str">
        <f>'DOE25'!A2</f>
        <v>Fremont</v>
      </c>
    </row>
    <row r="3" spans="1:4" x14ac:dyDescent="0.2">
      <c r="B3" s="187" t="s">
        <v>1799</v>
      </c>
    </row>
    <row r="4" spans="1:4" x14ac:dyDescent="0.2">
      <c r="B4" t="s">
        <v>61</v>
      </c>
      <c r="C4" s="178">
        <f>IF('DOE25'!F666+'DOE25'!F671=0,0,ROUND('DOE25'!F673,0))</f>
        <v>18502</v>
      </c>
    </row>
    <row r="5" spans="1:4" x14ac:dyDescent="0.2">
      <c r="B5" t="s">
        <v>700</v>
      </c>
      <c r="C5" s="178">
        <f>IF('DOE25'!G666+'DOE25'!G671=0,0,ROUND('DOE25'!G673,0))</f>
        <v>0</v>
      </c>
    </row>
    <row r="6" spans="1:4" x14ac:dyDescent="0.2">
      <c r="B6" t="s">
        <v>62</v>
      </c>
      <c r="C6" s="178">
        <f>IF('DOE25'!H666+'DOE25'!H671=0,0,ROUND('DOE25'!H673,0))</f>
        <v>0</v>
      </c>
    </row>
    <row r="7" spans="1:4" x14ac:dyDescent="0.2">
      <c r="B7" t="s">
        <v>701</v>
      </c>
      <c r="C7" s="178">
        <f>IF('DOE25'!I666+'DOE25'!I671=0,0,ROUND('DOE25'!I673,0))</f>
        <v>18502</v>
      </c>
    </row>
    <row r="9" spans="1:4" x14ac:dyDescent="0.2">
      <c r="A9" s="186" t="s">
        <v>94</v>
      </c>
      <c r="B9" s="187" t="s">
        <v>1800</v>
      </c>
      <c r="C9" s="180" t="s">
        <v>720</v>
      </c>
      <c r="D9" s="180" t="s">
        <v>721</v>
      </c>
    </row>
    <row r="10" spans="1:4" x14ac:dyDescent="0.2">
      <c r="A10">
        <v>1100</v>
      </c>
      <c r="B10" t="s">
        <v>702</v>
      </c>
      <c r="C10" s="178">
        <f>ROUND('DOE25'!L198+'DOE25'!L216+'DOE25'!L234+'DOE25'!L277+'DOE25'!L296+'DOE25'!L315,0)</f>
        <v>6624394</v>
      </c>
      <c r="D10" s="181">
        <f>ROUND((C10/$C$28)*100,1)</f>
        <v>55.2</v>
      </c>
    </row>
    <row r="11" spans="1:4" x14ac:dyDescent="0.2">
      <c r="A11">
        <v>1200</v>
      </c>
      <c r="B11" t="s">
        <v>703</v>
      </c>
      <c r="C11" s="178">
        <f>ROUND('DOE25'!L199+'DOE25'!L217+'DOE25'!L235+'DOE25'!L278+'DOE25'!L297+'DOE25'!L316,0)</f>
        <v>1846004</v>
      </c>
      <c r="D11" s="181">
        <f>ROUND((C11/$C$28)*100,1)</f>
        <v>15.4</v>
      </c>
    </row>
    <row r="12" spans="1:4" x14ac:dyDescent="0.2">
      <c r="A12">
        <v>1300</v>
      </c>
      <c r="B12" t="s">
        <v>704</v>
      </c>
      <c r="C12" s="178">
        <f>ROUND('DOE25'!L200+'DOE25'!L218+'DOE25'!L236+'DOE25'!L279+'DOE25'!L298+'DOE25'!L317,0)</f>
        <v>0</v>
      </c>
      <c r="D12" s="181">
        <f>ROUND((C12/$C$28)*100,1)</f>
        <v>0</v>
      </c>
    </row>
    <row r="13" spans="1:4" x14ac:dyDescent="0.2">
      <c r="A13">
        <v>1400</v>
      </c>
      <c r="B13" t="s">
        <v>705</v>
      </c>
      <c r="C13" s="178">
        <f>ROUND('DOE25'!L201+'DOE25'!L219+'DOE25'!L237+'DOE25'!L280+'DOE25'!L299+'DOE25'!L318,0)</f>
        <v>77775</v>
      </c>
      <c r="D13" s="181">
        <f>ROUND((C13/$C$28)*100,1)</f>
        <v>0.6</v>
      </c>
    </row>
    <row r="14" spans="1:4" x14ac:dyDescent="0.2">
      <c r="D14" s="181"/>
    </row>
    <row r="15" spans="1:4" x14ac:dyDescent="0.2">
      <c r="A15">
        <v>2100</v>
      </c>
      <c r="B15" t="s">
        <v>706</v>
      </c>
      <c r="C15" s="178">
        <f>ROUND('DOE25'!L203+'DOE25'!L221+'DOE25'!L239+'DOE25'!L282+'DOE25'!L301+'DOE25'!L320,0)</f>
        <v>740537</v>
      </c>
      <c r="D15" s="181">
        <f t="shared" ref="D15:D27" si="0">ROUND((C15/$C$28)*100,1)</f>
        <v>6.2</v>
      </c>
    </row>
    <row r="16" spans="1:4" x14ac:dyDescent="0.2">
      <c r="A16">
        <v>2200</v>
      </c>
      <c r="B16" t="s">
        <v>707</v>
      </c>
      <c r="C16" s="178">
        <f>ROUND('DOE25'!L204+'DOE25'!L222+'DOE25'!L240+'DOE25'!L283+'DOE25'!L302+'DOE25'!L321,0)</f>
        <v>174882</v>
      </c>
      <c r="D16" s="181">
        <f t="shared" si="0"/>
        <v>1.5</v>
      </c>
    </row>
    <row r="17" spans="1:4" x14ac:dyDescent="0.2">
      <c r="A17" s="182" t="s">
        <v>723</v>
      </c>
      <c r="B17" t="s">
        <v>738</v>
      </c>
      <c r="C17" s="178">
        <f>ROUND('DOE25'!L205+'DOE25'!L210+'DOE25'!L223+'DOE25'!L228+'DOE25'!L241+'DOE25'!L246+'DOE25'!L284+'DOE25'!L289+'DOE25'!L303+'DOE25'!L308+'DOE25'!L322+'DOE25'!L327,0)</f>
        <v>669932</v>
      </c>
      <c r="D17" s="181">
        <f t="shared" si="0"/>
        <v>5.6</v>
      </c>
    </row>
    <row r="18" spans="1:4" x14ac:dyDescent="0.2">
      <c r="A18">
        <v>2400</v>
      </c>
      <c r="B18" t="s">
        <v>711</v>
      </c>
      <c r="C18" s="178">
        <f>ROUND('DOE25'!L206+'DOE25'!L224+'DOE25'!L242+'DOE25'!L285+'DOE25'!L304+'DOE25'!L323,0)</f>
        <v>410172</v>
      </c>
      <c r="D18" s="181">
        <f t="shared" si="0"/>
        <v>3.4</v>
      </c>
    </row>
    <row r="19" spans="1:4" x14ac:dyDescent="0.2">
      <c r="A19">
        <v>2500</v>
      </c>
      <c r="B19" t="s">
        <v>708</v>
      </c>
      <c r="C19" s="178">
        <f>ROUND('DOE25'!L207+'DOE25'!L225+'DOE25'!L243+'DOE25'!L286+'DOE25'!L305+'DOE25'!L324,0)</f>
        <v>0</v>
      </c>
      <c r="D19" s="181">
        <f t="shared" si="0"/>
        <v>0</v>
      </c>
    </row>
    <row r="20" spans="1:4" x14ac:dyDescent="0.2">
      <c r="A20">
        <v>2600</v>
      </c>
      <c r="B20" t="s">
        <v>709</v>
      </c>
      <c r="C20" s="178">
        <f>ROUND('DOE25'!L208+'DOE25'!L226+'DOE25'!L244+'DOE25'!L287+'DOE25'!L306+'DOE25'!L325,0)</f>
        <v>509166</v>
      </c>
      <c r="D20" s="181">
        <f t="shared" si="0"/>
        <v>4.2</v>
      </c>
    </row>
    <row r="21" spans="1:4" x14ac:dyDescent="0.2">
      <c r="A21">
        <v>2700</v>
      </c>
      <c r="B21" t="s">
        <v>710</v>
      </c>
      <c r="C21" s="178">
        <f>ROUND('DOE25'!L209+'DOE25'!L227+'DOE25'!L245+'DOE25'!L288+'DOE25'!L307+'DOE25'!L326,0)</f>
        <v>737287</v>
      </c>
      <c r="D21" s="181">
        <f t="shared" si="0"/>
        <v>6.1</v>
      </c>
    </row>
    <row r="22" spans="1:4" x14ac:dyDescent="0.2">
      <c r="A22">
        <v>2900</v>
      </c>
      <c r="B22" t="s">
        <v>712</v>
      </c>
      <c r="C22" s="178">
        <v>0</v>
      </c>
      <c r="D22" s="181">
        <f t="shared" si="0"/>
        <v>0</v>
      </c>
    </row>
    <row r="23" spans="1:4" x14ac:dyDescent="0.2">
      <c r="A23">
        <v>1500</v>
      </c>
      <c r="B23" t="s">
        <v>714</v>
      </c>
      <c r="C23" s="178">
        <f>ROUND('DOE25'!L251+'DOE25'!L333,0)</f>
        <v>0</v>
      </c>
      <c r="D23" s="181">
        <f t="shared" si="0"/>
        <v>0</v>
      </c>
    </row>
    <row r="24" spans="1:4" x14ac:dyDescent="0.2">
      <c r="A24" s="182" t="s">
        <v>722</v>
      </c>
      <c r="B24" t="s">
        <v>715</v>
      </c>
      <c r="C24" s="178">
        <f>ROUND('DOE25'!L252+'DOE25'!L253+'DOE25'!L254+'DOE25'!L255+'DOE25'!L334+'DOE25'!L335+'DOE25'!L336,0)</f>
        <v>0</v>
      </c>
      <c r="D24" s="181">
        <f t="shared" si="0"/>
        <v>0</v>
      </c>
    </row>
    <row r="25" spans="1:4" x14ac:dyDescent="0.2">
      <c r="A25">
        <v>5120</v>
      </c>
      <c r="B25" t="s">
        <v>716</v>
      </c>
      <c r="C25" s="178">
        <f>ROUND('DOE25'!L262+'DOE25'!L343,0)</f>
        <v>857</v>
      </c>
      <c r="D25" s="181">
        <f t="shared" si="0"/>
        <v>0</v>
      </c>
    </row>
    <row r="26" spans="1:4" x14ac:dyDescent="0.2">
      <c r="A26" s="182" t="s">
        <v>717</v>
      </c>
      <c r="B26" t="s">
        <v>718</v>
      </c>
      <c r="C26" s="178">
        <f>'DOE25'!L269+'DOE25'!L270+'DOE25'!L350+'DOE25'!L351</f>
        <v>0</v>
      </c>
      <c r="D26" s="181">
        <f t="shared" si="0"/>
        <v>0</v>
      </c>
    </row>
    <row r="27" spans="1:4" x14ac:dyDescent="0.2">
      <c r="A27">
        <v>3100</v>
      </c>
      <c r="B27" t="s">
        <v>11</v>
      </c>
      <c r="C27" s="178">
        <f>ROUND('DOE25'!L363-'DOE25'!L362,0)-SUM('DOE25'!G97:G110)</f>
        <v>216700.71</v>
      </c>
      <c r="D27" s="181">
        <f t="shared" si="0"/>
        <v>1.8</v>
      </c>
    </row>
    <row r="28" spans="1:4" x14ac:dyDescent="0.2">
      <c r="B28" s="186" t="s">
        <v>719</v>
      </c>
      <c r="C28" s="179">
        <f>SUM(C10:C27)</f>
        <v>12007706.710000001</v>
      </c>
      <c r="D28" s="183">
        <f>ROUND(SUM(D10:D27),0)</f>
        <v>100</v>
      </c>
    </row>
    <row r="29" spans="1:4" x14ac:dyDescent="0.2">
      <c r="A29">
        <v>4000</v>
      </c>
      <c r="B29" t="s">
        <v>724</v>
      </c>
      <c r="C29" s="178">
        <f>ROUND('DOE25'!L256+'DOE25'!L337+'DOE25'!L375+'DOE25'!L376+'DOE25'!L377+'DOE25'!L378+'DOE25'!L379+'DOE25'!L380+'DOE25'!L381,0)</f>
        <v>33468</v>
      </c>
    </row>
    <row r="30" spans="1:4" x14ac:dyDescent="0.2">
      <c r="B30" s="186" t="s">
        <v>725</v>
      </c>
      <c r="C30" s="179">
        <f>SUM(C28:C29)</f>
        <v>12041174.710000001</v>
      </c>
    </row>
    <row r="31" spans="1:4" x14ac:dyDescent="0.2">
      <c r="B31" s="33"/>
      <c r="C31" s="179"/>
    </row>
    <row r="32" spans="1:4" x14ac:dyDescent="0.2">
      <c r="A32">
        <v>5100</v>
      </c>
      <c r="B32" s="33" t="s">
        <v>726</v>
      </c>
      <c r="C32" s="179">
        <f>ROUND('DOE25'!L261+'DOE25'!L342,0)</f>
        <v>13659</v>
      </c>
    </row>
    <row r="34" spans="1:4" x14ac:dyDescent="0.2">
      <c r="A34" s="186" t="s">
        <v>94</v>
      </c>
      <c r="B34" s="187" t="s">
        <v>1801</v>
      </c>
      <c r="C34" s="180" t="s">
        <v>720</v>
      </c>
      <c r="D34" s="180" t="s">
        <v>721</v>
      </c>
    </row>
    <row r="35" spans="1:4" x14ac:dyDescent="0.2">
      <c r="A35">
        <v>1100</v>
      </c>
      <c r="B35" s="184" t="s">
        <v>727</v>
      </c>
      <c r="C35" s="178">
        <f>ROUND('DOE25'!F60+'DOE25'!G60+'DOE25'!H60+'DOE25'!I60+'DOE25'!J60,0)</f>
        <v>8482346</v>
      </c>
      <c r="D35" s="181">
        <f t="shared" ref="D35:D40" si="1">ROUND((C35/$C$41)*100,1)</f>
        <v>71.2</v>
      </c>
    </row>
    <row r="36" spans="1:4" x14ac:dyDescent="0.2">
      <c r="B36" s="184" t="s">
        <v>739</v>
      </c>
      <c r="C36" s="178">
        <f>SUM('DOE25'!F112:J112)-SUM('DOE25'!G97:G110)+('DOE25'!F175+'DOE25'!F176+'DOE25'!I175+'DOE25'!I176)-C35</f>
        <v>90961.259999999776</v>
      </c>
      <c r="D36" s="181">
        <f t="shared" si="1"/>
        <v>0.8</v>
      </c>
    </row>
    <row r="37" spans="1:4" x14ac:dyDescent="0.2">
      <c r="A37" s="182" t="s">
        <v>835</v>
      </c>
      <c r="B37" s="184" t="s">
        <v>728</v>
      </c>
      <c r="C37" s="178">
        <f>ROUND('DOE25'!F117+'DOE25'!F118,0)</f>
        <v>2561140</v>
      </c>
      <c r="D37" s="181">
        <f t="shared" si="1"/>
        <v>21.5</v>
      </c>
    </row>
    <row r="38" spans="1:4" x14ac:dyDescent="0.2">
      <c r="A38" s="182" t="s">
        <v>734</v>
      </c>
      <c r="B38" s="184" t="s">
        <v>729</v>
      </c>
      <c r="C38" s="178">
        <f>ROUND(SUM('DOE25'!F140:J140)-SUM('DOE25'!F117:F119),0)</f>
        <v>170304</v>
      </c>
      <c r="D38" s="181">
        <f t="shared" si="1"/>
        <v>1.4</v>
      </c>
    </row>
    <row r="39" spans="1:4" x14ac:dyDescent="0.2">
      <c r="A39">
        <v>4000</v>
      </c>
      <c r="B39" s="184" t="s">
        <v>730</v>
      </c>
      <c r="C39" s="178">
        <f>ROUND('DOE25'!F170+'DOE25'!G170+'DOE25'!H170+'DOE25'!I170,0)</f>
        <v>616968</v>
      </c>
      <c r="D39" s="181">
        <f t="shared" si="1"/>
        <v>5.2</v>
      </c>
    </row>
    <row r="40" spans="1:4" x14ac:dyDescent="0.2">
      <c r="A40" s="182" t="s">
        <v>735</v>
      </c>
      <c r="B40" s="184" t="s">
        <v>731</v>
      </c>
      <c r="C40" s="178">
        <f>ROUND(SUM('DOE25'!F190:F192)+SUM('DOE25'!G190:G192)+SUM('DOE25'!H190:H192)+SUM('DOE25'!I190:I192),0)</f>
        <v>0</v>
      </c>
      <c r="D40" s="181">
        <f t="shared" si="1"/>
        <v>0</v>
      </c>
    </row>
    <row r="41" spans="1:4" x14ac:dyDescent="0.2">
      <c r="B41" s="186" t="s">
        <v>732</v>
      </c>
      <c r="C41" s="179">
        <f>SUM(C35:C40)</f>
        <v>11921719.26</v>
      </c>
      <c r="D41" s="183">
        <f>SUM(D35:D40)</f>
        <v>100.10000000000001</v>
      </c>
    </row>
    <row r="42" spans="1:4" x14ac:dyDescent="0.2">
      <c r="A42" s="182" t="s">
        <v>737</v>
      </c>
      <c r="B42" s="184" t="s">
        <v>733</v>
      </c>
      <c r="C42" s="178">
        <f>ROUND('DOE25'!F174+'DOE25'!I174+'DOE25'!F177+'DOE25'!I177,0)</f>
        <v>0</v>
      </c>
    </row>
  </sheetData>
  <sheetProtection algorithmName="SHA-512" hashValue="l5Iyk12Jm5QueHPDZKrEOmEhrpxSWvtBbCJM3ZGCgA8j8IHgsYvy35AffIuZpE4O1GeOm5H9f6I66Ev6wbUGyA==" saltValue="3wkqZIwYyMuqCxzw1NMD5w==" spinCount="100000" sheet="1" objects="1" scenarios="1"/>
  <mergeCells count="1">
    <mergeCell ref="A1:D1"/>
  </mergeCells>
  <phoneticPr fontId="0" type="noConversion"/>
  <printOptions gridLines="1" gridLinesSet="0"/>
  <pageMargins left="1.25" right="1.25" top="1.75" bottom="1.75" header="0.5" footer="0.5"/>
  <pageSetup orientation="portrait" r:id="rId1"/>
  <headerFooter alignWithMargins="0">
    <oddHeader>&amp;C&amp;A</oddHeader>
    <oddFooter>Page &amp;P</oddFooter>
  </headerFooter>
  <ignoredErrors>
    <ignoredError sqref="D10:D28" evalError="1"/>
  </ignoredErrors>
</worksheet>
</file>

<file path=xl/worksheets/sheet9.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800-000000000000}">
  <sheetPr>
    <tabColor indexed="17"/>
  </sheetPr>
  <dimension ref="A1:IV90"/>
  <sheetViews>
    <sheetView zoomScaleNormal="100" workbookViewId="0">
      <selection activeCell="C4" sqref="C4:M4"/>
    </sheetView>
  </sheetViews>
  <sheetFormatPr defaultRowHeight="11.25" x14ac:dyDescent="0.2"/>
  <cols>
    <col min="1" max="1" width="10.33203125" customWidth="1"/>
    <col min="14" max="14" width="6.1640625" customWidth="1"/>
  </cols>
  <sheetData>
    <row r="1" spans="1:26" ht="16.5" thickTop="1" x14ac:dyDescent="0.25">
      <c r="A1" s="390" t="s">
        <v>766</v>
      </c>
      <c r="B1" s="391"/>
      <c r="C1" s="391"/>
      <c r="D1" s="391"/>
      <c r="E1" s="391"/>
      <c r="F1" s="391"/>
      <c r="G1" s="391"/>
      <c r="H1" s="391"/>
      <c r="I1" s="391"/>
      <c r="J1" s="212"/>
      <c r="K1" s="212"/>
      <c r="L1" s="212"/>
      <c r="M1" s="213"/>
    </row>
    <row r="2" spans="1:26" ht="12.75" x14ac:dyDescent="0.2">
      <c r="A2" s="396" t="s">
        <v>763</v>
      </c>
      <c r="B2" s="397"/>
      <c r="C2" s="397"/>
      <c r="D2" s="397"/>
      <c r="E2" s="397"/>
      <c r="F2" s="394" t="str">
        <f>'DOE25'!A2</f>
        <v>Fremont</v>
      </c>
      <c r="G2" s="395"/>
      <c r="H2" s="395"/>
      <c r="I2" s="395"/>
      <c r="J2" s="52"/>
      <c r="K2" s="52"/>
      <c r="L2" s="52"/>
      <c r="M2" s="214"/>
    </row>
    <row r="3" spans="1:26" x14ac:dyDescent="0.2">
      <c r="A3" s="215" t="s">
        <v>764</v>
      </c>
      <c r="B3" s="216" t="s">
        <v>765</v>
      </c>
      <c r="C3" s="392" t="s">
        <v>767</v>
      </c>
      <c r="D3" s="392"/>
      <c r="E3" s="392"/>
      <c r="F3" s="392"/>
      <c r="G3" s="392"/>
      <c r="H3" s="392"/>
      <c r="I3" s="392"/>
      <c r="J3" s="392"/>
      <c r="K3" s="392"/>
      <c r="L3" s="392"/>
      <c r="M3" s="393"/>
    </row>
    <row r="4" spans="1:26" x14ac:dyDescent="0.2">
      <c r="A4" s="217"/>
      <c r="B4" s="218"/>
      <c r="C4" s="388"/>
      <c r="D4" s="388"/>
      <c r="E4" s="388"/>
      <c r="F4" s="388"/>
      <c r="G4" s="388"/>
      <c r="H4" s="388"/>
      <c r="I4" s="388"/>
      <c r="J4" s="388"/>
      <c r="K4" s="388"/>
      <c r="L4" s="388"/>
      <c r="M4" s="389"/>
      <c r="N4" s="126"/>
      <c r="O4" s="126"/>
      <c r="P4" s="126"/>
      <c r="Q4" s="126"/>
      <c r="R4" s="126"/>
      <c r="S4" s="126"/>
      <c r="T4" s="126"/>
      <c r="U4" s="126"/>
      <c r="V4" s="126"/>
      <c r="W4" s="126"/>
      <c r="X4" s="126"/>
      <c r="Y4" s="126"/>
      <c r="Z4" s="126"/>
    </row>
    <row r="5" spans="1:26" x14ac:dyDescent="0.2">
      <c r="A5" s="217"/>
      <c r="B5" s="218"/>
      <c r="C5" s="388"/>
      <c r="D5" s="388"/>
      <c r="E5" s="388"/>
      <c r="F5" s="388"/>
      <c r="G5" s="388"/>
      <c r="H5" s="388"/>
      <c r="I5" s="388"/>
      <c r="J5" s="388"/>
      <c r="K5" s="388"/>
      <c r="L5" s="388"/>
      <c r="M5" s="389"/>
      <c r="N5" s="126"/>
      <c r="O5" s="126"/>
      <c r="P5" s="126"/>
      <c r="Q5" s="126"/>
      <c r="R5" s="126"/>
      <c r="S5" s="126"/>
      <c r="T5" s="126"/>
      <c r="U5" s="126"/>
      <c r="V5" s="126"/>
      <c r="W5" s="126"/>
      <c r="X5" s="126"/>
      <c r="Y5" s="126"/>
      <c r="Z5" s="126"/>
    </row>
    <row r="6" spans="1:26" x14ac:dyDescent="0.2">
      <c r="A6" s="217"/>
      <c r="B6" s="218"/>
      <c r="C6" s="388"/>
      <c r="D6" s="388"/>
      <c r="E6" s="388"/>
      <c r="F6" s="388"/>
      <c r="G6" s="388"/>
      <c r="H6" s="388"/>
      <c r="I6" s="388"/>
      <c r="J6" s="388"/>
      <c r="K6" s="388"/>
      <c r="L6" s="388"/>
      <c r="M6" s="389"/>
      <c r="N6" s="126"/>
      <c r="O6" s="126"/>
      <c r="P6" s="126"/>
      <c r="Q6" s="126"/>
      <c r="R6" s="126"/>
      <c r="S6" s="126"/>
      <c r="T6" s="126"/>
      <c r="U6" s="126"/>
      <c r="V6" s="126"/>
      <c r="W6" s="126"/>
      <c r="X6" s="126"/>
      <c r="Y6" s="126"/>
      <c r="Z6" s="126"/>
    </row>
    <row r="7" spans="1:26" x14ac:dyDescent="0.2">
      <c r="A7" s="217"/>
      <c r="B7" s="218"/>
      <c r="C7" s="388"/>
      <c r="D7" s="388"/>
      <c r="E7" s="388"/>
      <c r="F7" s="388"/>
      <c r="G7" s="388"/>
      <c r="H7" s="388"/>
      <c r="I7" s="388"/>
      <c r="J7" s="388"/>
      <c r="K7" s="388"/>
      <c r="L7" s="388"/>
      <c r="M7" s="389"/>
      <c r="N7" s="126"/>
      <c r="O7" s="126"/>
      <c r="P7" s="126"/>
      <c r="Q7" s="126"/>
      <c r="R7" s="126"/>
      <c r="S7" s="126"/>
      <c r="T7" s="126"/>
      <c r="U7" s="126"/>
      <c r="V7" s="126"/>
      <c r="W7" s="126"/>
      <c r="X7" s="126"/>
      <c r="Y7" s="126"/>
      <c r="Z7" s="126"/>
    </row>
    <row r="8" spans="1:26" x14ac:dyDescent="0.2">
      <c r="A8" s="217"/>
      <c r="B8" s="218"/>
      <c r="C8" s="388"/>
      <c r="D8" s="388"/>
      <c r="E8" s="388"/>
      <c r="F8" s="388"/>
      <c r="G8" s="388"/>
      <c r="H8" s="388"/>
      <c r="I8" s="388"/>
      <c r="J8" s="388"/>
      <c r="K8" s="388"/>
      <c r="L8" s="388"/>
      <c r="M8" s="389"/>
      <c r="N8" s="126"/>
      <c r="O8" s="126"/>
      <c r="P8" s="126"/>
      <c r="Q8" s="126"/>
      <c r="R8" s="126"/>
      <c r="S8" s="126"/>
      <c r="T8" s="126"/>
      <c r="U8" s="126"/>
      <c r="V8" s="126"/>
      <c r="W8" s="126"/>
      <c r="X8" s="126"/>
      <c r="Y8" s="126"/>
      <c r="Z8" s="126"/>
    </row>
    <row r="9" spans="1:26" x14ac:dyDescent="0.2">
      <c r="A9" s="217"/>
      <c r="B9" s="218"/>
      <c r="C9" s="388"/>
      <c r="D9" s="388"/>
      <c r="E9" s="388"/>
      <c r="F9" s="388"/>
      <c r="G9" s="388"/>
      <c r="H9" s="388"/>
      <c r="I9" s="388"/>
      <c r="J9" s="388"/>
      <c r="K9" s="388"/>
      <c r="L9" s="388"/>
      <c r="M9" s="389"/>
      <c r="N9" s="126"/>
      <c r="O9" s="126"/>
      <c r="P9" s="126"/>
      <c r="Q9" s="126"/>
      <c r="R9" s="126"/>
      <c r="S9" s="126"/>
      <c r="T9" s="126"/>
      <c r="U9" s="126"/>
      <c r="V9" s="126"/>
      <c r="W9" s="126"/>
      <c r="X9" s="126"/>
      <c r="Y9" s="126"/>
      <c r="Z9" s="126"/>
    </row>
    <row r="10" spans="1:26" x14ac:dyDescent="0.2">
      <c r="A10" s="217"/>
      <c r="B10" s="218"/>
      <c r="C10" s="388"/>
      <c r="D10" s="388"/>
      <c r="E10" s="388"/>
      <c r="F10" s="388"/>
      <c r="G10" s="388"/>
      <c r="H10" s="388"/>
      <c r="I10" s="388"/>
      <c r="J10" s="388"/>
      <c r="K10" s="388"/>
      <c r="L10" s="388"/>
      <c r="M10" s="389"/>
      <c r="N10" s="126"/>
      <c r="O10" s="126"/>
      <c r="P10" s="126"/>
      <c r="Q10" s="126"/>
      <c r="R10" s="126"/>
      <c r="S10" s="126"/>
      <c r="T10" s="126"/>
      <c r="U10" s="126"/>
      <c r="V10" s="126"/>
      <c r="W10" s="126"/>
      <c r="X10" s="126"/>
      <c r="Y10" s="126"/>
      <c r="Z10" s="126"/>
    </row>
    <row r="11" spans="1:26" x14ac:dyDescent="0.2">
      <c r="A11" s="217"/>
      <c r="B11" s="218"/>
      <c r="C11" s="388"/>
      <c r="D11" s="388"/>
      <c r="E11" s="388"/>
      <c r="F11" s="388"/>
      <c r="G11" s="388"/>
      <c r="H11" s="388"/>
      <c r="I11" s="388"/>
      <c r="J11" s="388"/>
      <c r="K11" s="388"/>
      <c r="L11" s="388"/>
      <c r="M11" s="389"/>
      <c r="N11" s="126"/>
      <c r="O11" s="126"/>
      <c r="P11" s="126"/>
      <c r="Q11" s="126"/>
      <c r="R11" s="126"/>
      <c r="S11" s="126"/>
      <c r="T11" s="126"/>
      <c r="U11" s="126"/>
      <c r="V11" s="126"/>
      <c r="W11" s="126"/>
      <c r="X11" s="126"/>
      <c r="Y11" s="126"/>
      <c r="Z11" s="126"/>
    </row>
    <row r="12" spans="1:26" x14ac:dyDescent="0.2">
      <c r="A12" s="217"/>
      <c r="B12" s="218"/>
      <c r="C12" s="388"/>
      <c r="D12" s="388"/>
      <c r="E12" s="388"/>
      <c r="F12" s="388"/>
      <c r="G12" s="388"/>
      <c r="H12" s="388"/>
      <c r="I12" s="388"/>
      <c r="J12" s="388"/>
      <c r="K12" s="388"/>
      <c r="L12" s="388"/>
      <c r="M12" s="389"/>
      <c r="N12" s="126"/>
      <c r="O12" s="126"/>
      <c r="P12" s="126"/>
      <c r="Q12" s="126"/>
      <c r="R12" s="126"/>
      <c r="S12" s="126"/>
      <c r="T12" s="126"/>
      <c r="U12" s="126"/>
      <c r="V12" s="126"/>
      <c r="W12" s="126"/>
      <c r="X12" s="126"/>
      <c r="Y12" s="126"/>
      <c r="Z12" s="126"/>
    </row>
    <row r="13" spans="1:26" x14ac:dyDescent="0.2">
      <c r="A13" s="217"/>
      <c r="B13" s="218"/>
      <c r="C13" s="388"/>
      <c r="D13" s="388"/>
      <c r="E13" s="388"/>
      <c r="F13" s="388"/>
      <c r="G13" s="388"/>
      <c r="H13" s="388"/>
      <c r="I13" s="388"/>
      <c r="J13" s="388"/>
      <c r="K13" s="388"/>
      <c r="L13" s="388"/>
      <c r="M13" s="389"/>
      <c r="N13" s="126"/>
      <c r="O13" s="126"/>
      <c r="P13" s="126"/>
      <c r="Q13" s="126"/>
      <c r="R13" s="126"/>
      <c r="S13" s="126"/>
      <c r="T13" s="126"/>
      <c r="U13" s="126"/>
      <c r="V13" s="126"/>
      <c r="W13" s="126"/>
      <c r="X13" s="126"/>
      <c r="Y13" s="126"/>
      <c r="Z13" s="126"/>
    </row>
    <row r="14" spans="1:26" x14ac:dyDescent="0.2">
      <c r="A14" s="217"/>
      <c r="B14" s="218"/>
      <c r="C14" s="388"/>
      <c r="D14" s="388"/>
      <c r="E14" s="388"/>
      <c r="F14" s="388"/>
      <c r="G14" s="388"/>
      <c r="H14" s="388"/>
      <c r="I14" s="388"/>
      <c r="J14" s="388"/>
      <c r="K14" s="388"/>
      <c r="L14" s="388"/>
      <c r="M14" s="389"/>
      <c r="N14" s="126"/>
      <c r="O14" s="126"/>
      <c r="P14" s="126"/>
      <c r="Q14" s="126"/>
      <c r="R14" s="126"/>
      <c r="S14" s="126"/>
      <c r="T14" s="126"/>
      <c r="U14" s="126"/>
      <c r="V14" s="126"/>
      <c r="W14" s="126"/>
      <c r="X14" s="126"/>
      <c r="Y14" s="126"/>
      <c r="Z14" s="126"/>
    </row>
    <row r="15" spans="1:26" x14ac:dyDescent="0.2">
      <c r="A15" s="217"/>
      <c r="B15" s="218"/>
      <c r="C15" s="388"/>
      <c r="D15" s="388"/>
      <c r="E15" s="388"/>
      <c r="F15" s="388"/>
      <c r="G15" s="388"/>
      <c r="H15" s="388"/>
      <c r="I15" s="388"/>
      <c r="J15" s="388"/>
      <c r="K15" s="388"/>
      <c r="L15" s="388"/>
      <c r="M15" s="389"/>
      <c r="N15" s="126"/>
      <c r="O15" s="126"/>
      <c r="P15" s="126"/>
      <c r="Q15" s="126"/>
      <c r="R15" s="126"/>
      <c r="S15" s="126"/>
      <c r="T15" s="126"/>
      <c r="U15" s="126"/>
      <c r="V15" s="126"/>
      <c r="W15" s="126"/>
      <c r="X15" s="126"/>
      <c r="Y15" s="126"/>
      <c r="Z15" s="126"/>
    </row>
    <row r="16" spans="1:26" x14ac:dyDescent="0.2">
      <c r="A16" s="217"/>
      <c r="B16" s="218"/>
      <c r="C16" s="388"/>
      <c r="D16" s="388"/>
      <c r="E16" s="388"/>
      <c r="F16" s="388"/>
      <c r="G16" s="388"/>
      <c r="H16" s="388"/>
      <c r="I16" s="388"/>
      <c r="J16" s="388"/>
      <c r="K16" s="388"/>
      <c r="L16" s="388"/>
      <c r="M16" s="389"/>
      <c r="N16" s="126"/>
      <c r="O16" s="126"/>
      <c r="P16" s="126"/>
      <c r="Q16" s="126"/>
      <c r="R16" s="126"/>
      <c r="S16" s="126"/>
      <c r="T16" s="126"/>
      <c r="U16" s="126"/>
      <c r="V16" s="126"/>
      <c r="W16" s="126"/>
      <c r="X16" s="126"/>
      <c r="Y16" s="126"/>
      <c r="Z16" s="126"/>
    </row>
    <row r="17" spans="1:256" x14ac:dyDescent="0.2">
      <c r="A17" s="217"/>
      <c r="B17" s="218"/>
      <c r="C17" s="388"/>
      <c r="D17" s="388"/>
      <c r="E17" s="388"/>
      <c r="F17" s="388"/>
      <c r="G17" s="388"/>
      <c r="H17" s="388"/>
      <c r="I17" s="388"/>
      <c r="J17" s="388"/>
      <c r="K17" s="388"/>
      <c r="L17" s="388"/>
      <c r="M17" s="389"/>
      <c r="N17" s="126"/>
      <c r="O17" s="126"/>
      <c r="P17" s="126"/>
      <c r="Q17" s="126"/>
      <c r="R17" s="126"/>
      <c r="S17" s="126"/>
      <c r="T17" s="126"/>
      <c r="U17" s="126"/>
      <c r="V17" s="126"/>
      <c r="W17" s="126"/>
      <c r="X17" s="126"/>
      <c r="Y17" s="126"/>
      <c r="Z17" s="126"/>
    </row>
    <row r="18" spans="1:256" x14ac:dyDescent="0.2">
      <c r="A18" s="217"/>
      <c r="B18" s="218"/>
      <c r="C18" s="388"/>
      <c r="D18" s="388"/>
      <c r="E18" s="388"/>
      <c r="F18" s="388"/>
      <c r="G18" s="388"/>
      <c r="H18" s="388"/>
      <c r="I18" s="388"/>
      <c r="J18" s="388"/>
      <c r="K18" s="388"/>
      <c r="L18" s="388"/>
      <c r="M18" s="389"/>
      <c r="N18" s="126"/>
      <c r="O18" s="126"/>
      <c r="P18" s="126"/>
      <c r="Q18" s="126"/>
      <c r="R18" s="126"/>
      <c r="S18" s="126"/>
      <c r="T18" s="126"/>
      <c r="U18" s="126"/>
      <c r="V18" s="126"/>
      <c r="W18" s="126"/>
      <c r="X18" s="126"/>
      <c r="Y18" s="126"/>
      <c r="Z18" s="126"/>
    </row>
    <row r="19" spans="1:256" x14ac:dyDescent="0.2">
      <c r="A19" s="217"/>
      <c r="B19" s="218"/>
      <c r="C19" s="388"/>
      <c r="D19" s="388"/>
      <c r="E19" s="388"/>
      <c r="F19" s="388"/>
      <c r="G19" s="388"/>
      <c r="H19" s="388"/>
      <c r="I19" s="388"/>
      <c r="J19" s="388"/>
      <c r="K19" s="388"/>
      <c r="L19" s="388"/>
      <c r="M19" s="389"/>
      <c r="N19" s="126"/>
      <c r="O19" s="126"/>
      <c r="P19" s="126"/>
      <c r="Q19" s="126"/>
      <c r="R19" s="126"/>
      <c r="S19" s="126"/>
      <c r="T19" s="126"/>
      <c r="U19" s="126"/>
      <c r="V19" s="126"/>
      <c r="W19" s="126"/>
      <c r="X19" s="126"/>
      <c r="Y19" s="126"/>
      <c r="Z19" s="126"/>
    </row>
    <row r="20" spans="1:256" x14ac:dyDescent="0.2">
      <c r="A20" s="217"/>
      <c r="B20" s="218"/>
      <c r="C20" s="388"/>
      <c r="D20" s="388"/>
      <c r="E20" s="388"/>
      <c r="F20" s="388"/>
      <c r="G20" s="388"/>
      <c r="H20" s="388"/>
      <c r="I20" s="388"/>
      <c r="J20" s="388"/>
      <c r="K20" s="388"/>
      <c r="L20" s="388"/>
      <c r="M20" s="389"/>
      <c r="N20" s="126"/>
      <c r="O20" s="126"/>
      <c r="P20" s="126"/>
      <c r="Q20" s="126"/>
      <c r="R20" s="126"/>
      <c r="S20" s="126"/>
      <c r="T20" s="126"/>
      <c r="U20" s="126"/>
      <c r="V20" s="126"/>
      <c r="W20" s="126"/>
      <c r="X20" s="126"/>
      <c r="Y20" s="126"/>
      <c r="Z20" s="126"/>
    </row>
    <row r="21" spans="1:256" x14ac:dyDescent="0.2">
      <c r="A21" s="217"/>
      <c r="B21" s="218"/>
      <c r="C21" s="388"/>
      <c r="D21" s="388"/>
      <c r="E21" s="388"/>
      <c r="F21" s="388"/>
      <c r="G21" s="388"/>
      <c r="H21" s="388"/>
      <c r="I21" s="388"/>
      <c r="J21" s="388"/>
      <c r="K21" s="388"/>
      <c r="L21" s="388"/>
      <c r="M21" s="389"/>
      <c r="N21" s="126"/>
      <c r="O21" s="126"/>
      <c r="P21" s="126"/>
      <c r="Q21" s="126"/>
      <c r="R21" s="126"/>
      <c r="S21" s="126"/>
      <c r="T21" s="126"/>
      <c r="U21" s="126"/>
      <c r="V21" s="126"/>
      <c r="W21" s="126"/>
      <c r="X21" s="126"/>
      <c r="Y21" s="126"/>
      <c r="Z21" s="126"/>
    </row>
    <row r="22" spans="1:256" x14ac:dyDescent="0.2">
      <c r="A22" s="217"/>
      <c r="B22" s="218"/>
      <c r="C22" s="388"/>
      <c r="D22" s="388"/>
      <c r="E22" s="388"/>
      <c r="F22" s="388"/>
      <c r="G22" s="388"/>
      <c r="H22" s="388"/>
      <c r="I22" s="388"/>
      <c r="J22" s="388"/>
      <c r="K22" s="388"/>
      <c r="L22" s="388"/>
      <c r="M22" s="389"/>
      <c r="N22" s="126"/>
      <c r="O22" s="126"/>
      <c r="P22" s="126"/>
      <c r="Q22" s="126"/>
      <c r="R22" s="126"/>
      <c r="S22" s="126"/>
      <c r="T22" s="126"/>
      <c r="U22" s="126"/>
      <c r="V22" s="126"/>
      <c r="W22" s="126"/>
      <c r="X22" s="126"/>
      <c r="Y22" s="126"/>
      <c r="Z22" s="126"/>
    </row>
    <row r="23" spans="1:256" x14ac:dyDescent="0.2">
      <c r="A23" s="217"/>
      <c r="B23" s="218"/>
      <c r="C23" s="388"/>
      <c r="D23" s="388"/>
      <c r="E23" s="388"/>
      <c r="F23" s="388"/>
      <c r="G23" s="388"/>
      <c r="H23" s="388"/>
      <c r="I23" s="388"/>
      <c r="J23" s="388"/>
      <c r="K23" s="388"/>
      <c r="L23" s="388"/>
      <c r="M23" s="389"/>
      <c r="N23" s="126"/>
      <c r="O23" s="126"/>
      <c r="P23" s="126"/>
      <c r="Q23" s="126"/>
      <c r="R23" s="126"/>
      <c r="S23" s="126"/>
      <c r="T23" s="126"/>
      <c r="U23" s="126"/>
      <c r="V23" s="126"/>
      <c r="W23" s="126"/>
      <c r="X23" s="126"/>
      <c r="Y23" s="126"/>
      <c r="Z23" s="126"/>
    </row>
    <row r="24" spans="1:256" x14ac:dyDescent="0.2">
      <c r="A24" s="217"/>
      <c r="B24" s="218"/>
      <c r="C24" s="388"/>
      <c r="D24" s="388"/>
      <c r="E24" s="388"/>
      <c r="F24" s="388"/>
      <c r="G24" s="388"/>
      <c r="H24" s="388"/>
      <c r="I24" s="388"/>
      <c r="J24" s="388"/>
      <c r="K24" s="388"/>
      <c r="L24" s="388"/>
      <c r="M24" s="389"/>
      <c r="N24" s="126"/>
      <c r="O24" s="126"/>
      <c r="P24" s="126"/>
      <c r="Q24" s="126"/>
      <c r="R24" s="126"/>
      <c r="S24" s="126"/>
      <c r="T24" s="126"/>
      <c r="U24" s="126"/>
      <c r="V24" s="126"/>
      <c r="W24" s="126"/>
      <c r="X24" s="126"/>
      <c r="Y24" s="126"/>
      <c r="Z24" s="126"/>
    </row>
    <row r="25" spans="1:256" x14ac:dyDescent="0.2">
      <c r="A25" s="217"/>
      <c r="B25" s="218"/>
      <c r="C25" s="388"/>
      <c r="D25" s="388"/>
      <c r="E25" s="388"/>
      <c r="F25" s="388"/>
      <c r="G25" s="388"/>
      <c r="H25" s="388"/>
      <c r="I25" s="388"/>
      <c r="J25" s="388"/>
      <c r="K25" s="388"/>
      <c r="L25" s="388"/>
      <c r="M25" s="389"/>
      <c r="N25" s="126"/>
      <c r="O25" s="126"/>
      <c r="P25" s="126"/>
      <c r="Q25" s="126"/>
      <c r="R25" s="126"/>
      <c r="S25" s="126"/>
      <c r="T25" s="126"/>
      <c r="U25" s="126"/>
      <c r="V25" s="126"/>
      <c r="W25" s="126"/>
      <c r="X25" s="126"/>
      <c r="Y25" s="126"/>
      <c r="Z25" s="126"/>
    </row>
    <row r="26" spans="1:256" x14ac:dyDescent="0.2">
      <c r="A26" s="217"/>
      <c r="B26" s="218"/>
      <c r="C26" s="388"/>
      <c r="D26" s="388"/>
      <c r="E26" s="388"/>
      <c r="F26" s="388"/>
      <c r="G26" s="388"/>
      <c r="H26" s="388"/>
      <c r="I26" s="388"/>
      <c r="J26" s="388"/>
      <c r="K26" s="388"/>
      <c r="L26" s="388"/>
      <c r="M26" s="389"/>
      <c r="N26" s="126"/>
      <c r="O26" s="126"/>
      <c r="P26" s="126"/>
      <c r="Q26" s="126"/>
      <c r="R26" s="126"/>
      <c r="S26" s="126"/>
      <c r="T26" s="126"/>
      <c r="U26" s="126"/>
      <c r="V26" s="126"/>
      <c r="W26" s="126"/>
      <c r="X26" s="126"/>
      <c r="Y26" s="126"/>
      <c r="Z26" s="126"/>
    </row>
    <row r="27" spans="1:256" x14ac:dyDescent="0.2">
      <c r="A27" s="217"/>
      <c r="B27" s="218"/>
      <c r="C27" s="388"/>
      <c r="D27" s="388"/>
      <c r="E27" s="388"/>
      <c r="F27" s="388"/>
      <c r="G27" s="388"/>
      <c r="H27" s="388"/>
      <c r="I27" s="388"/>
      <c r="J27" s="388"/>
      <c r="K27" s="388"/>
      <c r="L27" s="388"/>
      <c r="M27" s="389"/>
      <c r="N27" s="126"/>
      <c r="O27" s="126"/>
      <c r="P27" s="126"/>
      <c r="Q27" s="126"/>
      <c r="R27" s="126"/>
      <c r="S27" s="126"/>
      <c r="T27" s="126"/>
      <c r="U27" s="126"/>
      <c r="V27" s="126"/>
      <c r="W27" s="126"/>
      <c r="X27" s="126"/>
      <c r="Y27" s="126"/>
      <c r="Z27" s="126"/>
    </row>
    <row r="28" spans="1:256" x14ac:dyDescent="0.2">
      <c r="A28" s="217"/>
      <c r="B28" s="218"/>
      <c r="C28" s="388"/>
      <c r="D28" s="388"/>
      <c r="E28" s="388"/>
      <c r="F28" s="388"/>
      <c r="G28" s="388"/>
      <c r="H28" s="388"/>
      <c r="I28" s="388"/>
      <c r="J28" s="388"/>
      <c r="K28" s="388"/>
      <c r="L28" s="388"/>
      <c r="M28" s="389"/>
      <c r="N28" s="126"/>
      <c r="O28" s="126"/>
      <c r="P28" s="126"/>
      <c r="Q28" s="126"/>
      <c r="R28" s="126"/>
      <c r="S28" s="126"/>
      <c r="T28" s="126"/>
      <c r="U28" s="126"/>
      <c r="V28" s="126"/>
      <c r="W28" s="126"/>
      <c r="X28" s="126"/>
      <c r="Y28" s="126"/>
      <c r="Z28" s="126"/>
    </row>
    <row r="29" spans="1:256" x14ac:dyDescent="0.2">
      <c r="A29" s="217"/>
      <c r="B29" s="218"/>
      <c r="C29" s="388"/>
      <c r="D29" s="388"/>
      <c r="E29" s="388"/>
      <c r="F29" s="388"/>
      <c r="G29" s="388"/>
      <c r="H29" s="388"/>
      <c r="I29" s="388"/>
      <c r="J29" s="388"/>
      <c r="K29" s="388"/>
      <c r="L29" s="388"/>
      <c r="M29" s="389"/>
      <c r="N29" s="210"/>
      <c r="O29" s="210"/>
      <c r="P29" s="387"/>
      <c r="Q29" s="387"/>
      <c r="R29" s="387"/>
      <c r="S29" s="387"/>
      <c r="T29" s="387"/>
      <c r="U29" s="387"/>
      <c r="V29" s="387"/>
      <c r="W29" s="387"/>
      <c r="X29" s="387"/>
      <c r="Y29" s="387"/>
      <c r="Z29" s="387"/>
      <c r="AA29" s="206"/>
      <c r="AB29" s="206"/>
      <c r="AC29" s="386"/>
      <c r="AD29" s="386"/>
      <c r="AE29" s="386"/>
      <c r="AF29" s="386"/>
      <c r="AG29" s="386"/>
      <c r="AH29" s="386"/>
      <c r="AI29" s="386"/>
      <c r="AJ29" s="386"/>
      <c r="AK29" s="386"/>
      <c r="AL29" s="386"/>
      <c r="AM29" s="386"/>
      <c r="AN29" s="206"/>
      <c r="AO29" s="206"/>
      <c r="AP29" s="386"/>
      <c r="AQ29" s="386"/>
      <c r="AR29" s="386"/>
      <c r="AS29" s="386"/>
      <c r="AT29" s="386"/>
      <c r="AU29" s="386"/>
      <c r="AV29" s="386"/>
      <c r="AW29" s="386"/>
      <c r="AX29" s="386"/>
      <c r="AY29" s="386"/>
      <c r="AZ29" s="386"/>
      <c r="BA29" s="206"/>
      <c r="BB29" s="206"/>
      <c r="BC29" s="386"/>
      <c r="BD29" s="386"/>
      <c r="BE29" s="386"/>
      <c r="BF29" s="386"/>
      <c r="BG29" s="386"/>
      <c r="BH29" s="386"/>
      <c r="BI29" s="386"/>
      <c r="BJ29" s="386"/>
      <c r="BK29" s="386"/>
      <c r="BL29" s="386"/>
      <c r="BM29" s="386"/>
      <c r="BN29" s="206"/>
      <c r="BO29" s="206"/>
      <c r="BP29" s="386"/>
      <c r="BQ29" s="386"/>
      <c r="BR29" s="386"/>
      <c r="BS29" s="386"/>
      <c r="BT29" s="386"/>
      <c r="BU29" s="386"/>
      <c r="BV29" s="386"/>
      <c r="BW29" s="386"/>
      <c r="BX29" s="386"/>
      <c r="BY29" s="386"/>
      <c r="BZ29" s="386"/>
      <c r="CA29" s="206"/>
      <c r="CB29" s="206"/>
      <c r="CC29" s="386"/>
      <c r="CD29" s="386"/>
      <c r="CE29" s="386"/>
      <c r="CF29" s="386"/>
      <c r="CG29" s="386"/>
      <c r="CH29" s="386"/>
      <c r="CI29" s="386"/>
      <c r="CJ29" s="386"/>
      <c r="CK29" s="386"/>
      <c r="CL29" s="386"/>
      <c r="CM29" s="386"/>
      <c r="CN29" s="206"/>
      <c r="CO29" s="206"/>
      <c r="CP29" s="386"/>
      <c r="CQ29" s="386"/>
      <c r="CR29" s="386"/>
      <c r="CS29" s="386"/>
      <c r="CT29" s="386"/>
      <c r="CU29" s="386"/>
      <c r="CV29" s="386"/>
      <c r="CW29" s="386"/>
      <c r="CX29" s="386"/>
      <c r="CY29" s="386"/>
      <c r="CZ29" s="386"/>
      <c r="DA29" s="206"/>
      <c r="DB29" s="206"/>
      <c r="DC29" s="386"/>
      <c r="DD29" s="386"/>
      <c r="DE29" s="386"/>
      <c r="DF29" s="386"/>
      <c r="DG29" s="386"/>
      <c r="DH29" s="386"/>
      <c r="DI29" s="386"/>
      <c r="DJ29" s="386"/>
      <c r="DK29" s="386"/>
      <c r="DL29" s="386"/>
      <c r="DM29" s="386"/>
      <c r="DN29" s="206"/>
      <c r="DO29" s="206"/>
      <c r="DP29" s="386"/>
      <c r="DQ29" s="386"/>
      <c r="DR29" s="386"/>
      <c r="DS29" s="386"/>
      <c r="DT29" s="386"/>
      <c r="DU29" s="386"/>
      <c r="DV29" s="386"/>
      <c r="DW29" s="386"/>
      <c r="DX29" s="386"/>
      <c r="DY29" s="386"/>
      <c r="DZ29" s="386"/>
      <c r="EA29" s="206"/>
      <c r="EB29" s="206"/>
      <c r="EC29" s="386"/>
      <c r="ED29" s="386"/>
      <c r="EE29" s="386"/>
      <c r="EF29" s="386"/>
      <c r="EG29" s="386"/>
      <c r="EH29" s="386"/>
      <c r="EI29" s="386"/>
      <c r="EJ29" s="386"/>
      <c r="EK29" s="386"/>
      <c r="EL29" s="386"/>
      <c r="EM29" s="386"/>
      <c r="EN29" s="206"/>
      <c r="EO29" s="206"/>
      <c r="EP29" s="386"/>
      <c r="EQ29" s="386"/>
      <c r="ER29" s="386"/>
      <c r="ES29" s="386"/>
      <c r="ET29" s="386"/>
      <c r="EU29" s="386"/>
      <c r="EV29" s="386"/>
      <c r="EW29" s="386"/>
      <c r="EX29" s="386"/>
      <c r="EY29" s="386"/>
      <c r="EZ29" s="386"/>
      <c r="FA29" s="206"/>
      <c r="FB29" s="206"/>
      <c r="FC29" s="386"/>
      <c r="FD29" s="386"/>
      <c r="FE29" s="386"/>
      <c r="FF29" s="386"/>
      <c r="FG29" s="386"/>
      <c r="FH29" s="386"/>
      <c r="FI29" s="386"/>
      <c r="FJ29" s="386"/>
      <c r="FK29" s="386"/>
      <c r="FL29" s="386"/>
      <c r="FM29" s="386"/>
      <c r="FN29" s="206"/>
      <c r="FO29" s="206"/>
      <c r="FP29" s="386"/>
      <c r="FQ29" s="386"/>
      <c r="FR29" s="386"/>
      <c r="FS29" s="386"/>
      <c r="FT29" s="386"/>
      <c r="FU29" s="386"/>
      <c r="FV29" s="386"/>
      <c r="FW29" s="386"/>
      <c r="FX29" s="386"/>
      <c r="FY29" s="386"/>
      <c r="FZ29" s="386"/>
      <c r="GA29" s="206"/>
      <c r="GB29" s="206"/>
      <c r="GC29" s="386"/>
      <c r="GD29" s="386"/>
      <c r="GE29" s="386"/>
      <c r="GF29" s="386"/>
      <c r="GG29" s="386"/>
      <c r="GH29" s="386"/>
      <c r="GI29" s="386"/>
      <c r="GJ29" s="386"/>
      <c r="GK29" s="386"/>
      <c r="GL29" s="386"/>
      <c r="GM29" s="386"/>
      <c r="GN29" s="206"/>
      <c r="GO29" s="206"/>
      <c r="GP29" s="386"/>
      <c r="GQ29" s="386"/>
      <c r="GR29" s="386"/>
      <c r="GS29" s="386"/>
      <c r="GT29" s="386"/>
      <c r="GU29" s="386"/>
      <c r="GV29" s="386"/>
      <c r="GW29" s="386"/>
      <c r="GX29" s="386"/>
      <c r="GY29" s="386"/>
      <c r="GZ29" s="386"/>
      <c r="HA29" s="206"/>
      <c r="HB29" s="206"/>
      <c r="HC29" s="386"/>
      <c r="HD29" s="386"/>
      <c r="HE29" s="386"/>
      <c r="HF29" s="386"/>
      <c r="HG29" s="386"/>
      <c r="HH29" s="386"/>
      <c r="HI29" s="386"/>
      <c r="HJ29" s="386"/>
      <c r="HK29" s="386"/>
      <c r="HL29" s="386"/>
      <c r="HM29" s="386"/>
      <c r="HN29" s="206"/>
      <c r="HO29" s="206"/>
      <c r="HP29" s="386"/>
      <c r="HQ29" s="386"/>
      <c r="HR29" s="386"/>
      <c r="HS29" s="386"/>
      <c r="HT29" s="386"/>
      <c r="HU29" s="386"/>
      <c r="HV29" s="386"/>
      <c r="HW29" s="386"/>
      <c r="HX29" s="386"/>
      <c r="HY29" s="386"/>
      <c r="HZ29" s="386"/>
      <c r="IA29" s="206"/>
      <c r="IB29" s="206"/>
      <c r="IC29" s="386"/>
      <c r="ID29" s="386"/>
      <c r="IE29" s="386"/>
      <c r="IF29" s="386"/>
      <c r="IG29" s="386"/>
      <c r="IH29" s="386"/>
      <c r="II29" s="386"/>
      <c r="IJ29" s="386"/>
      <c r="IK29" s="386"/>
      <c r="IL29" s="386"/>
      <c r="IM29" s="386"/>
      <c r="IN29" s="206"/>
      <c r="IO29" s="206"/>
      <c r="IP29" s="386"/>
      <c r="IQ29" s="386"/>
      <c r="IR29" s="386"/>
      <c r="IS29" s="386"/>
      <c r="IT29" s="386"/>
      <c r="IU29" s="386"/>
      <c r="IV29" s="386"/>
    </row>
    <row r="30" spans="1:256" x14ac:dyDescent="0.2">
      <c r="A30" s="217"/>
      <c r="B30" s="218"/>
      <c r="C30" s="388"/>
      <c r="D30" s="388"/>
      <c r="E30" s="388"/>
      <c r="F30" s="388"/>
      <c r="G30" s="388"/>
      <c r="H30" s="388"/>
      <c r="I30" s="388"/>
      <c r="J30" s="388"/>
      <c r="K30" s="388"/>
      <c r="L30" s="388"/>
      <c r="M30" s="389"/>
      <c r="N30" s="210"/>
      <c r="O30" s="210"/>
      <c r="P30" s="387"/>
      <c r="Q30" s="387"/>
      <c r="R30" s="387"/>
      <c r="S30" s="387"/>
      <c r="T30" s="387"/>
      <c r="U30" s="387"/>
      <c r="V30" s="387"/>
      <c r="W30" s="387"/>
      <c r="X30" s="387"/>
      <c r="Y30" s="387"/>
      <c r="Z30" s="387"/>
      <c r="AA30" s="206"/>
      <c r="AB30" s="206"/>
      <c r="AC30" s="386"/>
      <c r="AD30" s="386"/>
      <c r="AE30" s="386"/>
      <c r="AF30" s="386"/>
      <c r="AG30" s="386"/>
      <c r="AH30" s="386"/>
      <c r="AI30" s="386"/>
      <c r="AJ30" s="386"/>
      <c r="AK30" s="386"/>
      <c r="AL30" s="386"/>
      <c r="AM30" s="386"/>
      <c r="AN30" s="206"/>
      <c r="AO30" s="206"/>
      <c r="AP30" s="386"/>
      <c r="AQ30" s="386"/>
      <c r="AR30" s="386"/>
      <c r="AS30" s="386"/>
      <c r="AT30" s="386"/>
      <c r="AU30" s="386"/>
      <c r="AV30" s="386"/>
      <c r="AW30" s="386"/>
      <c r="AX30" s="386"/>
      <c r="AY30" s="386"/>
      <c r="AZ30" s="386"/>
      <c r="BA30" s="206"/>
      <c r="BB30" s="206"/>
      <c r="BC30" s="386"/>
      <c r="BD30" s="386"/>
      <c r="BE30" s="386"/>
      <c r="BF30" s="386"/>
      <c r="BG30" s="386"/>
      <c r="BH30" s="386"/>
      <c r="BI30" s="386"/>
      <c r="BJ30" s="386"/>
      <c r="BK30" s="386"/>
      <c r="BL30" s="386"/>
      <c r="BM30" s="386"/>
      <c r="BN30" s="206"/>
      <c r="BO30" s="206"/>
      <c r="BP30" s="386"/>
      <c r="BQ30" s="386"/>
      <c r="BR30" s="386"/>
      <c r="BS30" s="386"/>
      <c r="BT30" s="386"/>
      <c r="BU30" s="386"/>
      <c r="BV30" s="386"/>
      <c r="BW30" s="386"/>
      <c r="BX30" s="386"/>
      <c r="BY30" s="386"/>
      <c r="BZ30" s="386"/>
      <c r="CA30" s="206"/>
      <c r="CB30" s="206"/>
      <c r="CC30" s="386"/>
      <c r="CD30" s="386"/>
      <c r="CE30" s="386"/>
      <c r="CF30" s="386"/>
      <c r="CG30" s="386"/>
      <c r="CH30" s="386"/>
      <c r="CI30" s="386"/>
      <c r="CJ30" s="386"/>
      <c r="CK30" s="386"/>
      <c r="CL30" s="386"/>
      <c r="CM30" s="386"/>
      <c r="CN30" s="206"/>
      <c r="CO30" s="206"/>
      <c r="CP30" s="386"/>
      <c r="CQ30" s="386"/>
      <c r="CR30" s="386"/>
      <c r="CS30" s="386"/>
      <c r="CT30" s="386"/>
      <c r="CU30" s="386"/>
      <c r="CV30" s="386"/>
      <c r="CW30" s="386"/>
      <c r="CX30" s="386"/>
      <c r="CY30" s="386"/>
      <c r="CZ30" s="386"/>
      <c r="DA30" s="206"/>
      <c r="DB30" s="206"/>
      <c r="DC30" s="386"/>
      <c r="DD30" s="386"/>
      <c r="DE30" s="386"/>
      <c r="DF30" s="386"/>
      <c r="DG30" s="386"/>
      <c r="DH30" s="386"/>
      <c r="DI30" s="386"/>
      <c r="DJ30" s="386"/>
      <c r="DK30" s="386"/>
      <c r="DL30" s="386"/>
      <c r="DM30" s="386"/>
      <c r="DN30" s="206"/>
      <c r="DO30" s="206"/>
      <c r="DP30" s="386"/>
      <c r="DQ30" s="386"/>
      <c r="DR30" s="386"/>
      <c r="DS30" s="386"/>
      <c r="DT30" s="386"/>
      <c r="DU30" s="386"/>
      <c r="DV30" s="386"/>
      <c r="DW30" s="386"/>
      <c r="DX30" s="386"/>
      <c r="DY30" s="386"/>
      <c r="DZ30" s="386"/>
      <c r="EA30" s="206"/>
      <c r="EB30" s="206"/>
      <c r="EC30" s="386"/>
      <c r="ED30" s="386"/>
      <c r="EE30" s="386"/>
      <c r="EF30" s="386"/>
      <c r="EG30" s="386"/>
      <c r="EH30" s="386"/>
      <c r="EI30" s="386"/>
      <c r="EJ30" s="386"/>
      <c r="EK30" s="386"/>
      <c r="EL30" s="386"/>
      <c r="EM30" s="386"/>
      <c r="EN30" s="206"/>
      <c r="EO30" s="206"/>
      <c r="EP30" s="386"/>
      <c r="EQ30" s="386"/>
      <c r="ER30" s="386"/>
      <c r="ES30" s="386"/>
      <c r="ET30" s="386"/>
      <c r="EU30" s="386"/>
      <c r="EV30" s="386"/>
      <c r="EW30" s="386"/>
      <c r="EX30" s="386"/>
      <c r="EY30" s="386"/>
      <c r="EZ30" s="386"/>
      <c r="FA30" s="206"/>
      <c r="FB30" s="206"/>
      <c r="FC30" s="386"/>
      <c r="FD30" s="386"/>
      <c r="FE30" s="386"/>
      <c r="FF30" s="386"/>
      <c r="FG30" s="386"/>
      <c r="FH30" s="386"/>
      <c r="FI30" s="386"/>
      <c r="FJ30" s="386"/>
      <c r="FK30" s="386"/>
      <c r="FL30" s="386"/>
      <c r="FM30" s="386"/>
      <c r="FN30" s="206"/>
      <c r="FO30" s="206"/>
      <c r="FP30" s="386"/>
      <c r="FQ30" s="386"/>
      <c r="FR30" s="386"/>
      <c r="FS30" s="386"/>
      <c r="FT30" s="386"/>
      <c r="FU30" s="386"/>
      <c r="FV30" s="386"/>
      <c r="FW30" s="386"/>
      <c r="FX30" s="386"/>
      <c r="FY30" s="386"/>
      <c r="FZ30" s="386"/>
      <c r="GA30" s="206"/>
      <c r="GB30" s="206"/>
      <c r="GC30" s="386"/>
      <c r="GD30" s="386"/>
      <c r="GE30" s="386"/>
      <c r="GF30" s="386"/>
      <c r="GG30" s="386"/>
      <c r="GH30" s="386"/>
      <c r="GI30" s="386"/>
      <c r="GJ30" s="386"/>
      <c r="GK30" s="386"/>
      <c r="GL30" s="386"/>
      <c r="GM30" s="386"/>
      <c r="GN30" s="206"/>
      <c r="GO30" s="206"/>
      <c r="GP30" s="386"/>
      <c r="GQ30" s="386"/>
      <c r="GR30" s="386"/>
      <c r="GS30" s="386"/>
      <c r="GT30" s="386"/>
      <c r="GU30" s="386"/>
      <c r="GV30" s="386"/>
      <c r="GW30" s="386"/>
      <c r="GX30" s="386"/>
      <c r="GY30" s="386"/>
      <c r="GZ30" s="386"/>
      <c r="HA30" s="206"/>
      <c r="HB30" s="206"/>
      <c r="HC30" s="386"/>
      <c r="HD30" s="386"/>
      <c r="HE30" s="386"/>
      <c r="HF30" s="386"/>
      <c r="HG30" s="386"/>
      <c r="HH30" s="386"/>
      <c r="HI30" s="386"/>
      <c r="HJ30" s="386"/>
      <c r="HK30" s="386"/>
      <c r="HL30" s="386"/>
      <c r="HM30" s="386"/>
      <c r="HN30" s="206"/>
      <c r="HO30" s="206"/>
      <c r="HP30" s="386"/>
      <c r="HQ30" s="386"/>
      <c r="HR30" s="386"/>
      <c r="HS30" s="386"/>
      <c r="HT30" s="386"/>
      <c r="HU30" s="386"/>
      <c r="HV30" s="386"/>
      <c r="HW30" s="386"/>
      <c r="HX30" s="386"/>
      <c r="HY30" s="386"/>
      <c r="HZ30" s="386"/>
      <c r="IA30" s="206"/>
      <c r="IB30" s="206"/>
      <c r="IC30" s="386"/>
      <c r="ID30" s="386"/>
      <c r="IE30" s="386"/>
      <c r="IF30" s="386"/>
      <c r="IG30" s="386"/>
      <c r="IH30" s="386"/>
      <c r="II30" s="386"/>
      <c r="IJ30" s="386"/>
      <c r="IK30" s="386"/>
      <c r="IL30" s="386"/>
      <c r="IM30" s="386"/>
      <c r="IN30" s="206"/>
      <c r="IO30" s="206"/>
      <c r="IP30" s="386"/>
      <c r="IQ30" s="386"/>
      <c r="IR30" s="386"/>
      <c r="IS30" s="386"/>
      <c r="IT30" s="386"/>
      <c r="IU30" s="386"/>
      <c r="IV30" s="386"/>
    </row>
    <row r="31" spans="1:256" x14ac:dyDescent="0.2">
      <c r="A31" s="217"/>
      <c r="B31" s="218"/>
      <c r="C31" s="388"/>
      <c r="D31" s="388"/>
      <c r="E31" s="388"/>
      <c r="F31" s="388"/>
      <c r="G31" s="388"/>
      <c r="H31" s="388"/>
      <c r="I31" s="388"/>
      <c r="J31" s="388"/>
      <c r="K31" s="388"/>
      <c r="L31" s="388"/>
      <c r="M31" s="389"/>
      <c r="N31" s="210"/>
      <c r="O31" s="210"/>
      <c r="P31" s="387"/>
      <c r="Q31" s="387"/>
      <c r="R31" s="387"/>
      <c r="S31" s="387"/>
      <c r="T31" s="387"/>
      <c r="U31" s="387"/>
      <c r="V31" s="387"/>
      <c r="W31" s="387"/>
      <c r="X31" s="387"/>
      <c r="Y31" s="387"/>
      <c r="Z31" s="387"/>
      <c r="AA31" s="206"/>
      <c r="AB31" s="206"/>
      <c r="AC31" s="386"/>
      <c r="AD31" s="386"/>
      <c r="AE31" s="386"/>
      <c r="AF31" s="386"/>
      <c r="AG31" s="386"/>
      <c r="AH31" s="386"/>
      <c r="AI31" s="386"/>
      <c r="AJ31" s="386"/>
      <c r="AK31" s="386"/>
      <c r="AL31" s="386"/>
      <c r="AM31" s="386"/>
      <c r="AN31" s="206"/>
      <c r="AO31" s="206"/>
      <c r="AP31" s="386"/>
      <c r="AQ31" s="386"/>
      <c r="AR31" s="386"/>
      <c r="AS31" s="386"/>
      <c r="AT31" s="386"/>
      <c r="AU31" s="386"/>
      <c r="AV31" s="386"/>
      <c r="AW31" s="386"/>
      <c r="AX31" s="386"/>
      <c r="AY31" s="386"/>
      <c r="AZ31" s="386"/>
      <c r="BA31" s="206"/>
      <c r="BB31" s="206"/>
      <c r="BC31" s="386"/>
      <c r="BD31" s="386"/>
      <c r="BE31" s="386"/>
      <c r="BF31" s="386"/>
      <c r="BG31" s="386"/>
      <c r="BH31" s="386"/>
      <c r="BI31" s="386"/>
      <c r="BJ31" s="386"/>
      <c r="BK31" s="386"/>
      <c r="BL31" s="386"/>
      <c r="BM31" s="386"/>
      <c r="BN31" s="206"/>
      <c r="BO31" s="206"/>
      <c r="BP31" s="386"/>
      <c r="BQ31" s="386"/>
      <c r="BR31" s="386"/>
      <c r="BS31" s="386"/>
      <c r="BT31" s="386"/>
      <c r="BU31" s="386"/>
      <c r="BV31" s="386"/>
      <c r="BW31" s="386"/>
      <c r="BX31" s="386"/>
      <c r="BY31" s="386"/>
      <c r="BZ31" s="386"/>
      <c r="CA31" s="206"/>
      <c r="CB31" s="206"/>
      <c r="CC31" s="386"/>
      <c r="CD31" s="386"/>
      <c r="CE31" s="386"/>
      <c r="CF31" s="386"/>
      <c r="CG31" s="386"/>
      <c r="CH31" s="386"/>
      <c r="CI31" s="386"/>
      <c r="CJ31" s="386"/>
      <c r="CK31" s="386"/>
      <c r="CL31" s="386"/>
      <c r="CM31" s="386"/>
      <c r="CN31" s="206"/>
      <c r="CO31" s="206"/>
      <c r="CP31" s="386"/>
      <c r="CQ31" s="386"/>
      <c r="CR31" s="386"/>
      <c r="CS31" s="386"/>
      <c r="CT31" s="386"/>
      <c r="CU31" s="386"/>
      <c r="CV31" s="386"/>
      <c r="CW31" s="386"/>
      <c r="CX31" s="386"/>
      <c r="CY31" s="386"/>
      <c r="CZ31" s="386"/>
      <c r="DA31" s="206"/>
      <c r="DB31" s="206"/>
      <c r="DC31" s="386"/>
      <c r="DD31" s="386"/>
      <c r="DE31" s="386"/>
      <c r="DF31" s="386"/>
      <c r="DG31" s="386"/>
      <c r="DH31" s="386"/>
      <c r="DI31" s="386"/>
      <c r="DJ31" s="386"/>
      <c r="DK31" s="386"/>
      <c r="DL31" s="386"/>
      <c r="DM31" s="386"/>
      <c r="DN31" s="206"/>
      <c r="DO31" s="206"/>
      <c r="DP31" s="386"/>
      <c r="DQ31" s="386"/>
      <c r="DR31" s="386"/>
      <c r="DS31" s="386"/>
      <c r="DT31" s="386"/>
      <c r="DU31" s="386"/>
      <c r="DV31" s="386"/>
      <c r="DW31" s="386"/>
      <c r="DX31" s="386"/>
      <c r="DY31" s="386"/>
      <c r="DZ31" s="386"/>
      <c r="EA31" s="206"/>
      <c r="EB31" s="206"/>
      <c r="EC31" s="386"/>
      <c r="ED31" s="386"/>
      <c r="EE31" s="386"/>
      <c r="EF31" s="386"/>
      <c r="EG31" s="386"/>
      <c r="EH31" s="386"/>
      <c r="EI31" s="386"/>
      <c r="EJ31" s="386"/>
      <c r="EK31" s="386"/>
      <c r="EL31" s="386"/>
      <c r="EM31" s="386"/>
      <c r="EN31" s="206"/>
      <c r="EO31" s="206"/>
      <c r="EP31" s="386"/>
      <c r="EQ31" s="386"/>
      <c r="ER31" s="386"/>
      <c r="ES31" s="386"/>
      <c r="ET31" s="386"/>
      <c r="EU31" s="386"/>
      <c r="EV31" s="386"/>
      <c r="EW31" s="386"/>
      <c r="EX31" s="386"/>
      <c r="EY31" s="386"/>
      <c r="EZ31" s="386"/>
      <c r="FA31" s="206"/>
      <c r="FB31" s="206"/>
      <c r="FC31" s="386"/>
      <c r="FD31" s="386"/>
      <c r="FE31" s="386"/>
      <c r="FF31" s="386"/>
      <c r="FG31" s="386"/>
      <c r="FH31" s="386"/>
      <c r="FI31" s="386"/>
      <c r="FJ31" s="386"/>
      <c r="FK31" s="386"/>
      <c r="FL31" s="386"/>
      <c r="FM31" s="386"/>
      <c r="FN31" s="206"/>
      <c r="FO31" s="206"/>
      <c r="FP31" s="386"/>
      <c r="FQ31" s="386"/>
      <c r="FR31" s="386"/>
      <c r="FS31" s="386"/>
      <c r="FT31" s="386"/>
      <c r="FU31" s="386"/>
      <c r="FV31" s="386"/>
      <c r="FW31" s="386"/>
      <c r="FX31" s="386"/>
      <c r="FY31" s="386"/>
      <c r="FZ31" s="386"/>
      <c r="GA31" s="206"/>
      <c r="GB31" s="206"/>
      <c r="GC31" s="386"/>
      <c r="GD31" s="386"/>
      <c r="GE31" s="386"/>
      <c r="GF31" s="386"/>
      <c r="GG31" s="386"/>
      <c r="GH31" s="386"/>
      <c r="GI31" s="386"/>
      <c r="GJ31" s="386"/>
      <c r="GK31" s="386"/>
      <c r="GL31" s="386"/>
      <c r="GM31" s="386"/>
      <c r="GN31" s="206"/>
      <c r="GO31" s="206"/>
      <c r="GP31" s="386"/>
      <c r="GQ31" s="386"/>
      <c r="GR31" s="386"/>
      <c r="GS31" s="386"/>
      <c r="GT31" s="386"/>
      <c r="GU31" s="386"/>
      <c r="GV31" s="386"/>
      <c r="GW31" s="386"/>
      <c r="GX31" s="386"/>
      <c r="GY31" s="386"/>
      <c r="GZ31" s="386"/>
      <c r="HA31" s="206"/>
      <c r="HB31" s="206"/>
      <c r="HC31" s="386"/>
      <c r="HD31" s="386"/>
      <c r="HE31" s="386"/>
      <c r="HF31" s="386"/>
      <c r="HG31" s="386"/>
      <c r="HH31" s="386"/>
      <c r="HI31" s="386"/>
      <c r="HJ31" s="386"/>
      <c r="HK31" s="386"/>
      <c r="HL31" s="386"/>
      <c r="HM31" s="386"/>
      <c r="HN31" s="206"/>
      <c r="HO31" s="206"/>
      <c r="HP31" s="386"/>
      <c r="HQ31" s="386"/>
      <c r="HR31" s="386"/>
      <c r="HS31" s="386"/>
      <c r="HT31" s="386"/>
      <c r="HU31" s="386"/>
      <c r="HV31" s="386"/>
      <c r="HW31" s="386"/>
      <c r="HX31" s="386"/>
      <c r="HY31" s="386"/>
      <c r="HZ31" s="386"/>
      <c r="IA31" s="206"/>
      <c r="IB31" s="206"/>
      <c r="IC31" s="386"/>
      <c r="ID31" s="386"/>
      <c r="IE31" s="386"/>
      <c r="IF31" s="386"/>
      <c r="IG31" s="386"/>
      <c r="IH31" s="386"/>
      <c r="II31" s="386"/>
      <c r="IJ31" s="386"/>
      <c r="IK31" s="386"/>
      <c r="IL31" s="386"/>
      <c r="IM31" s="386"/>
      <c r="IN31" s="206"/>
      <c r="IO31" s="206"/>
      <c r="IP31" s="386"/>
      <c r="IQ31" s="386"/>
      <c r="IR31" s="386"/>
      <c r="IS31" s="386"/>
      <c r="IT31" s="386"/>
      <c r="IU31" s="386"/>
      <c r="IV31" s="386"/>
    </row>
    <row r="32" spans="1:256" x14ac:dyDescent="0.2">
      <c r="A32" s="217"/>
      <c r="B32" s="218"/>
      <c r="C32" s="388"/>
      <c r="D32" s="388"/>
      <c r="E32" s="388"/>
      <c r="F32" s="388"/>
      <c r="G32" s="388"/>
      <c r="H32" s="388"/>
      <c r="I32" s="388"/>
      <c r="J32" s="388"/>
      <c r="K32" s="388"/>
      <c r="L32" s="388"/>
      <c r="M32" s="389"/>
      <c r="N32" s="222"/>
      <c r="O32" s="222"/>
      <c r="P32" s="398"/>
      <c r="Q32" s="398"/>
      <c r="R32" s="398"/>
      <c r="S32" s="398"/>
      <c r="T32" s="398"/>
      <c r="U32" s="398"/>
      <c r="V32" s="398"/>
      <c r="W32" s="398"/>
      <c r="X32" s="398"/>
      <c r="Y32" s="398"/>
      <c r="Z32" s="399"/>
      <c r="AA32" s="217"/>
      <c r="AB32" s="218"/>
      <c r="AC32" s="388"/>
      <c r="AD32" s="388"/>
      <c r="AE32" s="388"/>
      <c r="AF32" s="388"/>
      <c r="AG32" s="388"/>
      <c r="AH32" s="388"/>
      <c r="AI32" s="388"/>
      <c r="AJ32" s="388"/>
      <c r="AK32" s="388"/>
      <c r="AL32" s="388"/>
      <c r="AM32" s="389"/>
      <c r="AN32" s="217"/>
      <c r="AO32" s="218"/>
      <c r="AP32" s="388"/>
      <c r="AQ32" s="388"/>
      <c r="AR32" s="388"/>
      <c r="AS32" s="388"/>
      <c r="AT32" s="388"/>
      <c r="AU32" s="388"/>
      <c r="AV32" s="388"/>
      <c r="AW32" s="388"/>
      <c r="AX32" s="388"/>
      <c r="AY32" s="388"/>
      <c r="AZ32" s="389"/>
      <c r="BA32" s="217"/>
      <c r="BB32" s="218"/>
      <c r="BC32" s="388"/>
      <c r="BD32" s="388"/>
      <c r="BE32" s="388"/>
      <c r="BF32" s="388"/>
      <c r="BG32" s="388"/>
      <c r="BH32" s="388"/>
      <c r="BI32" s="388"/>
      <c r="BJ32" s="388"/>
      <c r="BK32" s="388"/>
      <c r="BL32" s="388"/>
      <c r="BM32" s="389"/>
      <c r="BN32" s="217"/>
      <c r="BO32" s="218"/>
      <c r="BP32" s="388"/>
      <c r="BQ32" s="388"/>
      <c r="BR32" s="388"/>
      <c r="BS32" s="388"/>
      <c r="BT32" s="388"/>
      <c r="BU32" s="388"/>
      <c r="BV32" s="388"/>
      <c r="BW32" s="388"/>
      <c r="BX32" s="388"/>
      <c r="BY32" s="388"/>
      <c r="BZ32" s="389"/>
      <c r="CA32" s="217"/>
      <c r="CB32" s="218"/>
      <c r="CC32" s="388"/>
      <c r="CD32" s="388"/>
      <c r="CE32" s="388"/>
      <c r="CF32" s="388"/>
      <c r="CG32" s="388"/>
      <c r="CH32" s="388"/>
      <c r="CI32" s="388"/>
      <c r="CJ32" s="388"/>
      <c r="CK32" s="388"/>
      <c r="CL32" s="388"/>
      <c r="CM32" s="389"/>
      <c r="CN32" s="217"/>
      <c r="CO32" s="218"/>
      <c r="CP32" s="388"/>
      <c r="CQ32" s="388"/>
      <c r="CR32" s="388"/>
      <c r="CS32" s="388"/>
      <c r="CT32" s="388"/>
      <c r="CU32" s="388"/>
      <c r="CV32" s="388"/>
      <c r="CW32" s="388"/>
      <c r="CX32" s="388"/>
      <c r="CY32" s="388"/>
      <c r="CZ32" s="389"/>
      <c r="DA32" s="217"/>
      <c r="DB32" s="218"/>
      <c r="DC32" s="388"/>
      <c r="DD32" s="388"/>
      <c r="DE32" s="388"/>
      <c r="DF32" s="388"/>
      <c r="DG32" s="388"/>
      <c r="DH32" s="388"/>
      <c r="DI32" s="388"/>
      <c r="DJ32" s="388"/>
      <c r="DK32" s="388"/>
      <c r="DL32" s="388"/>
      <c r="DM32" s="389"/>
      <c r="DN32" s="217"/>
      <c r="DO32" s="218"/>
      <c r="DP32" s="388"/>
      <c r="DQ32" s="388"/>
      <c r="DR32" s="388"/>
      <c r="DS32" s="388"/>
      <c r="DT32" s="388"/>
      <c r="DU32" s="388"/>
      <c r="DV32" s="388"/>
      <c r="DW32" s="388"/>
      <c r="DX32" s="388"/>
      <c r="DY32" s="388"/>
      <c r="DZ32" s="389"/>
      <c r="EA32" s="217"/>
      <c r="EB32" s="218"/>
      <c r="EC32" s="388"/>
      <c r="ED32" s="388"/>
      <c r="EE32" s="388"/>
      <c r="EF32" s="388"/>
      <c r="EG32" s="388"/>
      <c r="EH32" s="388"/>
      <c r="EI32" s="388"/>
      <c r="EJ32" s="388"/>
      <c r="EK32" s="388"/>
      <c r="EL32" s="388"/>
      <c r="EM32" s="389"/>
      <c r="EN32" s="217"/>
      <c r="EO32" s="218"/>
      <c r="EP32" s="388"/>
      <c r="EQ32" s="388"/>
      <c r="ER32" s="388"/>
      <c r="ES32" s="388"/>
      <c r="ET32" s="388"/>
      <c r="EU32" s="388"/>
      <c r="EV32" s="388"/>
      <c r="EW32" s="388"/>
      <c r="EX32" s="388"/>
      <c r="EY32" s="388"/>
      <c r="EZ32" s="389"/>
      <c r="FA32" s="217"/>
      <c r="FB32" s="218"/>
      <c r="FC32" s="388"/>
      <c r="FD32" s="388"/>
      <c r="FE32" s="388"/>
      <c r="FF32" s="388"/>
      <c r="FG32" s="388"/>
      <c r="FH32" s="388"/>
      <c r="FI32" s="388"/>
      <c r="FJ32" s="388"/>
      <c r="FK32" s="388"/>
      <c r="FL32" s="388"/>
      <c r="FM32" s="389"/>
      <c r="FN32" s="217"/>
      <c r="FO32" s="218"/>
      <c r="FP32" s="388"/>
      <c r="FQ32" s="388"/>
      <c r="FR32" s="388"/>
      <c r="FS32" s="388"/>
      <c r="FT32" s="388"/>
      <c r="FU32" s="388"/>
      <c r="FV32" s="388"/>
      <c r="FW32" s="388"/>
      <c r="FX32" s="388"/>
      <c r="FY32" s="388"/>
      <c r="FZ32" s="389"/>
      <c r="GA32" s="217"/>
      <c r="GB32" s="218"/>
      <c r="GC32" s="388"/>
      <c r="GD32" s="388"/>
      <c r="GE32" s="388"/>
      <c r="GF32" s="388"/>
      <c r="GG32" s="388"/>
      <c r="GH32" s="388"/>
      <c r="GI32" s="388"/>
      <c r="GJ32" s="388"/>
      <c r="GK32" s="388"/>
      <c r="GL32" s="388"/>
      <c r="GM32" s="389"/>
      <c r="GN32" s="217"/>
      <c r="GO32" s="218"/>
      <c r="GP32" s="388"/>
      <c r="GQ32" s="388"/>
      <c r="GR32" s="388"/>
      <c r="GS32" s="388"/>
      <c r="GT32" s="388"/>
      <c r="GU32" s="388"/>
      <c r="GV32" s="388"/>
      <c r="GW32" s="388"/>
      <c r="GX32" s="388"/>
      <c r="GY32" s="388"/>
      <c r="GZ32" s="389"/>
      <c r="HA32" s="217"/>
      <c r="HB32" s="218"/>
      <c r="HC32" s="388"/>
      <c r="HD32" s="388"/>
      <c r="HE32" s="388"/>
      <c r="HF32" s="388"/>
      <c r="HG32" s="388"/>
      <c r="HH32" s="388"/>
      <c r="HI32" s="388"/>
      <c r="HJ32" s="388"/>
      <c r="HK32" s="388"/>
      <c r="HL32" s="388"/>
      <c r="HM32" s="389"/>
      <c r="HN32" s="217"/>
      <c r="HO32" s="218"/>
      <c r="HP32" s="388"/>
      <c r="HQ32" s="388"/>
      <c r="HR32" s="388"/>
      <c r="HS32" s="388"/>
      <c r="HT32" s="388"/>
      <c r="HU32" s="388"/>
      <c r="HV32" s="388"/>
      <c r="HW32" s="388"/>
      <c r="HX32" s="388"/>
      <c r="HY32" s="388"/>
      <c r="HZ32" s="389"/>
      <c r="IA32" s="217"/>
      <c r="IB32" s="218"/>
      <c r="IC32" s="388"/>
      <c r="ID32" s="388"/>
      <c r="IE32" s="388"/>
      <c r="IF32" s="388"/>
      <c r="IG32" s="388"/>
      <c r="IH32" s="388"/>
      <c r="II32" s="388"/>
      <c r="IJ32" s="388"/>
      <c r="IK32" s="388"/>
      <c r="IL32" s="388"/>
      <c r="IM32" s="389"/>
      <c r="IN32" s="217"/>
      <c r="IO32" s="218"/>
      <c r="IP32" s="388"/>
      <c r="IQ32" s="388"/>
      <c r="IR32" s="388"/>
      <c r="IS32" s="388"/>
      <c r="IT32" s="388"/>
      <c r="IU32" s="388"/>
      <c r="IV32" s="388"/>
    </row>
    <row r="33" spans="1:256" x14ac:dyDescent="0.2">
      <c r="A33" s="217"/>
      <c r="B33" s="218"/>
      <c r="C33" s="388"/>
      <c r="D33" s="388"/>
      <c r="E33" s="388"/>
      <c r="F33" s="388"/>
      <c r="G33" s="388"/>
      <c r="H33" s="388"/>
      <c r="I33" s="388"/>
      <c r="J33" s="388"/>
      <c r="K33" s="388"/>
      <c r="L33" s="388"/>
      <c r="M33" s="389"/>
      <c r="N33" s="210"/>
      <c r="O33" s="210"/>
      <c r="P33" s="221"/>
      <c r="Q33" s="221"/>
      <c r="R33" s="221"/>
      <c r="S33" s="221"/>
      <c r="T33" s="221"/>
      <c r="U33" s="221"/>
      <c r="V33" s="221"/>
      <c r="W33" s="221"/>
      <c r="X33" s="221"/>
      <c r="Y33" s="221"/>
      <c r="Z33" s="221"/>
      <c r="AA33" s="206"/>
      <c r="AB33" s="206"/>
      <c r="AC33" s="211"/>
      <c r="AD33" s="211"/>
      <c r="AE33" s="211"/>
      <c r="AF33" s="211"/>
      <c r="AG33" s="211"/>
      <c r="AH33" s="211"/>
      <c r="AI33" s="211"/>
      <c r="AJ33" s="211"/>
      <c r="AK33" s="211"/>
      <c r="AL33" s="211"/>
      <c r="AM33" s="211"/>
      <c r="AN33" s="206"/>
      <c r="AO33" s="206"/>
      <c r="AP33" s="211"/>
      <c r="AQ33" s="211"/>
      <c r="AR33" s="211"/>
      <c r="AS33" s="211"/>
      <c r="AT33" s="211"/>
      <c r="AU33" s="211"/>
      <c r="AV33" s="211"/>
      <c r="AW33" s="211"/>
      <c r="AX33" s="211"/>
      <c r="AY33" s="211"/>
      <c r="AZ33" s="211"/>
      <c r="BA33" s="206"/>
      <c r="BB33" s="206"/>
      <c r="BC33" s="211"/>
      <c r="BD33" s="211"/>
      <c r="BE33" s="211"/>
      <c r="BF33" s="211"/>
      <c r="BG33" s="211"/>
      <c r="BH33" s="211"/>
      <c r="BI33" s="211"/>
      <c r="BJ33" s="211"/>
      <c r="BK33" s="211"/>
      <c r="BL33" s="211"/>
      <c r="BM33" s="211"/>
      <c r="BN33" s="206"/>
      <c r="BO33" s="206"/>
      <c r="BP33" s="211"/>
      <c r="BQ33" s="211"/>
      <c r="BR33" s="211"/>
      <c r="BS33" s="211"/>
      <c r="BT33" s="211"/>
      <c r="BU33" s="211"/>
      <c r="BV33" s="211"/>
      <c r="BW33" s="211"/>
      <c r="BX33" s="211"/>
      <c r="BY33" s="211"/>
      <c r="BZ33" s="211"/>
      <c r="CA33" s="206"/>
      <c r="CB33" s="206"/>
      <c r="CC33" s="211"/>
      <c r="CD33" s="211"/>
      <c r="CE33" s="211"/>
      <c r="CF33" s="211"/>
      <c r="CG33" s="211"/>
      <c r="CH33" s="211"/>
      <c r="CI33" s="211"/>
      <c r="CJ33" s="211"/>
      <c r="CK33" s="211"/>
      <c r="CL33" s="211"/>
      <c r="CM33" s="211"/>
      <c r="CN33" s="206"/>
      <c r="CO33" s="206"/>
      <c r="CP33" s="211"/>
      <c r="CQ33" s="211"/>
      <c r="CR33" s="211"/>
      <c r="CS33" s="211"/>
      <c r="CT33" s="211"/>
      <c r="CU33" s="211"/>
      <c r="CV33" s="211"/>
      <c r="CW33" s="211"/>
      <c r="CX33" s="211"/>
      <c r="CY33" s="211"/>
      <c r="CZ33" s="211"/>
      <c r="DA33" s="206"/>
      <c r="DB33" s="206"/>
      <c r="DC33" s="211"/>
      <c r="DD33" s="211"/>
      <c r="DE33" s="211"/>
      <c r="DF33" s="211"/>
      <c r="DG33" s="211"/>
      <c r="DH33" s="211"/>
      <c r="DI33" s="211"/>
      <c r="DJ33" s="211"/>
      <c r="DK33" s="211"/>
      <c r="DL33" s="211"/>
      <c r="DM33" s="211"/>
      <c r="DN33" s="206"/>
      <c r="DO33" s="206"/>
      <c r="DP33" s="211"/>
      <c r="DQ33" s="211"/>
      <c r="DR33" s="211"/>
      <c r="DS33" s="211"/>
      <c r="DT33" s="211"/>
      <c r="DU33" s="211"/>
      <c r="DV33" s="211"/>
      <c r="DW33" s="211"/>
      <c r="DX33" s="211"/>
      <c r="DY33" s="211"/>
      <c r="DZ33" s="211"/>
      <c r="EA33" s="206"/>
      <c r="EB33" s="206"/>
      <c r="EC33" s="211"/>
      <c r="ED33" s="211"/>
      <c r="EE33" s="211"/>
      <c r="EF33" s="211"/>
      <c r="EG33" s="211"/>
      <c r="EH33" s="211"/>
      <c r="EI33" s="211"/>
      <c r="EJ33" s="211"/>
      <c r="EK33" s="211"/>
      <c r="EL33" s="211"/>
      <c r="EM33" s="211"/>
      <c r="EN33" s="206"/>
      <c r="EO33" s="206"/>
      <c r="EP33" s="211"/>
      <c r="EQ33" s="211"/>
      <c r="ER33" s="211"/>
      <c r="ES33" s="211"/>
      <c r="ET33" s="211"/>
      <c r="EU33" s="211"/>
      <c r="EV33" s="211"/>
      <c r="EW33" s="211"/>
      <c r="EX33" s="211"/>
      <c r="EY33" s="211"/>
      <c r="EZ33" s="211"/>
      <c r="FA33" s="206"/>
      <c r="FB33" s="206"/>
      <c r="FC33" s="211"/>
      <c r="FD33" s="211"/>
      <c r="FE33" s="211"/>
      <c r="FF33" s="211"/>
      <c r="FG33" s="211"/>
      <c r="FH33" s="211"/>
      <c r="FI33" s="211"/>
      <c r="FJ33" s="211"/>
      <c r="FK33" s="211"/>
      <c r="FL33" s="211"/>
      <c r="FM33" s="211"/>
      <c r="FN33" s="206"/>
      <c r="FO33" s="206"/>
      <c r="FP33" s="211"/>
      <c r="FQ33" s="211"/>
      <c r="FR33" s="211"/>
      <c r="FS33" s="211"/>
      <c r="FT33" s="211"/>
      <c r="FU33" s="211"/>
      <c r="FV33" s="211"/>
      <c r="FW33" s="211"/>
      <c r="FX33" s="211"/>
      <c r="FY33" s="211"/>
      <c r="FZ33" s="211"/>
      <c r="GA33" s="206"/>
      <c r="GB33" s="206"/>
      <c r="GC33" s="211"/>
      <c r="GD33" s="211"/>
      <c r="GE33" s="211"/>
      <c r="GF33" s="211"/>
      <c r="GG33" s="211"/>
      <c r="GH33" s="211"/>
      <c r="GI33" s="211"/>
      <c r="GJ33" s="211"/>
      <c r="GK33" s="211"/>
      <c r="GL33" s="211"/>
      <c r="GM33" s="211"/>
      <c r="GN33" s="206"/>
      <c r="GO33" s="206"/>
      <c r="GP33" s="211"/>
      <c r="GQ33" s="211"/>
      <c r="GR33" s="211"/>
      <c r="GS33" s="211"/>
      <c r="GT33" s="211"/>
      <c r="GU33" s="211"/>
      <c r="GV33" s="211"/>
      <c r="GW33" s="211"/>
      <c r="GX33" s="211"/>
      <c r="GY33" s="211"/>
      <c r="GZ33" s="211"/>
      <c r="HA33" s="206"/>
      <c r="HB33" s="206"/>
      <c r="HC33" s="211"/>
      <c r="HD33" s="211"/>
      <c r="HE33" s="211"/>
      <c r="HF33" s="211"/>
      <c r="HG33" s="211"/>
      <c r="HH33" s="211"/>
      <c r="HI33" s="211"/>
      <c r="HJ33" s="211"/>
      <c r="HK33" s="211"/>
      <c r="HL33" s="211"/>
      <c r="HM33" s="211"/>
      <c r="HN33" s="206"/>
      <c r="HO33" s="206"/>
      <c r="HP33" s="211"/>
      <c r="HQ33" s="211"/>
      <c r="HR33" s="211"/>
      <c r="HS33" s="211"/>
      <c r="HT33" s="211"/>
      <c r="HU33" s="211"/>
      <c r="HV33" s="211"/>
      <c r="HW33" s="211"/>
      <c r="HX33" s="211"/>
      <c r="HY33" s="211"/>
      <c r="HZ33" s="211"/>
      <c r="IA33" s="206"/>
      <c r="IB33" s="206"/>
      <c r="IC33" s="211"/>
      <c r="ID33" s="211"/>
      <c r="IE33" s="211"/>
      <c r="IF33" s="211"/>
      <c r="IG33" s="211"/>
      <c r="IH33" s="211"/>
      <c r="II33" s="211"/>
      <c r="IJ33" s="211"/>
      <c r="IK33" s="211"/>
      <c r="IL33" s="211"/>
      <c r="IM33" s="211"/>
      <c r="IN33" s="206"/>
      <c r="IO33" s="206"/>
      <c r="IP33" s="211"/>
      <c r="IQ33" s="211"/>
      <c r="IR33" s="211"/>
      <c r="IS33" s="211"/>
      <c r="IT33" s="211"/>
      <c r="IU33" s="211"/>
      <c r="IV33" s="211"/>
    </row>
    <row r="34" spans="1:256" x14ac:dyDescent="0.2">
      <c r="A34" s="217"/>
      <c r="B34" s="218"/>
      <c r="C34" s="388"/>
      <c r="D34" s="388"/>
      <c r="E34" s="388"/>
      <c r="F34" s="388"/>
      <c r="G34" s="388"/>
      <c r="H34" s="388"/>
      <c r="I34" s="388"/>
      <c r="J34" s="388"/>
      <c r="K34" s="388"/>
      <c r="L34" s="388"/>
      <c r="M34" s="389"/>
      <c r="N34" s="210"/>
      <c r="O34" s="210"/>
      <c r="P34" s="221"/>
      <c r="Q34" s="221"/>
      <c r="R34" s="221"/>
      <c r="S34" s="221"/>
      <c r="T34" s="221"/>
      <c r="U34" s="221"/>
      <c r="V34" s="221"/>
      <c r="W34" s="221"/>
      <c r="X34" s="221"/>
      <c r="Y34" s="221"/>
      <c r="Z34" s="221"/>
      <c r="AA34" s="206"/>
      <c r="AB34" s="206"/>
      <c r="AC34" s="211"/>
      <c r="AD34" s="211"/>
      <c r="AE34" s="211"/>
      <c r="AF34" s="211"/>
      <c r="AG34" s="211"/>
      <c r="AH34" s="211"/>
      <c r="AI34" s="211"/>
      <c r="AJ34" s="211"/>
      <c r="AK34" s="211"/>
      <c r="AL34" s="211"/>
      <c r="AM34" s="211"/>
      <c r="AN34" s="206"/>
      <c r="AO34" s="206"/>
      <c r="AP34" s="211"/>
      <c r="AQ34" s="211"/>
      <c r="AR34" s="211"/>
      <c r="AS34" s="211"/>
      <c r="AT34" s="211"/>
      <c r="AU34" s="211"/>
      <c r="AV34" s="211"/>
      <c r="AW34" s="211"/>
      <c r="AX34" s="211"/>
      <c r="AY34" s="211"/>
      <c r="AZ34" s="211"/>
      <c r="BA34" s="206"/>
      <c r="BB34" s="206"/>
      <c r="BC34" s="211"/>
      <c r="BD34" s="211"/>
      <c r="BE34" s="211"/>
      <c r="BF34" s="211"/>
      <c r="BG34" s="211"/>
      <c r="BH34" s="211"/>
      <c r="BI34" s="211"/>
      <c r="BJ34" s="211"/>
      <c r="BK34" s="211"/>
      <c r="BL34" s="211"/>
      <c r="BM34" s="211"/>
      <c r="BN34" s="206"/>
      <c r="BO34" s="206"/>
      <c r="BP34" s="211"/>
      <c r="BQ34" s="211"/>
      <c r="BR34" s="211"/>
      <c r="BS34" s="211"/>
      <c r="BT34" s="211"/>
      <c r="BU34" s="211"/>
      <c r="BV34" s="211"/>
      <c r="BW34" s="211"/>
      <c r="BX34" s="211"/>
      <c r="BY34" s="211"/>
      <c r="BZ34" s="211"/>
      <c r="CA34" s="206"/>
      <c r="CB34" s="206"/>
      <c r="CC34" s="211"/>
      <c r="CD34" s="211"/>
      <c r="CE34" s="211"/>
      <c r="CF34" s="211"/>
      <c r="CG34" s="211"/>
      <c r="CH34" s="211"/>
      <c r="CI34" s="211"/>
      <c r="CJ34" s="211"/>
      <c r="CK34" s="211"/>
      <c r="CL34" s="211"/>
      <c r="CM34" s="211"/>
      <c r="CN34" s="206"/>
      <c r="CO34" s="206"/>
      <c r="CP34" s="211"/>
      <c r="CQ34" s="211"/>
      <c r="CR34" s="211"/>
      <c r="CS34" s="211"/>
      <c r="CT34" s="211"/>
      <c r="CU34" s="211"/>
      <c r="CV34" s="211"/>
      <c r="CW34" s="211"/>
      <c r="CX34" s="211"/>
      <c r="CY34" s="211"/>
      <c r="CZ34" s="211"/>
      <c r="DA34" s="206"/>
      <c r="DB34" s="206"/>
      <c r="DC34" s="211"/>
      <c r="DD34" s="211"/>
      <c r="DE34" s="211"/>
      <c r="DF34" s="211"/>
      <c r="DG34" s="211"/>
      <c r="DH34" s="211"/>
      <c r="DI34" s="211"/>
      <c r="DJ34" s="211"/>
      <c r="DK34" s="211"/>
      <c r="DL34" s="211"/>
      <c r="DM34" s="211"/>
      <c r="DN34" s="206"/>
      <c r="DO34" s="206"/>
      <c r="DP34" s="211"/>
      <c r="DQ34" s="211"/>
      <c r="DR34" s="211"/>
      <c r="DS34" s="211"/>
      <c r="DT34" s="211"/>
      <c r="DU34" s="211"/>
      <c r="DV34" s="211"/>
      <c r="DW34" s="211"/>
      <c r="DX34" s="211"/>
      <c r="DY34" s="211"/>
      <c r="DZ34" s="211"/>
      <c r="EA34" s="206"/>
      <c r="EB34" s="206"/>
      <c r="EC34" s="211"/>
      <c r="ED34" s="211"/>
      <c r="EE34" s="211"/>
      <c r="EF34" s="211"/>
      <c r="EG34" s="211"/>
      <c r="EH34" s="211"/>
      <c r="EI34" s="211"/>
      <c r="EJ34" s="211"/>
      <c r="EK34" s="211"/>
      <c r="EL34" s="211"/>
      <c r="EM34" s="211"/>
      <c r="EN34" s="206"/>
      <c r="EO34" s="206"/>
      <c r="EP34" s="211"/>
      <c r="EQ34" s="211"/>
      <c r="ER34" s="211"/>
      <c r="ES34" s="211"/>
      <c r="ET34" s="211"/>
      <c r="EU34" s="211"/>
      <c r="EV34" s="211"/>
      <c r="EW34" s="211"/>
      <c r="EX34" s="211"/>
      <c r="EY34" s="211"/>
      <c r="EZ34" s="211"/>
      <c r="FA34" s="206"/>
      <c r="FB34" s="206"/>
      <c r="FC34" s="211"/>
      <c r="FD34" s="211"/>
      <c r="FE34" s="211"/>
      <c r="FF34" s="211"/>
      <c r="FG34" s="211"/>
      <c r="FH34" s="211"/>
      <c r="FI34" s="211"/>
      <c r="FJ34" s="211"/>
      <c r="FK34" s="211"/>
      <c r="FL34" s="211"/>
      <c r="FM34" s="211"/>
      <c r="FN34" s="206"/>
      <c r="FO34" s="206"/>
      <c r="FP34" s="211"/>
      <c r="FQ34" s="211"/>
      <c r="FR34" s="211"/>
      <c r="FS34" s="211"/>
      <c r="FT34" s="211"/>
      <c r="FU34" s="211"/>
      <c r="FV34" s="211"/>
      <c r="FW34" s="211"/>
      <c r="FX34" s="211"/>
      <c r="FY34" s="211"/>
      <c r="FZ34" s="211"/>
      <c r="GA34" s="206"/>
      <c r="GB34" s="206"/>
      <c r="GC34" s="211"/>
      <c r="GD34" s="211"/>
      <c r="GE34" s="211"/>
      <c r="GF34" s="211"/>
      <c r="GG34" s="211"/>
      <c r="GH34" s="211"/>
      <c r="GI34" s="211"/>
      <c r="GJ34" s="211"/>
      <c r="GK34" s="211"/>
      <c r="GL34" s="211"/>
      <c r="GM34" s="211"/>
      <c r="GN34" s="206"/>
      <c r="GO34" s="206"/>
      <c r="GP34" s="211"/>
      <c r="GQ34" s="211"/>
      <c r="GR34" s="211"/>
      <c r="GS34" s="211"/>
      <c r="GT34" s="211"/>
      <c r="GU34" s="211"/>
      <c r="GV34" s="211"/>
      <c r="GW34" s="211"/>
      <c r="GX34" s="211"/>
      <c r="GY34" s="211"/>
      <c r="GZ34" s="211"/>
      <c r="HA34" s="206"/>
      <c r="HB34" s="206"/>
      <c r="HC34" s="211"/>
      <c r="HD34" s="211"/>
      <c r="HE34" s="211"/>
      <c r="HF34" s="211"/>
      <c r="HG34" s="211"/>
      <c r="HH34" s="211"/>
      <c r="HI34" s="211"/>
      <c r="HJ34" s="211"/>
      <c r="HK34" s="211"/>
      <c r="HL34" s="211"/>
      <c r="HM34" s="211"/>
      <c r="HN34" s="206"/>
      <c r="HO34" s="206"/>
      <c r="HP34" s="211"/>
      <c r="HQ34" s="211"/>
      <c r="HR34" s="211"/>
      <c r="HS34" s="211"/>
      <c r="HT34" s="211"/>
      <c r="HU34" s="211"/>
      <c r="HV34" s="211"/>
      <c r="HW34" s="211"/>
      <c r="HX34" s="211"/>
      <c r="HY34" s="211"/>
      <c r="HZ34" s="211"/>
      <c r="IA34" s="206"/>
      <c r="IB34" s="206"/>
      <c r="IC34" s="211"/>
      <c r="ID34" s="211"/>
      <c r="IE34" s="211"/>
      <c r="IF34" s="211"/>
      <c r="IG34" s="211"/>
      <c r="IH34" s="211"/>
      <c r="II34" s="211"/>
      <c r="IJ34" s="211"/>
      <c r="IK34" s="211"/>
      <c r="IL34" s="211"/>
      <c r="IM34" s="211"/>
      <c r="IN34" s="206"/>
      <c r="IO34" s="206"/>
      <c r="IP34" s="211"/>
      <c r="IQ34" s="211"/>
      <c r="IR34" s="211"/>
      <c r="IS34" s="211"/>
      <c r="IT34" s="211"/>
      <c r="IU34" s="211"/>
      <c r="IV34" s="211"/>
    </row>
    <row r="35" spans="1:256" x14ac:dyDescent="0.2">
      <c r="A35" s="217"/>
      <c r="B35" s="218"/>
      <c r="C35" s="388"/>
      <c r="D35" s="388"/>
      <c r="E35" s="388"/>
      <c r="F35" s="388"/>
      <c r="G35" s="388"/>
      <c r="H35" s="388"/>
      <c r="I35" s="388"/>
      <c r="J35" s="388"/>
      <c r="K35" s="388"/>
      <c r="L35" s="388"/>
      <c r="M35" s="389"/>
      <c r="N35" s="210"/>
      <c r="O35" s="210"/>
      <c r="P35" s="221"/>
      <c r="Q35" s="221"/>
      <c r="R35" s="221"/>
      <c r="S35" s="221"/>
      <c r="T35" s="221"/>
      <c r="U35" s="221"/>
      <c r="V35" s="221"/>
      <c r="W35" s="221"/>
      <c r="X35" s="221"/>
      <c r="Y35" s="221"/>
      <c r="Z35" s="221"/>
      <c r="AA35" s="206"/>
      <c r="AB35" s="206"/>
      <c r="AC35" s="211"/>
      <c r="AD35" s="211"/>
      <c r="AE35" s="211"/>
      <c r="AF35" s="211"/>
      <c r="AG35" s="211"/>
      <c r="AH35" s="211"/>
      <c r="AI35" s="211"/>
      <c r="AJ35" s="211"/>
      <c r="AK35" s="211"/>
      <c r="AL35" s="211"/>
      <c r="AM35" s="211"/>
      <c r="AN35" s="206"/>
      <c r="AO35" s="206"/>
      <c r="AP35" s="211"/>
      <c r="AQ35" s="211"/>
      <c r="AR35" s="211"/>
      <c r="AS35" s="211"/>
      <c r="AT35" s="211"/>
      <c r="AU35" s="211"/>
      <c r="AV35" s="211"/>
      <c r="AW35" s="211"/>
      <c r="AX35" s="211"/>
      <c r="AY35" s="211"/>
      <c r="AZ35" s="211"/>
      <c r="BA35" s="206"/>
      <c r="BB35" s="206"/>
      <c r="BC35" s="211"/>
      <c r="BD35" s="211"/>
      <c r="BE35" s="211"/>
      <c r="BF35" s="211"/>
      <c r="BG35" s="211"/>
      <c r="BH35" s="211"/>
      <c r="BI35" s="211"/>
      <c r="BJ35" s="211"/>
      <c r="BK35" s="211"/>
      <c r="BL35" s="211"/>
      <c r="BM35" s="211"/>
      <c r="BN35" s="206"/>
      <c r="BO35" s="206"/>
      <c r="BP35" s="211"/>
      <c r="BQ35" s="211"/>
      <c r="BR35" s="211"/>
      <c r="BS35" s="211"/>
      <c r="BT35" s="211"/>
      <c r="BU35" s="211"/>
      <c r="BV35" s="211"/>
      <c r="BW35" s="211"/>
      <c r="BX35" s="211"/>
      <c r="BY35" s="211"/>
      <c r="BZ35" s="211"/>
      <c r="CA35" s="206"/>
      <c r="CB35" s="206"/>
      <c r="CC35" s="211"/>
      <c r="CD35" s="211"/>
      <c r="CE35" s="211"/>
      <c r="CF35" s="211"/>
      <c r="CG35" s="211"/>
      <c r="CH35" s="211"/>
      <c r="CI35" s="211"/>
      <c r="CJ35" s="211"/>
      <c r="CK35" s="211"/>
      <c r="CL35" s="211"/>
      <c r="CM35" s="211"/>
      <c r="CN35" s="206"/>
      <c r="CO35" s="206"/>
      <c r="CP35" s="211"/>
      <c r="CQ35" s="211"/>
      <c r="CR35" s="211"/>
      <c r="CS35" s="211"/>
      <c r="CT35" s="211"/>
      <c r="CU35" s="211"/>
      <c r="CV35" s="211"/>
      <c r="CW35" s="211"/>
      <c r="CX35" s="211"/>
      <c r="CY35" s="211"/>
      <c r="CZ35" s="211"/>
      <c r="DA35" s="206"/>
      <c r="DB35" s="206"/>
      <c r="DC35" s="211"/>
      <c r="DD35" s="211"/>
      <c r="DE35" s="211"/>
      <c r="DF35" s="211"/>
      <c r="DG35" s="211"/>
      <c r="DH35" s="211"/>
      <c r="DI35" s="211"/>
      <c r="DJ35" s="211"/>
      <c r="DK35" s="211"/>
      <c r="DL35" s="211"/>
      <c r="DM35" s="211"/>
      <c r="DN35" s="206"/>
      <c r="DO35" s="206"/>
      <c r="DP35" s="211"/>
      <c r="DQ35" s="211"/>
      <c r="DR35" s="211"/>
      <c r="DS35" s="211"/>
      <c r="DT35" s="211"/>
      <c r="DU35" s="211"/>
      <c r="DV35" s="211"/>
      <c r="DW35" s="211"/>
      <c r="DX35" s="211"/>
      <c r="DY35" s="211"/>
      <c r="DZ35" s="211"/>
      <c r="EA35" s="206"/>
      <c r="EB35" s="206"/>
      <c r="EC35" s="211"/>
      <c r="ED35" s="211"/>
      <c r="EE35" s="211"/>
      <c r="EF35" s="211"/>
      <c r="EG35" s="211"/>
      <c r="EH35" s="211"/>
      <c r="EI35" s="211"/>
      <c r="EJ35" s="211"/>
      <c r="EK35" s="211"/>
      <c r="EL35" s="211"/>
      <c r="EM35" s="211"/>
      <c r="EN35" s="206"/>
      <c r="EO35" s="206"/>
      <c r="EP35" s="211"/>
      <c r="EQ35" s="211"/>
      <c r="ER35" s="211"/>
      <c r="ES35" s="211"/>
      <c r="ET35" s="211"/>
      <c r="EU35" s="211"/>
      <c r="EV35" s="211"/>
      <c r="EW35" s="211"/>
      <c r="EX35" s="211"/>
      <c r="EY35" s="211"/>
      <c r="EZ35" s="211"/>
      <c r="FA35" s="206"/>
      <c r="FB35" s="206"/>
      <c r="FC35" s="211"/>
      <c r="FD35" s="211"/>
      <c r="FE35" s="211"/>
      <c r="FF35" s="211"/>
      <c r="FG35" s="211"/>
      <c r="FH35" s="211"/>
      <c r="FI35" s="211"/>
      <c r="FJ35" s="211"/>
      <c r="FK35" s="211"/>
      <c r="FL35" s="211"/>
      <c r="FM35" s="211"/>
      <c r="FN35" s="206"/>
      <c r="FO35" s="206"/>
      <c r="FP35" s="211"/>
      <c r="FQ35" s="211"/>
      <c r="FR35" s="211"/>
      <c r="FS35" s="211"/>
      <c r="FT35" s="211"/>
      <c r="FU35" s="211"/>
      <c r="FV35" s="211"/>
      <c r="FW35" s="211"/>
      <c r="FX35" s="211"/>
      <c r="FY35" s="211"/>
      <c r="FZ35" s="211"/>
      <c r="GA35" s="206"/>
      <c r="GB35" s="206"/>
      <c r="GC35" s="211"/>
      <c r="GD35" s="211"/>
      <c r="GE35" s="211"/>
      <c r="GF35" s="211"/>
      <c r="GG35" s="211"/>
      <c r="GH35" s="211"/>
      <c r="GI35" s="211"/>
      <c r="GJ35" s="211"/>
      <c r="GK35" s="211"/>
      <c r="GL35" s="211"/>
      <c r="GM35" s="211"/>
      <c r="GN35" s="206"/>
      <c r="GO35" s="206"/>
      <c r="GP35" s="211"/>
      <c r="GQ35" s="211"/>
      <c r="GR35" s="211"/>
      <c r="GS35" s="211"/>
      <c r="GT35" s="211"/>
      <c r="GU35" s="211"/>
      <c r="GV35" s="211"/>
      <c r="GW35" s="211"/>
      <c r="GX35" s="211"/>
      <c r="GY35" s="211"/>
      <c r="GZ35" s="211"/>
      <c r="HA35" s="206"/>
      <c r="HB35" s="206"/>
      <c r="HC35" s="211"/>
      <c r="HD35" s="211"/>
      <c r="HE35" s="211"/>
      <c r="HF35" s="211"/>
      <c r="HG35" s="211"/>
      <c r="HH35" s="211"/>
      <c r="HI35" s="211"/>
      <c r="HJ35" s="211"/>
      <c r="HK35" s="211"/>
      <c r="HL35" s="211"/>
      <c r="HM35" s="211"/>
      <c r="HN35" s="206"/>
      <c r="HO35" s="206"/>
      <c r="HP35" s="211"/>
      <c r="HQ35" s="211"/>
      <c r="HR35" s="211"/>
      <c r="HS35" s="211"/>
      <c r="HT35" s="211"/>
      <c r="HU35" s="211"/>
      <c r="HV35" s="211"/>
      <c r="HW35" s="211"/>
      <c r="HX35" s="211"/>
      <c r="HY35" s="211"/>
      <c r="HZ35" s="211"/>
      <c r="IA35" s="206"/>
      <c r="IB35" s="206"/>
      <c r="IC35" s="211"/>
      <c r="ID35" s="211"/>
      <c r="IE35" s="211"/>
      <c r="IF35" s="211"/>
      <c r="IG35" s="211"/>
      <c r="IH35" s="211"/>
      <c r="II35" s="211"/>
      <c r="IJ35" s="211"/>
      <c r="IK35" s="211"/>
      <c r="IL35" s="211"/>
      <c r="IM35" s="211"/>
      <c r="IN35" s="206"/>
      <c r="IO35" s="206"/>
      <c r="IP35" s="211"/>
      <c r="IQ35" s="211"/>
      <c r="IR35" s="211"/>
      <c r="IS35" s="211"/>
      <c r="IT35" s="211"/>
      <c r="IU35" s="211"/>
      <c r="IV35" s="211"/>
    </row>
    <row r="36" spans="1:256" x14ac:dyDescent="0.2">
      <c r="A36" s="217"/>
      <c r="B36" s="218"/>
      <c r="C36" s="388"/>
      <c r="D36" s="388"/>
      <c r="E36" s="388"/>
      <c r="F36" s="388"/>
      <c r="G36" s="388"/>
      <c r="H36" s="388"/>
      <c r="I36" s="388"/>
      <c r="J36" s="388"/>
      <c r="K36" s="388"/>
      <c r="L36" s="388"/>
      <c r="M36" s="389"/>
      <c r="N36" s="210"/>
      <c r="O36" s="210"/>
      <c r="P36" s="221"/>
      <c r="Q36" s="221"/>
      <c r="R36" s="221"/>
      <c r="S36" s="221"/>
      <c r="T36" s="221"/>
      <c r="U36" s="221"/>
      <c r="V36" s="221"/>
      <c r="W36" s="221"/>
      <c r="X36" s="221"/>
      <c r="Y36" s="221"/>
      <c r="Z36" s="221"/>
      <c r="AA36" s="206"/>
      <c r="AB36" s="206"/>
      <c r="AC36" s="211"/>
      <c r="AD36" s="211"/>
      <c r="AE36" s="211"/>
      <c r="AF36" s="211"/>
      <c r="AG36" s="211"/>
      <c r="AH36" s="211"/>
      <c r="AI36" s="211"/>
      <c r="AJ36" s="211"/>
      <c r="AK36" s="211"/>
      <c r="AL36" s="211"/>
      <c r="AM36" s="211"/>
      <c r="AN36" s="206"/>
      <c r="AO36" s="206"/>
      <c r="AP36" s="211"/>
      <c r="AQ36" s="211"/>
      <c r="AR36" s="211"/>
      <c r="AS36" s="211"/>
      <c r="AT36" s="211"/>
      <c r="AU36" s="211"/>
      <c r="AV36" s="211"/>
      <c r="AW36" s="211"/>
      <c r="AX36" s="211"/>
      <c r="AY36" s="211"/>
      <c r="AZ36" s="211"/>
      <c r="BA36" s="206"/>
      <c r="BB36" s="206"/>
      <c r="BC36" s="211"/>
      <c r="BD36" s="211"/>
      <c r="BE36" s="211"/>
      <c r="BF36" s="211"/>
      <c r="BG36" s="211"/>
      <c r="BH36" s="211"/>
      <c r="BI36" s="211"/>
      <c r="BJ36" s="211"/>
      <c r="BK36" s="211"/>
      <c r="BL36" s="211"/>
      <c r="BM36" s="211"/>
      <c r="BN36" s="206"/>
      <c r="BO36" s="206"/>
      <c r="BP36" s="211"/>
      <c r="BQ36" s="211"/>
      <c r="BR36" s="211"/>
      <c r="BS36" s="211"/>
      <c r="BT36" s="211"/>
      <c r="BU36" s="211"/>
      <c r="BV36" s="211"/>
      <c r="BW36" s="211"/>
      <c r="BX36" s="211"/>
      <c r="BY36" s="211"/>
      <c r="BZ36" s="211"/>
      <c r="CA36" s="206"/>
      <c r="CB36" s="206"/>
      <c r="CC36" s="211"/>
      <c r="CD36" s="211"/>
      <c r="CE36" s="211"/>
      <c r="CF36" s="211"/>
      <c r="CG36" s="211"/>
      <c r="CH36" s="211"/>
      <c r="CI36" s="211"/>
      <c r="CJ36" s="211"/>
      <c r="CK36" s="211"/>
      <c r="CL36" s="211"/>
      <c r="CM36" s="211"/>
      <c r="CN36" s="206"/>
      <c r="CO36" s="206"/>
      <c r="CP36" s="211"/>
      <c r="CQ36" s="211"/>
      <c r="CR36" s="211"/>
      <c r="CS36" s="211"/>
      <c r="CT36" s="211"/>
      <c r="CU36" s="211"/>
      <c r="CV36" s="211"/>
      <c r="CW36" s="211"/>
      <c r="CX36" s="211"/>
      <c r="CY36" s="211"/>
      <c r="CZ36" s="211"/>
      <c r="DA36" s="206"/>
      <c r="DB36" s="206"/>
      <c r="DC36" s="211"/>
      <c r="DD36" s="211"/>
      <c r="DE36" s="211"/>
      <c r="DF36" s="211"/>
      <c r="DG36" s="211"/>
      <c r="DH36" s="211"/>
      <c r="DI36" s="211"/>
      <c r="DJ36" s="211"/>
      <c r="DK36" s="211"/>
      <c r="DL36" s="211"/>
      <c r="DM36" s="211"/>
      <c r="DN36" s="206"/>
      <c r="DO36" s="206"/>
      <c r="DP36" s="211"/>
      <c r="DQ36" s="211"/>
      <c r="DR36" s="211"/>
      <c r="DS36" s="211"/>
      <c r="DT36" s="211"/>
      <c r="DU36" s="211"/>
      <c r="DV36" s="211"/>
      <c r="DW36" s="211"/>
      <c r="DX36" s="211"/>
      <c r="DY36" s="211"/>
      <c r="DZ36" s="211"/>
      <c r="EA36" s="206"/>
      <c r="EB36" s="206"/>
      <c r="EC36" s="211"/>
      <c r="ED36" s="211"/>
      <c r="EE36" s="211"/>
      <c r="EF36" s="211"/>
      <c r="EG36" s="211"/>
      <c r="EH36" s="211"/>
      <c r="EI36" s="211"/>
      <c r="EJ36" s="211"/>
      <c r="EK36" s="211"/>
      <c r="EL36" s="211"/>
      <c r="EM36" s="211"/>
      <c r="EN36" s="206"/>
      <c r="EO36" s="206"/>
      <c r="EP36" s="211"/>
      <c r="EQ36" s="211"/>
      <c r="ER36" s="211"/>
      <c r="ES36" s="211"/>
      <c r="ET36" s="211"/>
      <c r="EU36" s="211"/>
      <c r="EV36" s="211"/>
      <c r="EW36" s="211"/>
      <c r="EX36" s="211"/>
      <c r="EY36" s="211"/>
      <c r="EZ36" s="211"/>
      <c r="FA36" s="206"/>
      <c r="FB36" s="206"/>
      <c r="FC36" s="211"/>
      <c r="FD36" s="211"/>
      <c r="FE36" s="211"/>
      <c r="FF36" s="211"/>
      <c r="FG36" s="211"/>
      <c r="FH36" s="211"/>
      <c r="FI36" s="211"/>
      <c r="FJ36" s="211"/>
      <c r="FK36" s="211"/>
      <c r="FL36" s="211"/>
      <c r="FM36" s="211"/>
      <c r="FN36" s="206"/>
      <c r="FO36" s="206"/>
      <c r="FP36" s="211"/>
      <c r="FQ36" s="211"/>
      <c r="FR36" s="211"/>
      <c r="FS36" s="211"/>
      <c r="FT36" s="211"/>
      <c r="FU36" s="211"/>
      <c r="FV36" s="211"/>
      <c r="FW36" s="211"/>
      <c r="FX36" s="211"/>
      <c r="FY36" s="211"/>
      <c r="FZ36" s="211"/>
      <c r="GA36" s="206"/>
      <c r="GB36" s="206"/>
      <c r="GC36" s="211"/>
      <c r="GD36" s="211"/>
      <c r="GE36" s="211"/>
      <c r="GF36" s="211"/>
      <c r="GG36" s="211"/>
      <c r="GH36" s="211"/>
      <c r="GI36" s="211"/>
      <c r="GJ36" s="211"/>
      <c r="GK36" s="211"/>
      <c r="GL36" s="211"/>
      <c r="GM36" s="211"/>
      <c r="GN36" s="206"/>
      <c r="GO36" s="206"/>
      <c r="GP36" s="211"/>
      <c r="GQ36" s="211"/>
      <c r="GR36" s="211"/>
      <c r="GS36" s="211"/>
      <c r="GT36" s="211"/>
      <c r="GU36" s="211"/>
      <c r="GV36" s="211"/>
      <c r="GW36" s="211"/>
      <c r="GX36" s="211"/>
      <c r="GY36" s="211"/>
      <c r="GZ36" s="211"/>
      <c r="HA36" s="206"/>
      <c r="HB36" s="206"/>
      <c r="HC36" s="211"/>
      <c r="HD36" s="211"/>
      <c r="HE36" s="211"/>
      <c r="HF36" s="211"/>
      <c r="HG36" s="211"/>
      <c r="HH36" s="211"/>
      <c r="HI36" s="211"/>
      <c r="HJ36" s="211"/>
      <c r="HK36" s="211"/>
      <c r="HL36" s="211"/>
      <c r="HM36" s="211"/>
      <c r="HN36" s="206"/>
      <c r="HO36" s="206"/>
      <c r="HP36" s="211"/>
      <c r="HQ36" s="211"/>
      <c r="HR36" s="211"/>
      <c r="HS36" s="211"/>
      <c r="HT36" s="211"/>
      <c r="HU36" s="211"/>
      <c r="HV36" s="211"/>
      <c r="HW36" s="211"/>
      <c r="HX36" s="211"/>
      <c r="HY36" s="211"/>
      <c r="HZ36" s="211"/>
      <c r="IA36" s="206"/>
      <c r="IB36" s="206"/>
      <c r="IC36" s="211"/>
      <c r="ID36" s="211"/>
      <c r="IE36" s="211"/>
      <c r="IF36" s="211"/>
      <c r="IG36" s="211"/>
      <c r="IH36" s="211"/>
      <c r="II36" s="211"/>
      <c r="IJ36" s="211"/>
      <c r="IK36" s="211"/>
      <c r="IL36" s="211"/>
      <c r="IM36" s="211"/>
      <c r="IN36" s="206"/>
      <c r="IO36" s="206"/>
      <c r="IP36" s="211"/>
      <c r="IQ36" s="211"/>
      <c r="IR36" s="211"/>
      <c r="IS36" s="211"/>
      <c r="IT36" s="211"/>
      <c r="IU36" s="211"/>
      <c r="IV36" s="211"/>
    </row>
    <row r="37" spans="1:256" x14ac:dyDescent="0.2">
      <c r="A37" s="217"/>
      <c r="B37" s="218"/>
      <c r="C37" s="388"/>
      <c r="D37" s="388"/>
      <c r="E37" s="388"/>
      <c r="F37" s="388"/>
      <c r="G37" s="388"/>
      <c r="H37" s="388"/>
      <c r="I37" s="388"/>
      <c r="J37" s="388"/>
      <c r="K37" s="388"/>
      <c r="L37" s="388"/>
      <c r="M37" s="389"/>
      <c r="N37" s="210"/>
      <c r="O37" s="210"/>
      <c r="P37" s="221"/>
      <c r="Q37" s="221"/>
      <c r="R37" s="221"/>
      <c r="S37" s="221"/>
      <c r="T37" s="221"/>
      <c r="U37" s="221"/>
      <c r="V37" s="221"/>
      <c r="W37" s="221"/>
      <c r="X37" s="221"/>
      <c r="Y37" s="221"/>
      <c r="Z37" s="221"/>
      <c r="AA37" s="206"/>
      <c r="AB37" s="206"/>
      <c r="AC37" s="211"/>
      <c r="AD37" s="211"/>
      <c r="AE37" s="211"/>
      <c r="AF37" s="211"/>
      <c r="AG37" s="211"/>
      <c r="AH37" s="211"/>
      <c r="AI37" s="211"/>
      <c r="AJ37" s="211"/>
      <c r="AK37" s="211"/>
      <c r="AL37" s="211"/>
      <c r="AM37" s="211"/>
      <c r="AN37" s="206"/>
      <c r="AO37" s="206"/>
      <c r="AP37" s="211"/>
      <c r="AQ37" s="211"/>
      <c r="AR37" s="211"/>
      <c r="AS37" s="211"/>
      <c r="AT37" s="211"/>
      <c r="AU37" s="211"/>
      <c r="AV37" s="211"/>
      <c r="AW37" s="211"/>
      <c r="AX37" s="211"/>
      <c r="AY37" s="211"/>
      <c r="AZ37" s="211"/>
      <c r="BA37" s="206"/>
      <c r="BB37" s="206"/>
      <c r="BC37" s="211"/>
      <c r="BD37" s="211"/>
      <c r="BE37" s="211"/>
      <c r="BF37" s="211"/>
      <c r="BG37" s="211"/>
      <c r="BH37" s="211"/>
      <c r="BI37" s="211"/>
      <c r="BJ37" s="211"/>
      <c r="BK37" s="211"/>
      <c r="BL37" s="211"/>
      <c r="BM37" s="211"/>
      <c r="BN37" s="206"/>
      <c r="BO37" s="206"/>
      <c r="BP37" s="211"/>
      <c r="BQ37" s="211"/>
      <c r="BR37" s="211"/>
      <c r="BS37" s="211"/>
      <c r="BT37" s="211"/>
      <c r="BU37" s="211"/>
      <c r="BV37" s="211"/>
      <c r="BW37" s="211"/>
      <c r="BX37" s="211"/>
      <c r="BY37" s="211"/>
      <c r="BZ37" s="211"/>
      <c r="CA37" s="206"/>
      <c r="CB37" s="206"/>
      <c r="CC37" s="211"/>
      <c r="CD37" s="211"/>
      <c r="CE37" s="211"/>
      <c r="CF37" s="211"/>
      <c r="CG37" s="211"/>
      <c r="CH37" s="211"/>
      <c r="CI37" s="211"/>
      <c r="CJ37" s="211"/>
      <c r="CK37" s="211"/>
      <c r="CL37" s="211"/>
      <c r="CM37" s="211"/>
      <c r="CN37" s="206"/>
      <c r="CO37" s="206"/>
      <c r="CP37" s="211"/>
      <c r="CQ37" s="211"/>
      <c r="CR37" s="211"/>
      <c r="CS37" s="211"/>
      <c r="CT37" s="211"/>
      <c r="CU37" s="211"/>
      <c r="CV37" s="211"/>
      <c r="CW37" s="211"/>
      <c r="CX37" s="211"/>
      <c r="CY37" s="211"/>
      <c r="CZ37" s="211"/>
      <c r="DA37" s="206"/>
      <c r="DB37" s="206"/>
      <c r="DC37" s="211"/>
      <c r="DD37" s="211"/>
      <c r="DE37" s="211"/>
      <c r="DF37" s="211"/>
      <c r="DG37" s="211"/>
      <c r="DH37" s="211"/>
      <c r="DI37" s="211"/>
      <c r="DJ37" s="211"/>
      <c r="DK37" s="211"/>
      <c r="DL37" s="211"/>
      <c r="DM37" s="211"/>
      <c r="DN37" s="206"/>
      <c r="DO37" s="206"/>
      <c r="DP37" s="211"/>
      <c r="DQ37" s="211"/>
      <c r="DR37" s="211"/>
      <c r="DS37" s="211"/>
      <c r="DT37" s="211"/>
      <c r="DU37" s="211"/>
      <c r="DV37" s="211"/>
      <c r="DW37" s="211"/>
      <c r="DX37" s="211"/>
      <c r="DY37" s="211"/>
      <c r="DZ37" s="211"/>
      <c r="EA37" s="206"/>
      <c r="EB37" s="206"/>
      <c r="EC37" s="211"/>
      <c r="ED37" s="211"/>
      <c r="EE37" s="211"/>
      <c r="EF37" s="211"/>
      <c r="EG37" s="211"/>
      <c r="EH37" s="211"/>
      <c r="EI37" s="211"/>
      <c r="EJ37" s="211"/>
      <c r="EK37" s="211"/>
      <c r="EL37" s="211"/>
      <c r="EM37" s="211"/>
      <c r="EN37" s="206"/>
      <c r="EO37" s="206"/>
      <c r="EP37" s="211"/>
      <c r="EQ37" s="211"/>
      <c r="ER37" s="211"/>
      <c r="ES37" s="211"/>
      <c r="ET37" s="211"/>
      <c r="EU37" s="211"/>
      <c r="EV37" s="211"/>
      <c r="EW37" s="211"/>
      <c r="EX37" s="211"/>
      <c r="EY37" s="211"/>
      <c r="EZ37" s="211"/>
      <c r="FA37" s="206"/>
      <c r="FB37" s="206"/>
      <c r="FC37" s="211"/>
      <c r="FD37" s="211"/>
      <c r="FE37" s="211"/>
      <c r="FF37" s="211"/>
      <c r="FG37" s="211"/>
      <c r="FH37" s="211"/>
      <c r="FI37" s="211"/>
      <c r="FJ37" s="211"/>
      <c r="FK37" s="211"/>
      <c r="FL37" s="211"/>
      <c r="FM37" s="211"/>
      <c r="FN37" s="206"/>
      <c r="FO37" s="206"/>
      <c r="FP37" s="211"/>
      <c r="FQ37" s="211"/>
      <c r="FR37" s="211"/>
      <c r="FS37" s="211"/>
      <c r="FT37" s="211"/>
      <c r="FU37" s="211"/>
      <c r="FV37" s="211"/>
      <c r="FW37" s="211"/>
      <c r="FX37" s="211"/>
      <c r="FY37" s="211"/>
      <c r="FZ37" s="211"/>
      <c r="GA37" s="206"/>
      <c r="GB37" s="206"/>
      <c r="GC37" s="211"/>
      <c r="GD37" s="211"/>
      <c r="GE37" s="211"/>
      <c r="GF37" s="211"/>
      <c r="GG37" s="211"/>
      <c r="GH37" s="211"/>
      <c r="GI37" s="211"/>
      <c r="GJ37" s="211"/>
      <c r="GK37" s="211"/>
      <c r="GL37" s="211"/>
      <c r="GM37" s="211"/>
      <c r="GN37" s="206"/>
      <c r="GO37" s="206"/>
      <c r="GP37" s="211"/>
      <c r="GQ37" s="211"/>
      <c r="GR37" s="211"/>
      <c r="GS37" s="211"/>
      <c r="GT37" s="211"/>
      <c r="GU37" s="211"/>
      <c r="GV37" s="211"/>
      <c r="GW37" s="211"/>
      <c r="GX37" s="211"/>
      <c r="GY37" s="211"/>
      <c r="GZ37" s="211"/>
      <c r="HA37" s="206"/>
      <c r="HB37" s="206"/>
      <c r="HC37" s="211"/>
      <c r="HD37" s="211"/>
      <c r="HE37" s="211"/>
      <c r="HF37" s="211"/>
      <c r="HG37" s="211"/>
      <c r="HH37" s="211"/>
      <c r="HI37" s="211"/>
      <c r="HJ37" s="211"/>
      <c r="HK37" s="211"/>
      <c r="HL37" s="211"/>
      <c r="HM37" s="211"/>
      <c r="HN37" s="206"/>
      <c r="HO37" s="206"/>
      <c r="HP37" s="211"/>
      <c r="HQ37" s="211"/>
      <c r="HR37" s="211"/>
      <c r="HS37" s="211"/>
      <c r="HT37" s="211"/>
      <c r="HU37" s="211"/>
      <c r="HV37" s="211"/>
      <c r="HW37" s="211"/>
      <c r="HX37" s="211"/>
      <c r="HY37" s="211"/>
      <c r="HZ37" s="211"/>
      <c r="IA37" s="206"/>
      <c r="IB37" s="206"/>
      <c r="IC37" s="211"/>
      <c r="ID37" s="211"/>
      <c r="IE37" s="211"/>
      <c r="IF37" s="211"/>
      <c r="IG37" s="211"/>
      <c r="IH37" s="211"/>
      <c r="II37" s="211"/>
      <c r="IJ37" s="211"/>
      <c r="IK37" s="211"/>
      <c r="IL37" s="211"/>
      <c r="IM37" s="211"/>
      <c r="IN37" s="206"/>
      <c r="IO37" s="206"/>
      <c r="IP37" s="211"/>
      <c r="IQ37" s="211"/>
      <c r="IR37" s="211"/>
      <c r="IS37" s="211"/>
      <c r="IT37" s="211"/>
      <c r="IU37" s="211"/>
      <c r="IV37" s="211"/>
    </row>
    <row r="38" spans="1:256" x14ac:dyDescent="0.2">
      <c r="A38" s="217"/>
      <c r="B38" s="218"/>
      <c r="C38" s="388"/>
      <c r="D38" s="388"/>
      <c r="E38" s="388"/>
      <c r="F38" s="388"/>
      <c r="G38" s="388"/>
      <c r="H38" s="388"/>
      <c r="I38" s="388"/>
      <c r="J38" s="388"/>
      <c r="K38" s="388"/>
      <c r="L38" s="388"/>
      <c r="M38" s="389"/>
      <c r="N38" s="210"/>
      <c r="O38" s="210"/>
      <c r="P38" s="387"/>
      <c r="Q38" s="387"/>
      <c r="R38" s="387"/>
      <c r="S38" s="387"/>
      <c r="T38" s="387"/>
      <c r="U38" s="387"/>
      <c r="V38" s="387"/>
      <c r="W38" s="387"/>
      <c r="X38" s="387"/>
      <c r="Y38" s="387"/>
      <c r="Z38" s="387"/>
      <c r="AA38" s="206"/>
      <c r="AB38" s="206"/>
      <c r="AC38" s="386"/>
      <c r="AD38" s="386"/>
      <c r="AE38" s="386"/>
      <c r="AF38" s="386"/>
      <c r="AG38" s="386"/>
      <c r="AH38" s="386"/>
      <c r="AI38" s="386"/>
      <c r="AJ38" s="386"/>
      <c r="AK38" s="386"/>
      <c r="AL38" s="386"/>
      <c r="AM38" s="386"/>
      <c r="AN38" s="206"/>
      <c r="AO38" s="206"/>
      <c r="AP38" s="386"/>
      <c r="AQ38" s="386"/>
      <c r="AR38" s="386"/>
      <c r="AS38" s="386"/>
      <c r="AT38" s="386"/>
      <c r="AU38" s="386"/>
      <c r="AV38" s="386"/>
      <c r="AW38" s="386"/>
      <c r="AX38" s="386"/>
      <c r="AY38" s="386"/>
      <c r="AZ38" s="386"/>
      <c r="BA38" s="206"/>
      <c r="BB38" s="206"/>
      <c r="BC38" s="386"/>
      <c r="BD38" s="386"/>
      <c r="BE38" s="386"/>
      <c r="BF38" s="386"/>
      <c r="BG38" s="386"/>
      <c r="BH38" s="386"/>
      <c r="BI38" s="386"/>
      <c r="BJ38" s="386"/>
      <c r="BK38" s="386"/>
      <c r="BL38" s="386"/>
      <c r="BM38" s="386"/>
      <c r="BN38" s="206"/>
      <c r="BO38" s="206"/>
      <c r="BP38" s="386"/>
      <c r="BQ38" s="386"/>
      <c r="BR38" s="386"/>
      <c r="BS38" s="386"/>
      <c r="BT38" s="386"/>
      <c r="BU38" s="386"/>
      <c r="BV38" s="386"/>
      <c r="BW38" s="386"/>
      <c r="BX38" s="386"/>
      <c r="BY38" s="386"/>
      <c r="BZ38" s="386"/>
      <c r="CA38" s="206"/>
      <c r="CB38" s="206"/>
      <c r="CC38" s="386"/>
      <c r="CD38" s="386"/>
      <c r="CE38" s="386"/>
      <c r="CF38" s="386"/>
      <c r="CG38" s="386"/>
      <c r="CH38" s="386"/>
      <c r="CI38" s="386"/>
      <c r="CJ38" s="386"/>
      <c r="CK38" s="386"/>
      <c r="CL38" s="386"/>
      <c r="CM38" s="386"/>
      <c r="CN38" s="206"/>
      <c r="CO38" s="206"/>
      <c r="CP38" s="386"/>
      <c r="CQ38" s="386"/>
      <c r="CR38" s="386"/>
      <c r="CS38" s="386"/>
      <c r="CT38" s="386"/>
      <c r="CU38" s="386"/>
      <c r="CV38" s="386"/>
      <c r="CW38" s="386"/>
      <c r="CX38" s="386"/>
      <c r="CY38" s="386"/>
      <c r="CZ38" s="386"/>
      <c r="DA38" s="206"/>
      <c r="DB38" s="206"/>
      <c r="DC38" s="386"/>
      <c r="DD38" s="386"/>
      <c r="DE38" s="386"/>
      <c r="DF38" s="386"/>
      <c r="DG38" s="386"/>
      <c r="DH38" s="386"/>
      <c r="DI38" s="386"/>
      <c r="DJ38" s="386"/>
      <c r="DK38" s="386"/>
      <c r="DL38" s="386"/>
      <c r="DM38" s="386"/>
      <c r="DN38" s="206"/>
      <c r="DO38" s="206"/>
      <c r="DP38" s="386"/>
      <c r="DQ38" s="386"/>
      <c r="DR38" s="386"/>
      <c r="DS38" s="386"/>
      <c r="DT38" s="386"/>
      <c r="DU38" s="386"/>
      <c r="DV38" s="386"/>
      <c r="DW38" s="386"/>
      <c r="DX38" s="386"/>
      <c r="DY38" s="386"/>
      <c r="DZ38" s="386"/>
      <c r="EA38" s="206"/>
      <c r="EB38" s="206"/>
      <c r="EC38" s="386"/>
      <c r="ED38" s="386"/>
      <c r="EE38" s="386"/>
      <c r="EF38" s="386"/>
      <c r="EG38" s="386"/>
      <c r="EH38" s="386"/>
      <c r="EI38" s="386"/>
      <c r="EJ38" s="386"/>
      <c r="EK38" s="386"/>
      <c r="EL38" s="386"/>
      <c r="EM38" s="386"/>
      <c r="EN38" s="206"/>
      <c r="EO38" s="206"/>
      <c r="EP38" s="386"/>
      <c r="EQ38" s="386"/>
      <c r="ER38" s="386"/>
      <c r="ES38" s="386"/>
      <c r="ET38" s="386"/>
      <c r="EU38" s="386"/>
      <c r="EV38" s="386"/>
      <c r="EW38" s="386"/>
      <c r="EX38" s="386"/>
      <c r="EY38" s="386"/>
      <c r="EZ38" s="386"/>
      <c r="FA38" s="206"/>
      <c r="FB38" s="206"/>
      <c r="FC38" s="386"/>
      <c r="FD38" s="386"/>
      <c r="FE38" s="386"/>
      <c r="FF38" s="386"/>
      <c r="FG38" s="386"/>
      <c r="FH38" s="386"/>
      <c r="FI38" s="386"/>
      <c r="FJ38" s="386"/>
      <c r="FK38" s="386"/>
      <c r="FL38" s="386"/>
      <c r="FM38" s="386"/>
      <c r="FN38" s="206"/>
      <c r="FO38" s="206"/>
      <c r="FP38" s="386"/>
      <c r="FQ38" s="386"/>
      <c r="FR38" s="386"/>
      <c r="FS38" s="386"/>
      <c r="FT38" s="386"/>
      <c r="FU38" s="386"/>
      <c r="FV38" s="386"/>
      <c r="FW38" s="386"/>
      <c r="FX38" s="386"/>
      <c r="FY38" s="386"/>
      <c r="FZ38" s="386"/>
      <c r="GA38" s="206"/>
      <c r="GB38" s="206"/>
      <c r="GC38" s="386"/>
      <c r="GD38" s="386"/>
      <c r="GE38" s="386"/>
      <c r="GF38" s="386"/>
      <c r="GG38" s="386"/>
      <c r="GH38" s="386"/>
      <c r="GI38" s="386"/>
      <c r="GJ38" s="386"/>
      <c r="GK38" s="386"/>
      <c r="GL38" s="386"/>
      <c r="GM38" s="386"/>
      <c r="GN38" s="206"/>
      <c r="GO38" s="206"/>
      <c r="GP38" s="386"/>
      <c r="GQ38" s="386"/>
      <c r="GR38" s="386"/>
      <c r="GS38" s="386"/>
      <c r="GT38" s="386"/>
      <c r="GU38" s="386"/>
      <c r="GV38" s="386"/>
      <c r="GW38" s="386"/>
      <c r="GX38" s="386"/>
      <c r="GY38" s="386"/>
      <c r="GZ38" s="386"/>
      <c r="HA38" s="206"/>
      <c r="HB38" s="206"/>
      <c r="HC38" s="386"/>
      <c r="HD38" s="386"/>
      <c r="HE38" s="386"/>
      <c r="HF38" s="386"/>
      <c r="HG38" s="386"/>
      <c r="HH38" s="386"/>
      <c r="HI38" s="386"/>
      <c r="HJ38" s="386"/>
      <c r="HK38" s="386"/>
      <c r="HL38" s="386"/>
      <c r="HM38" s="386"/>
      <c r="HN38" s="206"/>
      <c r="HO38" s="206"/>
      <c r="HP38" s="386"/>
      <c r="HQ38" s="386"/>
      <c r="HR38" s="386"/>
      <c r="HS38" s="386"/>
      <c r="HT38" s="386"/>
      <c r="HU38" s="386"/>
      <c r="HV38" s="386"/>
      <c r="HW38" s="386"/>
      <c r="HX38" s="386"/>
      <c r="HY38" s="386"/>
      <c r="HZ38" s="386"/>
      <c r="IA38" s="206"/>
      <c r="IB38" s="206"/>
      <c r="IC38" s="386"/>
      <c r="ID38" s="386"/>
      <c r="IE38" s="386"/>
      <c r="IF38" s="386"/>
      <c r="IG38" s="386"/>
      <c r="IH38" s="386"/>
      <c r="II38" s="386"/>
      <c r="IJ38" s="386"/>
      <c r="IK38" s="386"/>
      <c r="IL38" s="386"/>
      <c r="IM38" s="386"/>
      <c r="IN38" s="206"/>
      <c r="IO38" s="206"/>
      <c r="IP38" s="386"/>
      <c r="IQ38" s="386"/>
      <c r="IR38" s="386"/>
      <c r="IS38" s="386"/>
      <c r="IT38" s="386"/>
      <c r="IU38" s="386"/>
      <c r="IV38" s="386"/>
    </row>
    <row r="39" spans="1:256" x14ac:dyDescent="0.2">
      <c r="A39" s="217"/>
      <c r="B39" s="218"/>
      <c r="C39" s="388"/>
      <c r="D39" s="388"/>
      <c r="E39" s="388"/>
      <c r="F39" s="388"/>
      <c r="G39" s="388"/>
      <c r="H39" s="388"/>
      <c r="I39" s="388"/>
      <c r="J39" s="388"/>
      <c r="K39" s="388"/>
      <c r="L39" s="388"/>
      <c r="M39" s="389"/>
      <c r="N39" s="210"/>
      <c r="O39" s="210"/>
      <c r="P39" s="387"/>
      <c r="Q39" s="387"/>
      <c r="R39" s="387"/>
      <c r="S39" s="387"/>
      <c r="T39" s="387"/>
      <c r="U39" s="387"/>
      <c r="V39" s="387"/>
      <c r="W39" s="387"/>
      <c r="X39" s="387"/>
      <c r="Y39" s="387"/>
      <c r="Z39" s="387"/>
      <c r="AA39" s="206"/>
      <c r="AB39" s="206"/>
      <c r="AC39" s="386"/>
      <c r="AD39" s="386"/>
      <c r="AE39" s="386"/>
      <c r="AF39" s="386"/>
      <c r="AG39" s="386"/>
      <c r="AH39" s="386"/>
      <c r="AI39" s="386"/>
      <c r="AJ39" s="386"/>
      <c r="AK39" s="386"/>
      <c r="AL39" s="386"/>
      <c r="AM39" s="386"/>
      <c r="AN39" s="206"/>
      <c r="AO39" s="206"/>
      <c r="AP39" s="386"/>
      <c r="AQ39" s="386"/>
      <c r="AR39" s="386"/>
      <c r="AS39" s="386"/>
      <c r="AT39" s="386"/>
      <c r="AU39" s="386"/>
      <c r="AV39" s="386"/>
      <c r="AW39" s="386"/>
      <c r="AX39" s="386"/>
      <c r="AY39" s="386"/>
      <c r="AZ39" s="386"/>
      <c r="BA39" s="206"/>
      <c r="BB39" s="206"/>
      <c r="BC39" s="386"/>
      <c r="BD39" s="386"/>
      <c r="BE39" s="386"/>
      <c r="BF39" s="386"/>
      <c r="BG39" s="386"/>
      <c r="BH39" s="386"/>
      <c r="BI39" s="386"/>
      <c r="BJ39" s="386"/>
      <c r="BK39" s="386"/>
      <c r="BL39" s="386"/>
      <c r="BM39" s="386"/>
      <c r="BN39" s="206"/>
      <c r="BO39" s="206"/>
      <c r="BP39" s="386"/>
      <c r="BQ39" s="386"/>
      <c r="BR39" s="386"/>
      <c r="BS39" s="386"/>
      <c r="BT39" s="386"/>
      <c r="BU39" s="386"/>
      <c r="BV39" s="386"/>
      <c r="BW39" s="386"/>
      <c r="BX39" s="386"/>
      <c r="BY39" s="386"/>
      <c r="BZ39" s="386"/>
      <c r="CA39" s="206"/>
      <c r="CB39" s="206"/>
      <c r="CC39" s="386"/>
      <c r="CD39" s="386"/>
      <c r="CE39" s="386"/>
      <c r="CF39" s="386"/>
      <c r="CG39" s="386"/>
      <c r="CH39" s="386"/>
      <c r="CI39" s="386"/>
      <c r="CJ39" s="386"/>
      <c r="CK39" s="386"/>
      <c r="CL39" s="386"/>
      <c r="CM39" s="386"/>
      <c r="CN39" s="206"/>
      <c r="CO39" s="206"/>
      <c r="CP39" s="386"/>
      <c r="CQ39" s="386"/>
      <c r="CR39" s="386"/>
      <c r="CS39" s="386"/>
      <c r="CT39" s="386"/>
      <c r="CU39" s="386"/>
      <c r="CV39" s="386"/>
      <c r="CW39" s="386"/>
      <c r="CX39" s="386"/>
      <c r="CY39" s="386"/>
      <c r="CZ39" s="386"/>
      <c r="DA39" s="206"/>
      <c r="DB39" s="206"/>
      <c r="DC39" s="386"/>
      <c r="DD39" s="386"/>
      <c r="DE39" s="386"/>
      <c r="DF39" s="386"/>
      <c r="DG39" s="386"/>
      <c r="DH39" s="386"/>
      <c r="DI39" s="386"/>
      <c r="DJ39" s="386"/>
      <c r="DK39" s="386"/>
      <c r="DL39" s="386"/>
      <c r="DM39" s="386"/>
      <c r="DN39" s="206"/>
      <c r="DO39" s="206"/>
      <c r="DP39" s="386"/>
      <c r="DQ39" s="386"/>
      <c r="DR39" s="386"/>
      <c r="DS39" s="386"/>
      <c r="DT39" s="386"/>
      <c r="DU39" s="386"/>
      <c r="DV39" s="386"/>
      <c r="DW39" s="386"/>
      <c r="DX39" s="386"/>
      <c r="DY39" s="386"/>
      <c r="DZ39" s="386"/>
      <c r="EA39" s="206"/>
      <c r="EB39" s="206"/>
      <c r="EC39" s="386"/>
      <c r="ED39" s="386"/>
      <c r="EE39" s="386"/>
      <c r="EF39" s="386"/>
      <c r="EG39" s="386"/>
      <c r="EH39" s="386"/>
      <c r="EI39" s="386"/>
      <c r="EJ39" s="386"/>
      <c r="EK39" s="386"/>
      <c r="EL39" s="386"/>
      <c r="EM39" s="386"/>
      <c r="EN39" s="206"/>
      <c r="EO39" s="206"/>
      <c r="EP39" s="386"/>
      <c r="EQ39" s="386"/>
      <c r="ER39" s="386"/>
      <c r="ES39" s="386"/>
      <c r="ET39" s="386"/>
      <c r="EU39" s="386"/>
      <c r="EV39" s="386"/>
      <c r="EW39" s="386"/>
      <c r="EX39" s="386"/>
      <c r="EY39" s="386"/>
      <c r="EZ39" s="386"/>
      <c r="FA39" s="206"/>
      <c r="FB39" s="206"/>
      <c r="FC39" s="386"/>
      <c r="FD39" s="386"/>
      <c r="FE39" s="386"/>
      <c r="FF39" s="386"/>
      <c r="FG39" s="386"/>
      <c r="FH39" s="386"/>
      <c r="FI39" s="386"/>
      <c r="FJ39" s="386"/>
      <c r="FK39" s="386"/>
      <c r="FL39" s="386"/>
      <c r="FM39" s="386"/>
      <c r="FN39" s="206"/>
      <c r="FO39" s="206"/>
      <c r="FP39" s="386"/>
      <c r="FQ39" s="386"/>
      <c r="FR39" s="386"/>
      <c r="FS39" s="386"/>
      <c r="FT39" s="386"/>
      <c r="FU39" s="386"/>
      <c r="FV39" s="386"/>
      <c r="FW39" s="386"/>
      <c r="FX39" s="386"/>
      <c r="FY39" s="386"/>
      <c r="FZ39" s="386"/>
      <c r="GA39" s="206"/>
      <c r="GB39" s="206"/>
      <c r="GC39" s="386"/>
      <c r="GD39" s="386"/>
      <c r="GE39" s="386"/>
      <c r="GF39" s="386"/>
      <c r="GG39" s="386"/>
      <c r="GH39" s="386"/>
      <c r="GI39" s="386"/>
      <c r="GJ39" s="386"/>
      <c r="GK39" s="386"/>
      <c r="GL39" s="386"/>
      <c r="GM39" s="386"/>
      <c r="GN39" s="206"/>
      <c r="GO39" s="206"/>
      <c r="GP39" s="386"/>
      <c r="GQ39" s="386"/>
      <c r="GR39" s="386"/>
      <c r="GS39" s="386"/>
      <c r="GT39" s="386"/>
      <c r="GU39" s="386"/>
      <c r="GV39" s="386"/>
      <c r="GW39" s="386"/>
      <c r="GX39" s="386"/>
      <c r="GY39" s="386"/>
      <c r="GZ39" s="386"/>
      <c r="HA39" s="206"/>
      <c r="HB39" s="206"/>
      <c r="HC39" s="386"/>
      <c r="HD39" s="386"/>
      <c r="HE39" s="386"/>
      <c r="HF39" s="386"/>
      <c r="HG39" s="386"/>
      <c r="HH39" s="386"/>
      <c r="HI39" s="386"/>
      <c r="HJ39" s="386"/>
      <c r="HK39" s="386"/>
      <c r="HL39" s="386"/>
      <c r="HM39" s="386"/>
      <c r="HN39" s="206"/>
      <c r="HO39" s="206"/>
      <c r="HP39" s="386"/>
      <c r="HQ39" s="386"/>
      <c r="HR39" s="386"/>
      <c r="HS39" s="386"/>
      <c r="HT39" s="386"/>
      <c r="HU39" s="386"/>
      <c r="HV39" s="386"/>
      <c r="HW39" s="386"/>
      <c r="HX39" s="386"/>
      <c r="HY39" s="386"/>
      <c r="HZ39" s="386"/>
      <c r="IA39" s="206"/>
      <c r="IB39" s="206"/>
      <c r="IC39" s="386"/>
      <c r="ID39" s="386"/>
      <c r="IE39" s="386"/>
      <c r="IF39" s="386"/>
      <c r="IG39" s="386"/>
      <c r="IH39" s="386"/>
      <c r="II39" s="386"/>
      <c r="IJ39" s="386"/>
      <c r="IK39" s="386"/>
      <c r="IL39" s="386"/>
      <c r="IM39" s="386"/>
      <c r="IN39" s="206"/>
      <c r="IO39" s="206"/>
      <c r="IP39" s="386"/>
      <c r="IQ39" s="386"/>
      <c r="IR39" s="386"/>
      <c r="IS39" s="386"/>
      <c r="IT39" s="386"/>
      <c r="IU39" s="386"/>
      <c r="IV39" s="386"/>
    </row>
    <row r="40" spans="1:256" x14ac:dyDescent="0.2">
      <c r="A40" s="217"/>
      <c r="B40" s="218"/>
      <c r="C40" s="388"/>
      <c r="D40" s="388"/>
      <c r="E40" s="388"/>
      <c r="F40" s="388"/>
      <c r="G40" s="388"/>
      <c r="H40" s="388"/>
      <c r="I40" s="388"/>
      <c r="J40" s="388"/>
      <c r="K40" s="388"/>
      <c r="L40" s="388"/>
      <c r="M40" s="389"/>
      <c r="N40" s="210"/>
      <c r="O40" s="210"/>
      <c r="P40" s="387"/>
      <c r="Q40" s="387"/>
      <c r="R40" s="387"/>
      <c r="S40" s="387"/>
      <c r="T40" s="387"/>
      <c r="U40" s="387"/>
      <c r="V40" s="387"/>
      <c r="W40" s="387"/>
      <c r="X40" s="387"/>
      <c r="Y40" s="387"/>
      <c r="Z40" s="387"/>
      <c r="AA40" s="206"/>
      <c r="AB40" s="206"/>
      <c r="AC40" s="386"/>
      <c r="AD40" s="386"/>
      <c r="AE40" s="386"/>
      <c r="AF40" s="386"/>
      <c r="AG40" s="386"/>
      <c r="AH40" s="386"/>
      <c r="AI40" s="386"/>
      <c r="AJ40" s="386"/>
      <c r="AK40" s="386"/>
      <c r="AL40" s="386"/>
      <c r="AM40" s="386"/>
      <c r="AN40" s="206"/>
      <c r="AO40" s="206"/>
      <c r="AP40" s="386"/>
      <c r="AQ40" s="386"/>
      <c r="AR40" s="386"/>
      <c r="AS40" s="386"/>
      <c r="AT40" s="386"/>
      <c r="AU40" s="386"/>
      <c r="AV40" s="386"/>
      <c r="AW40" s="386"/>
      <c r="AX40" s="386"/>
      <c r="AY40" s="386"/>
      <c r="AZ40" s="386"/>
      <c r="BA40" s="206"/>
      <c r="BB40" s="206"/>
      <c r="BC40" s="386"/>
      <c r="BD40" s="386"/>
      <c r="BE40" s="386"/>
      <c r="BF40" s="386"/>
      <c r="BG40" s="386"/>
      <c r="BH40" s="386"/>
      <c r="BI40" s="386"/>
      <c r="BJ40" s="386"/>
      <c r="BK40" s="386"/>
      <c r="BL40" s="386"/>
      <c r="BM40" s="386"/>
      <c r="BN40" s="206"/>
      <c r="BO40" s="206"/>
      <c r="BP40" s="386"/>
      <c r="BQ40" s="386"/>
      <c r="BR40" s="386"/>
      <c r="BS40" s="386"/>
      <c r="BT40" s="386"/>
      <c r="BU40" s="386"/>
      <c r="BV40" s="386"/>
      <c r="BW40" s="386"/>
      <c r="BX40" s="386"/>
      <c r="BY40" s="386"/>
      <c r="BZ40" s="386"/>
      <c r="CA40" s="206"/>
      <c r="CB40" s="206"/>
      <c r="CC40" s="386"/>
      <c r="CD40" s="386"/>
      <c r="CE40" s="386"/>
      <c r="CF40" s="386"/>
      <c r="CG40" s="386"/>
      <c r="CH40" s="386"/>
      <c r="CI40" s="386"/>
      <c r="CJ40" s="386"/>
      <c r="CK40" s="386"/>
      <c r="CL40" s="386"/>
      <c r="CM40" s="386"/>
      <c r="CN40" s="206"/>
      <c r="CO40" s="206"/>
      <c r="CP40" s="386"/>
      <c r="CQ40" s="386"/>
      <c r="CR40" s="386"/>
      <c r="CS40" s="386"/>
      <c r="CT40" s="386"/>
      <c r="CU40" s="386"/>
      <c r="CV40" s="386"/>
      <c r="CW40" s="386"/>
      <c r="CX40" s="386"/>
      <c r="CY40" s="386"/>
      <c r="CZ40" s="386"/>
      <c r="DA40" s="206"/>
      <c r="DB40" s="206"/>
      <c r="DC40" s="386"/>
      <c r="DD40" s="386"/>
      <c r="DE40" s="386"/>
      <c r="DF40" s="386"/>
      <c r="DG40" s="386"/>
      <c r="DH40" s="386"/>
      <c r="DI40" s="386"/>
      <c r="DJ40" s="386"/>
      <c r="DK40" s="386"/>
      <c r="DL40" s="386"/>
      <c r="DM40" s="386"/>
      <c r="DN40" s="206"/>
      <c r="DO40" s="206"/>
      <c r="DP40" s="386"/>
      <c r="DQ40" s="386"/>
      <c r="DR40" s="386"/>
      <c r="DS40" s="386"/>
      <c r="DT40" s="386"/>
      <c r="DU40" s="386"/>
      <c r="DV40" s="386"/>
      <c r="DW40" s="386"/>
      <c r="DX40" s="386"/>
      <c r="DY40" s="386"/>
      <c r="DZ40" s="386"/>
      <c r="EA40" s="206"/>
      <c r="EB40" s="206"/>
      <c r="EC40" s="386"/>
      <c r="ED40" s="386"/>
      <c r="EE40" s="386"/>
      <c r="EF40" s="386"/>
      <c r="EG40" s="386"/>
      <c r="EH40" s="386"/>
      <c r="EI40" s="386"/>
      <c r="EJ40" s="386"/>
      <c r="EK40" s="386"/>
      <c r="EL40" s="386"/>
      <c r="EM40" s="386"/>
      <c r="EN40" s="206"/>
      <c r="EO40" s="206"/>
      <c r="EP40" s="386"/>
      <c r="EQ40" s="386"/>
      <c r="ER40" s="386"/>
      <c r="ES40" s="386"/>
      <c r="ET40" s="386"/>
      <c r="EU40" s="386"/>
      <c r="EV40" s="386"/>
      <c r="EW40" s="386"/>
      <c r="EX40" s="386"/>
      <c r="EY40" s="386"/>
      <c r="EZ40" s="386"/>
      <c r="FA40" s="206"/>
      <c r="FB40" s="206"/>
      <c r="FC40" s="386"/>
      <c r="FD40" s="386"/>
      <c r="FE40" s="386"/>
      <c r="FF40" s="386"/>
      <c r="FG40" s="386"/>
      <c r="FH40" s="386"/>
      <c r="FI40" s="386"/>
      <c r="FJ40" s="386"/>
      <c r="FK40" s="386"/>
      <c r="FL40" s="386"/>
      <c r="FM40" s="386"/>
      <c r="FN40" s="206"/>
      <c r="FO40" s="206"/>
      <c r="FP40" s="386"/>
      <c r="FQ40" s="386"/>
      <c r="FR40" s="386"/>
      <c r="FS40" s="386"/>
      <c r="FT40" s="386"/>
      <c r="FU40" s="386"/>
      <c r="FV40" s="386"/>
      <c r="FW40" s="386"/>
      <c r="FX40" s="386"/>
      <c r="FY40" s="386"/>
      <c r="FZ40" s="386"/>
      <c r="GA40" s="206"/>
      <c r="GB40" s="206"/>
      <c r="GC40" s="386"/>
      <c r="GD40" s="386"/>
      <c r="GE40" s="386"/>
      <c r="GF40" s="386"/>
      <c r="GG40" s="386"/>
      <c r="GH40" s="386"/>
      <c r="GI40" s="386"/>
      <c r="GJ40" s="386"/>
      <c r="GK40" s="386"/>
      <c r="GL40" s="386"/>
      <c r="GM40" s="386"/>
      <c r="GN40" s="206"/>
      <c r="GO40" s="206"/>
      <c r="GP40" s="386"/>
      <c r="GQ40" s="386"/>
      <c r="GR40" s="386"/>
      <c r="GS40" s="386"/>
      <c r="GT40" s="386"/>
      <c r="GU40" s="386"/>
      <c r="GV40" s="386"/>
      <c r="GW40" s="386"/>
      <c r="GX40" s="386"/>
      <c r="GY40" s="386"/>
      <c r="GZ40" s="386"/>
      <c r="HA40" s="206"/>
      <c r="HB40" s="206"/>
      <c r="HC40" s="386"/>
      <c r="HD40" s="386"/>
      <c r="HE40" s="386"/>
      <c r="HF40" s="386"/>
      <c r="HG40" s="386"/>
      <c r="HH40" s="386"/>
      <c r="HI40" s="386"/>
      <c r="HJ40" s="386"/>
      <c r="HK40" s="386"/>
      <c r="HL40" s="386"/>
      <c r="HM40" s="386"/>
      <c r="HN40" s="206"/>
      <c r="HO40" s="206"/>
      <c r="HP40" s="386"/>
      <c r="HQ40" s="386"/>
      <c r="HR40" s="386"/>
      <c r="HS40" s="386"/>
      <c r="HT40" s="386"/>
      <c r="HU40" s="386"/>
      <c r="HV40" s="386"/>
      <c r="HW40" s="386"/>
      <c r="HX40" s="386"/>
      <c r="HY40" s="386"/>
      <c r="HZ40" s="386"/>
      <c r="IA40" s="206"/>
      <c r="IB40" s="206"/>
      <c r="IC40" s="386"/>
      <c r="ID40" s="386"/>
      <c r="IE40" s="386"/>
      <c r="IF40" s="386"/>
      <c r="IG40" s="386"/>
      <c r="IH40" s="386"/>
      <c r="II40" s="386"/>
      <c r="IJ40" s="386"/>
      <c r="IK40" s="386"/>
      <c r="IL40" s="386"/>
      <c r="IM40" s="386"/>
      <c r="IN40" s="206"/>
      <c r="IO40" s="206"/>
      <c r="IP40" s="386"/>
      <c r="IQ40" s="386"/>
      <c r="IR40" s="386"/>
      <c r="IS40" s="386"/>
      <c r="IT40" s="386"/>
      <c r="IU40" s="386"/>
      <c r="IV40" s="386"/>
    </row>
    <row r="41" spans="1:256" x14ac:dyDescent="0.2">
      <c r="A41" s="217"/>
      <c r="B41" s="218"/>
      <c r="C41" s="388"/>
      <c r="D41" s="388"/>
      <c r="E41" s="388"/>
      <c r="F41" s="388"/>
      <c r="G41" s="388"/>
      <c r="H41" s="388"/>
      <c r="I41" s="388"/>
      <c r="J41" s="388"/>
      <c r="K41" s="388"/>
      <c r="L41" s="388"/>
      <c r="M41" s="389"/>
      <c r="N41" s="210"/>
      <c r="O41" s="210"/>
      <c r="P41" s="221"/>
      <c r="Q41" s="221"/>
      <c r="R41" s="221"/>
      <c r="S41" s="221"/>
      <c r="T41" s="221"/>
      <c r="U41" s="221"/>
      <c r="V41" s="221"/>
      <c r="W41" s="221"/>
      <c r="X41" s="221"/>
      <c r="Y41" s="221"/>
      <c r="Z41" s="221"/>
      <c r="AA41" s="206"/>
      <c r="AB41" s="206"/>
      <c r="AC41" s="211"/>
      <c r="AD41" s="211"/>
      <c r="AE41" s="211"/>
      <c r="AF41" s="211"/>
      <c r="AG41" s="211"/>
      <c r="AH41" s="211"/>
      <c r="AI41" s="211"/>
      <c r="AJ41" s="211"/>
      <c r="AK41" s="211"/>
      <c r="AL41" s="211"/>
      <c r="AM41" s="211"/>
      <c r="AN41" s="206"/>
      <c r="AO41" s="206"/>
      <c r="AP41" s="211"/>
      <c r="AQ41" s="211"/>
      <c r="AR41" s="211"/>
      <c r="AS41" s="211"/>
      <c r="AT41" s="211"/>
      <c r="AU41" s="211"/>
      <c r="AV41" s="211"/>
      <c r="AW41" s="211"/>
      <c r="AX41" s="211"/>
      <c r="AY41" s="211"/>
      <c r="AZ41" s="211"/>
      <c r="BA41" s="206"/>
      <c r="BB41" s="206"/>
      <c r="BC41" s="211"/>
      <c r="BD41" s="211"/>
      <c r="BE41" s="211"/>
      <c r="BF41" s="211"/>
      <c r="BG41" s="211"/>
      <c r="BH41" s="211"/>
      <c r="BI41" s="211"/>
      <c r="BJ41" s="211"/>
      <c r="BK41" s="211"/>
      <c r="BL41" s="211"/>
      <c r="BM41" s="211"/>
      <c r="BN41" s="206"/>
      <c r="BO41" s="206"/>
      <c r="BP41" s="211"/>
      <c r="BQ41" s="211"/>
      <c r="BR41" s="211"/>
      <c r="BS41" s="211"/>
      <c r="BT41" s="211"/>
      <c r="BU41" s="211"/>
      <c r="BV41" s="211"/>
      <c r="BW41" s="211"/>
      <c r="BX41" s="211"/>
      <c r="BY41" s="211"/>
      <c r="BZ41" s="211"/>
      <c r="CA41" s="206"/>
      <c r="CB41" s="206"/>
      <c r="CC41" s="211"/>
      <c r="CD41" s="211"/>
      <c r="CE41" s="211"/>
      <c r="CF41" s="211"/>
      <c r="CG41" s="211"/>
      <c r="CH41" s="211"/>
      <c r="CI41" s="211"/>
      <c r="CJ41" s="211"/>
      <c r="CK41" s="211"/>
      <c r="CL41" s="211"/>
      <c r="CM41" s="211"/>
      <c r="CN41" s="206"/>
      <c r="CO41" s="206"/>
      <c r="CP41" s="211"/>
      <c r="CQ41" s="211"/>
      <c r="CR41" s="211"/>
      <c r="CS41" s="211"/>
      <c r="CT41" s="211"/>
      <c r="CU41" s="211"/>
      <c r="CV41" s="211"/>
      <c r="CW41" s="211"/>
      <c r="CX41" s="211"/>
      <c r="CY41" s="211"/>
      <c r="CZ41" s="211"/>
      <c r="DA41" s="206"/>
      <c r="DB41" s="206"/>
      <c r="DC41" s="211"/>
      <c r="DD41" s="211"/>
      <c r="DE41" s="211"/>
      <c r="DF41" s="211"/>
      <c r="DG41" s="211"/>
      <c r="DH41" s="211"/>
      <c r="DI41" s="211"/>
      <c r="DJ41" s="211"/>
      <c r="DK41" s="211"/>
      <c r="DL41" s="211"/>
      <c r="DM41" s="211"/>
      <c r="DN41" s="206"/>
      <c r="DO41" s="206"/>
      <c r="DP41" s="211"/>
      <c r="DQ41" s="211"/>
      <c r="DR41" s="211"/>
      <c r="DS41" s="211"/>
      <c r="DT41" s="211"/>
      <c r="DU41" s="211"/>
      <c r="DV41" s="211"/>
      <c r="DW41" s="211"/>
      <c r="DX41" s="211"/>
      <c r="DY41" s="211"/>
      <c r="DZ41" s="211"/>
      <c r="EA41" s="206"/>
      <c r="EB41" s="206"/>
      <c r="EC41" s="211"/>
      <c r="ED41" s="211"/>
      <c r="EE41" s="211"/>
      <c r="EF41" s="211"/>
      <c r="EG41" s="211"/>
      <c r="EH41" s="211"/>
      <c r="EI41" s="211"/>
      <c r="EJ41" s="211"/>
      <c r="EK41" s="211"/>
      <c r="EL41" s="211"/>
      <c r="EM41" s="211"/>
      <c r="EN41" s="206"/>
      <c r="EO41" s="206"/>
      <c r="EP41" s="211"/>
      <c r="EQ41" s="211"/>
      <c r="ER41" s="211"/>
      <c r="ES41" s="211"/>
      <c r="ET41" s="211"/>
      <c r="EU41" s="211"/>
      <c r="EV41" s="211"/>
      <c r="EW41" s="211"/>
      <c r="EX41" s="211"/>
      <c r="EY41" s="211"/>
      <c r="EZ41" s="211"/>
      <c r="FA41" s="206"/>
      <c r="FB41" s="206"/>
      <c r="FC41" s="211"/>
      <c r="FD41" s="211"/>
      <c r="FE41" s="211"/>
      <c r="FF41" s="211"/>
      <c r="FG41" s="211"/>
      <c r="FH41" s="211"/>
      <c r="FI41" s="211"/>
      <c r="FJ41" s="211"/>
      <c r="FK41" s="211"/>
      <c r="FL41" s="211"/>
      <c r="FM41" s="211"/>
      <c r="FN41" s="206"/>
      <c r="FO41" s="206"/>
      <c r="FP41" s="211"/>
      <c r="FQ41" s="211"/>
      <c r="FR41" s="211"/>
      <c r="FS41" s="211"/>
      <c r="FT41" s="211"/>
      <c r="FU41" s="211"/>
      <c r="FV41" s="211"/>
      <c r="FW41" s="211"/>
      <c r="FX41" s="211"/>
      <c r="FY41" s="211"/>
      <c r="FZ41" s="211"/>
      <c r="GA41" s="206"/>
      <c r="GB41" s="206"/>
      <c r="GC41" s="211"/>
      <c r="GD41" s="211"/>
      <c r="GE41" s="211"/>
      <c r="GF41" s="211"/>
      <c r="GG41" s="211"/>
      <c r="GH41" s="211"/>
      <c r="GI41" s="211"/>
      <c r="GJ41" s="211"/>
      <c r="GK41" s="211"/>
      <c r="GL41" s="211"/>
      <c r="GM41" s="211"/>
      <c r="GN41" s="206"/>
      <c r="GO41" s="206"/>
      <c r="GP41" s="211"/>
      <c r="GQ41" s="211"/>
      <c r="GR41" s="211"/>
      <c r="GS41" s="211"/>
      <c r="GT41" s="211"/>
      <c r="GU41" s="211"/>
      <c r="GV41" s="211"/>
      <c r="GW41" s="211"/>
      <c r="GX41" s="211"/>
      <c r="GY41" s="211"/>
      <c r="GZ41" s="211"/>
      <c r="HA41" s="206"/>
      <c r="HB41" s="206"/>
      <c r="HC41" s="211"/>
      <c r="HD41" s="211"/>
      <c r="HE41" s="211"/>
      <c r="HF41" s="211"/>
      <c r="HG41" s="211"/>
      <c r="HH41" s="211"/>
      <c r="HI41" s="211"/>
      <c r="HJ41" s="211"/>
      <c r="HK41" s="211"/>
      <c r="HL41" s="211"/>
      <c r="HM41" s="211"/>
      <c r="HN41" s="206"/>
      <c r="HO41" s="206"/>
      <c r="HP41" s="211"/>
      <c r="HQ41" s="211"/>
      <c r="HR41" s="211"/>
      <c r="HS41" s="211"/>
      <c r="HT41" s="211"/>
      <c r="HU41" s="211"/>
      <c r="HV41" s="211"/>
      <c r="HW41" s="211"/>
      <c r="HX41" s="211"/>
      <c r="HY41" s="211"/>
      <c r="HZ41" s="211"/>
      <c r="IA41" s="206"/>
      <c r="IB41" s="206"/>
      <c r="IC41" s="211"/>
      <c r="ID41" s="211"/>
      <c r="IE41" s="211"/>
      <c r="IF41" s="211"/>
      <c r="IG41" s="211"/>
      <c r="IH41" s="211"/>
      <c r="II41" s="211"/>
      <c r="IJ41" s="211"/>
      <c r="IK41" s="211"/>
      <c r="IL41" s="211"/>
      <c r="IM41" s="211"/>
      <c r="IN41" s="206"/>
      <c r="IO41" s="206"/>
      <c r="IP41" s="211"/>
      <c r="IQ41" s="211"/>
      <c r="IR41" s="211"/>
      <c r="IS41" s="211"/>
      <c r="IT41" s="211"/>
      <c r="IU41" s="211"/>
      <c r="IV41" s="211"/>
    </row>
    <row r="42" spans="1:256" x14ac:dyDescent="0.2">
      <c r="A42" s="217"/>
      <c r="B42" s="218"/>
      <c r="C42" s="388"/>
      <c r="D42" s="388"/>
      <c r="E42" s="388"/>
      <c r="F42" s="388"/>
      <c r="G42" s="388"/>
      <c r="H42" s="388"/>
      <c r="I42" s="388"/>
      <c r="J42" s="388"/>
      <c r="K42" s="388"/>
      <c r="L42" s="388"/>
      <c r="M42" s="389"/>
      <c r="N42" s="210"/>
      <c r="O42" s="210"/>
      <c r="P42" s="221"/>
      <c r="Q42" s="221"/>
      <c r="R42" s="221"/>
      <c r="S42" s="221"/>
      <c r="T42" s="221"/>
      <c r="U42" s="221"/>
      <c r="V42" s="221"/>
      <c r="W42" s="221"/>
      <c r="X42" s="221"/>
      <c r="Y42" s="221"/>
      <c r="Z42" s="221"/>
      <c r="AA42" s="206"/>
      <c r="AB42" s="206"/>
      <c r="AC42" s="211"/>
      <c r="AD42" s="211"/>
      <c r="AE42" s="211"/>
      <c r="AF42" s="211"/>
      <c r="AG42" s="211"/>
      <c r="AH42" s="211"/>
      <c r="AI42" s="211"/>
      <c r="AJ42" s="211"/>
      <c r="AK42" s="211"/>
      <c r="AL42" s="211"/>
      <c r="AM42" s="211"/>
      <c r="AN42" s="206"/>
      <c r="AO42" s="206"/>
      <c r="AP42" s="211"/>
      <c r="AQ42" s="211"/>
      <c r="AR42" s="211"/>
      <c r="AS42" s="211"/>
      <c r="AT42" s="211"/>
      <c r="AU42" s="211"/>
      <c r="AV42" s="211"/>
      <c r="AW42" s="211"/>
      <c r="AX42" s="211"/>
      <c r="AY42" s="211"/>
      <c r="AZ42" s="211"/>
      <c r="BA42" s="206"/>
      <c r="BB42" s="206"/>
      <c r="BC42" s="211"/>
      <c r="BD42" s="211"/>
      <c r="BE42" s="211"/>
      <c r="BF42" s="211"/>
      <c r="BG42" s="211"/>
      <c r="BH42" s="211"/>
      <c r="BI42" s="211"/>
      <c r="BJ42" s="211"/>
      <c r="BK42" s="211"/>
      <c r="BL42" s="211"/>
      <c r="BM42" s="211"/>
      <c r="BN42" s="206"/>
      <c r="BO42" s="206"/>
      <c r="BP42" s="211"/>
      <c r="BQ42" s="211"/>
      <c r="BR42" s="211"/>
      <c r="BS42" s="211"/>
      <c r="BT42" s="211"/>
      <c r="BU42" s="211"/>
      <c r="BV42" s="211"/>
      <c r="BW42" s="211"/>
      <c r="BX42" s="211"/>
      <c r="BY42" s="211"/>
      <c r="BZ42" s="211"/>
      <c r="CA42" s="206"/>
      <c r="CB42" s="206"/>
      <c r="CC42" s="211"/>
      <c r="CD42" s="211"/>
      <c r="CE42" s="211"/>
      <c r="CF42" s="211"/>
      <c r="CG42" s="211"/>
      <c r="CH42" s="211"/>
      <c r="CI42" s="211"/>
      <c r="CJ42" s="211"/>
      <c r="CK42" s="211"/>
      <c r="CL42" s="211"/>
      <c r="CM42" s="211"/>
      <c r="CN42" s="206"/>
      <c r="CO42" s="206"/>
      <c r="CP42" s="211"/>
      <c r="CQ42" s="211"/>
      <c r="CR42" s="211"/>
      <c r="CS42" s="211"/>
      <c r="CT42" s="211"/>
      <c r="CU42" s="211"/>
      <c r="CV42" s="211"/>
      <c r="CW42" s="211"/>
      <c r="CX42" s="211"/>
      <c r="CY42" s="211"/>
      <c r="CZ42" s="211"/>
      <c r="DA42" s="206"/>
      <c r="DB42" s="206"/>
      <c r="DC42" s="211"/>
      <c r="DD42" s="211"/>
      <c r="DE42" s="211"/>
      <c r="DF42" s="211"/>
      <c r="DG42" s="211"/>
      <c r="DH42" s="211"/>
      <c r="DI42" s="211"/>
      <c r="DJ42" s="211"/>
      <c r="DK42" s="211"/>
      <c r="DL42" s="211"/>
      <c r="DM42" s="211"/>
      <c r="DN42" s="206"/>
      <c r="DO42" s="206"/>
      <c r="DP42" s="211"/>
      <c r="DQ42" s="211"/>
      <c r="DR42" s="211"/>
      <c r="DS42" s="211"/>
      <c r="DT42" s="211"/>
      <c r="DU42" s="211"/>
      <c r="DV42" s="211"/>
      <c r="DW42" s="211"/>
      <c r="DX42" s="211"/>
      <c r="DY42" s="211"/>
      <c r="DZ42" s="211"/>
      <c r="EA42" s="206"/>
      <c r="EB42" s="206"/>
      <c r="EC42" s="211"/>
      <c r="ED42" s="211"/>
      <c r="EE42" s="211"/>
      <c r="EF42" s="211"/>
      <c r="EG42" s="211"/>
      <c r="EH42" s="211"/>
      <c r="EI42" s="211"/>
      <c r="EJ42" s="211"/>
      <c r="EK42" s="211"/>
      <c r="EL42" s="211"/>
      <c r="EM42" s="211"/>
      <c r="EN42" s="206"/>
      <c r="EO42" s="206"/>
      <c r="EP42" s="211"/>
      <c r="EQ42" s="211"/>
      <c r="ER42" s="211"/>
      <c r="ES42" s="211"/>
      <c r="ET42" s="211"/>
      <c r="EU42" s="211"/>
      <c r="EV42" s="211"/>
      <c r="EW42" s="211"/>
      <c r="EX42" s="211"/>
      <c r="EY42" s="211"/>
      <c r="EZ42" s="211"/>
      <c r="FA42" s="206"/>
      <c r="FB42" s="206"/>
      <c r="FC42" s="211"/>
      <c r="FD42" s="211"/>
      <c r="FE42" s="211"/>
      <c r="FF42" s="211"/>
      <c r="FG42" s="211"/>
      <c r="FH42" s="211"/>
      <c r="FI42" s="211"/>
      <c r="FJ42" s="211"/>
      <c r="FK42" s="211"/>
      <c r="FL42" s="211"/>
      <c r="FM42" s="211"/>
      <c r="FN42" s="206"/>
      <c r="FO42" s="206"/>
      <c r="FP42" s="211"/>
      <c r="FQ42" s="211"/>
      <c r="FR42" s="211"/>
      <c r="FS42" s="211"/>
      <c r="FT42" s="211"/>
      <c r="FU42" s="211"/>
      <c r="FV42" s="211"/>
      <c r="FW42" s="211"/>
      <c r="FX42" s="211"/>
      <c r="FY42" s="211"/>
      <c r="FZ42" s="211"/>
      <c r="GA42" s="206"/>
      <c r="GB42" s="206"/>
      <c r="GC42" s="211"/>
      <c r="GD42" s="211"/>
      <c r="GE42" s="211"/>
      <c r="GF42" s="211"/>
      <c r="GG42" s="211"/>
      <c r="GH42" s="211"/>
      <c r="GI42" s="211"/>
      <c r="GJ42" s="211"/>
      <c r="GK42" s="211"/>
      <c r="GL42" s="211"/>
      <c r="GM42" s="211"/>
      <c r="GN42" s="206"/>
      <c r="GO42" s="206"/>
      <c r="GP42" s="211"/>
      <c r="GQ42" s="211"/>
      <c r="GR42" s="211"/>
      <c r="GS42" s="211"/>
      <c r="GT42" s="211"/>
      <c r="GU42" s="211"/>
      <c r="GV42" s="211"/>
      <c r="GW42" s="211"/>
      <c r="GX42" s="211"/>
      <c r="GY42" s="211"/>
      <c r="GZ42" s="211"/>
      <c r="HA42" s="206"/>
      <c r="HB42" s="206"/>
      <c r="HC42" s="211"/>
      <c r="HD42" s="211"/>
      <c r="HE42" s="211"/>
      <c r="HF42" s="211"/>
      <c r="HG42" s="211"/>
      <c r="HH42" s="211"/>
      <c r="HI42" s="211"/>
      <c r="HJ42" s="211"/>
      <c r="HK42" s="211"/>
      <c r="HL42" s="211"/>
      <c r="HM42" s="211"/>
      <c r="HN42" s="206"/>
      <c r="HO42" s="206"/>
      <c r="HP42" s="211"/>
      <c r="HQ42" s="211"/>
      <c r="HR42" s="211"/>
      <c r="HS42" s="211"/>
      <c r="HT42" s="211"/>
      <c r="HU42" s="211"/>
      <c r="HV42" s="211"/>
      <c r="HW42" s="211"/>
      <c r="HX42" s="211"/>
      <c r="HY42" s="211"/>
      <c r="HZ42" s="211"/>
      <c r="IA42" s="206"/>
      <c r="IB42" s="206"/>
      <c r="IC42" s="211"/>
      <c r="ID42" s="211"/>
      <c r="IE42" s="211"/>
      <c r="IF42" s="211"/>
      <c r="IG42" s="211"/>
      <c r="IH42" s="211"/>
      <c r="II42" s="211"/>
      <c r="IJ42" s="211"/>
      <c r="IK42" s="211"/>
      <c r="IL42" s="211"/>
      <c r="IM42" s="211"/>
      <c r="IN42" s="206"/>
      <c r="IO42" s="206"/>
      <c r="IP42" s="211"/>
      <c r="IQ42" s="211"/>
      <c r="IR42" s="211"/>
      <c r="IS42" s="211"/>
      <c r="IT42" s="211"/>
      <c r="IU42" s="211"/>
      <c r="IV42" s="211"/>
    </row>
    <row r="43" spans="1:256" x14ac:dyDescent="0.2">
      <c r="A43" s="217"/>
      <c r="B43" s="218"/>
      <c r="C43" s="388"/>
      <c r="D43" s="388"/>
      <c r="E43" s="388"/>
      <c r="F43" s="388"/>
      <c r="G43" s="388"/>
      <c r="H43" s="388"/>
      <c r="I43" s="388"/>
      <c r="J43" s="388"/>
      <c r="K43" s="388"/>
      <c r="L43" s="388"/>
      <c r="M43" s="389"/>
      <c r="N43" s="210"/>
      <c r="O43" s="210"/>
      <c r="P43" s="221"/>
      <c r="Q43" s="221"/>
      <c r="R43" s="221"/>
      <c r="S43" s="221"/>
      <c r="T43" s="221"/>
      <c r="U43" s="221"/>
      <c r="V43" s="221"/>
      <c r="W43" s="221"/>
      <c r="X43" s="221"/>
      <c r="Y43" s="221"/>
      <c r="Z43" s="221"/>
      <c r="AA43" s="206"/>
      <c r="AB43" s="206"/>
      <c r="AC43" s="211"/>
      <c r="AD43" s="211"/>
      <c r="AE43" s="211"/>
      <c r="AF43" s="211"/>
      <c r="AG43" s="211"/>
      <c r="AH43" s="211"/>
      <c r="AI43" s="211"/>
      <c r="AJ43" s="211"/>
      <c r="AK43" s="211"/>
      <c r="AL43" s="211"/>
      <c r="AM43" s="211"/>
      <c r="AN43" s="206"/>
      <c r="AO43" s="206"/>
      <c r="AP43" s="211"/>
      <c r="AQ43" s="211"/>
      <c r="AR43" s="211"/>
      <c r="AS43" s="211"/>
      <c r="AT43" s="211"/>
      <c r="AU43" s="211"/>
      <c r="AV43" s="211"/>
      <c r="AW43" s="211"/>
      <c r="AX43" s="211"/>
      <c r="AY43" s="211"/>
      <c r="AZ43" s="211"/>
      <c r="BA43" s="206"/>
      <c r="BB43" s="206"/>
      <c r="BC43" s="211"/>
      <c r="BD43" s="211"/>
      <c r="BE43" s="211"/>
      <c r="BF43" s="211"/>
      <c r="BG43" s="211"/>
      <c r="BH43" s="211"/>
      <c r="BI43" s="211"/>
      <c r="BJ43" s="211"/>
      <c r="BK43" s="211"/>
      <c r="BL43" s="211"/>
      <c r="BM43" s="211"/>
      <c r="BN43" s="206"/>
      <c r="BO43" s="206"/>
      <c r="BP43" s="211"/>
      <c r="BQ43" s="211"/>
      <c r="BR43" s="211"/>
      <c r="BS43" s="211"/>
      <c r="BT43" s="211"/>
      <c r="BU43" s="211"/>
      <c r="BV43" s="211"/>
      <c r="BW43" s="211"/>
      <c r="BX43" s="211"/>
      <c r="BY43" s="211"/>
      <c r="BZ43" s="211"/>
      <c r="CA43" s="206"/>
      <c r="CB43" s="206"/>
      <c r="CC43" s="211"/>
      <c r="CD43" s="211"/>
      <c r="CE43" s="211"/>
      <c r="CF43" s="211"/>
      <c r="CG43" s="211"/>
      <c r="CH43" s="211"/>
      <c r="CI43" s="211"/>
      <c r="CJ43" s="211"/>
      <c r="CK43" s="211"/>
      <c r="CL43" s="211"/>
      <c r="CM43" s="211"/>
      <c r="CN43" s="206"/>
      <c r="CO43" s="206"/>
      <c r="CP43" s="211"/>
      <c r="CQ43" s="211"/>
      <c r="CR43" s="211"/>
      <c r="CS43" s="211"/>
      <c r="CT43" s="211"/>
      <c r="CU43" s="211"/>
      <c r="CV43" s="211"/>
      <c r="CW43" s="211"/>
      <c r="CX43" s="211"/>
      <c r="CY43" s="211"/>
      <c r="CZ43" s="211"/>
      <c r="DA43" s="206"/>
      <c r="DB43" s="206"/>
      <c r="DC43" s="211"/>
      <c r="DD43" s="211"/>
      <c r="DE43" s="211"/>
      <c r="DF43" s="211"/>
      <c r="DG43" s="211"/>
      <c r="DH43" s="211"/>
      <c r="DI43" s="211"/>
      <c r="DJ43" s="211"/>
      <c r="DK43" s="211"/>
      <c r="DL43" s="211"/>
      <c r="DM43" s="211"/>
      <c r="DN43" s="206"/>
      <c r="DO43" s="206"/>
      <c r="DP43" s="211"/>
      <c r="DQ43" s="211"/>
      <c r="DR43" s="211"/>
      <c r="DS43" s="211"/>
      <c r="DT43" s="211"/>
      <c r="DU43" s="211"/>
      <c r="DV43" s="211"/>
      <c r="DW43" s="211"/>
      <c r="DX43" s="211"/>
      <c r="DY43" s="211"/>
      <c r="DZ43" s="211"/>
      <c r="EA43" s="206"/>
      <c r="EB43" s="206"/>
      <c r="EC43" s="211"/>
      <c r="ED43" s="211"/>
      <c r="EE43" s="211"/>
      <c r="EF43" s="211"/>
      <c r="EG43" s="211"/>
      <c r="EH43" s="211"/>
      <c r="EI43" s="211"/>
      <c r="EJ43" s="211"/>
      <c r="EK43" s="211"/>
      <c r="EL43" s="211"/>
      <c r="EM43" s="211"/>
      <c r="EN43" s="206"/>
      <c r="EO43" s="206"/>
      <c r="EP43" s="211"/>
      <c r="EQ43" s="211"/>
      <c r="ER43" s="211"/>
      <c r="ES43" s="211"/>
      <c r="ET43" s="211"/>
      <c r="EU43" s="211"/>
      <c r="EV43" s="211"/>
      <c r="EW43" s="211"/>
      <c r="EX43" s="211"/>
      <c r="EY43" s="211"/>
      <c r="EZ43" s="211"/>
      <c r="FA43" s="206"/>
      <c r="FB43" s="206"/>
      <c r="FC43" s="211"/>
      <c r="FD43" s="211"/>
      <c r="FE43" s="211"/>
      <c r="FF43" s="211"/>
      <c r="FG43" s="211"/>
      <c r="FH43" s="211"/>
      <c r="FI43" s="211"/>
      <c r="FJ43" s="211"/>
      <c r="FK43" s="211"/>
      <c r="FL43" s="211"/>
      <c r="FM43" s="211"/>
      <c r="FN43" s="206"/>
      <c r="FO43" s="206"/>
      <c r="FP43" s="211"/>
      <c r="FQ43" s="211"/>
      <c r="FR43" s="211"/>
      <c r="FS43" s="211"/>
      <c r="FT43" s="211"/>
      <c r="FU43" s="211"/>
      <c r="FV43" s="211"/>
      <c r="FW43" s="211"/>
      <c r="FX43" s="211"/>
      <c r="FY43" s="211"/>
      <c r="FZ43" s="211"/>
      <c r="GA43" s="206"/>
      <c r="GB43" s="206"/>
      <c r="GC43" s="211"/>
      <c r="GD43" s="211"/>
      <c r="GE43" s="211"/>
      <c r="GF43" s="211"/>
      <c r="GG43" s="211"/>
      <c r="GH43" s="211"/>
      <c r="GI43" s="211"/>
      <c r="GJ43" s="211"/>
      <c r="GK43" s="211"/>
      <c r="GL43" s="211"/>
      <c r="GM43" s="211"/>
      <c r="GN43" s="206"/>
      <c r="GO43" s="206"/>
      <c r="GP43" s="211"/>
      <c r="GQ43" s="211"/>
      <c r="GR43" s="211"/>
      <c r="GS43" s="211"/>
      <c r="GT43" s="211"/>
      <c r="GU43" s="211"/>
      <c r="GV43" s="211"/>
      <c r="GW43" s="211"/>
      <c r="GX43" s="211"/>
      <c r="GY43" s="211"/>
      <c r="GZ43" s="211"/>
      <c r="HA43" s="206"/>
      <c r="HB43" s="206"/>
      <c r="HC43" s="211"/>
      <c r="HD43" s="211"/>
      <c r="HE43" s="211"/>
      <c r="HF43" s="211"/>
      <c r="HG43" s="211"/>
      <c r="HH43" s="211"/>
      <c r="HI43" s="211"/>
      <c r="HJ43" s="211"/>
      <c r="HK43" s="211"/>
      <c r="HL43" s="211"/>
      <c r="HM43" s="211"/>
      <c r="HN43" s="206"/>
      <c r="HO43" s="206"/>
      <c r="HP43" s="211"/>
      <c r="HQ43" s="211"/>
      <c r="HR43" s="211"/>
      <c r="HS43" s="211"/>
      <c r="HT43" s="211"/>
      <c r="HU43" s="211"/>
      <c r="HV43" s="211"/>
      <c r="HW43" s="211"/>
      <c r="HX43" s="211"/>
      <c r="HY43" s="211"/>
      <c r="HZ43" s="211"/>
      <c r="IA43" s="206"/>
      <c r="IB43" s="206"/>
      <c r="IC43" s="211"/>
      <c r="ID43" s="211"/>
      <c r="IE43" s="211"/>
      <c r="IF43" s="211"/>
      <c r="IG43" s="211"/>
      <c r="IH43" s="211"/>
      <c r="II43" s="211"/>
      <c r="IJ43" s="211"/>
      <c r="IK43" s="211"/>
      <c r="IL43" s="211"/>
      <c r="IM43" s="211"/>
      <c r="IN43" s="206"/>
      <c r="IO43" s="206"/>
      <c r="IP43" s="211"/>
      <c r="IQ43" s="211"/>
      <c r="IR43" s="211"/>
      <c r="IS43" s="211"/>
      <c r="IT43" s="211"/>
      <c r="IU43" s="211"/>
      <c r="IV43" s="211"/>
    </row>
    <row r="44" spans="1:256" x14ac:dyDescent="0.2">
      <c r="A44" s="217"/>
      <c r="B44" s="218"/>
      <c r="C44" s="388"/>
      <c r="D44" s="388"/>
      <c r="E44" s="388"/>
      <c r="F44" s="388"/>
      <c r="G44" s="388"/>
      <c r="H44" s="388"/>
      <c r="I44" s="388"/>
      <c r="J44" s="388"/>
      <c r="K44" s="388"/>
      <c r="L44" s="388"/>
      <c r="M44" s="389"/>
      <c r="N44" s="210"/>
      <c r="O44" s="210"/>
      <c r="P44" s="221"/>
      <c r="Q44" s="221"/>
      <c r="R44" s="221"/>
      <c r="S44" s="221"/>
      <c r="T44" s="221"/>
      <c r="U44" s="221"/>
      <c r="V44" s="221"/>
      <c r="W44" s="221"/>
      <c r="X44" s="221"/>
      <c r="Y44" s="221"/>
      <c r="Z44" s="221"/>
      <c r="AA44" s="206"/>
      <c r="AB44" s="206"/>
      <c r="AC44" s="211"/>
      <c r="AD44" s="211"/>
      <c r="AE44" s="211"/>
      <c r="AF44" s="211"/>
      <c r="AG44" s="211"/>
      <c r="AH44" s="211"/>
      <c r="AI44" s="211"/>
      <c r="AJ44" s="211"/>
      <c r="AK44" s="211"/>
      <c r="AL44" s="211"/>
      <c r="AM44" s="211"/>
      <c r="AN44" s="206"/>
      <c r="AO44" s="206"/>
      <c r="AP44" s="211"/>
      <c r="AQ44" s="211"/>
      <c r="AR44" s="211"/>
      <c r="AS44" s="211"/>
      <c r="AT44" s="211"/>
      <c r="AU44" s="211"/>
      <c r="AV44" s="211"/>
      <c r="AW44" s="211"/>
      <c r="AX44" s="211"/>
      <c r="AY44" s="211"/>
      <c r="AZ44" s="211"/>
      <c r="BA44" s="206"/>
      <c r="BB44" s="206"/>
      <c r="BC44" s="211"/>
      <c r="BD44" s="211"/>
      <c r="BE44" s="211"/>
      <c r="BF44" s="211"/>
      <c r="BG44" s="211"/>
      <c r="BH44" s="211"/>
      <c r="BI44" s="211"/>
      <c r="BJ44" s="211"/>
      <c r="BK44" s="211"/>
      <c r="BL44" s="211"/>
      <c r="BM44" s="211"/>
      <c r="BN44" s="206"/>
      <c r="BO44" s="206"/>
      <c r="BP44" s="211"/>
      <c r="BQ44" s="211"/>
      <c r="BR44" s="211"/>
      <c r="BS44" s="211"/>
      <c r="BT44" s="211"/>
      <c r="BU44" s="211"/>
      <c r="BV44" s="211"/>
      <c r="BW44" s="211"/>
      <c r="BX44" s="211"/>
      <c r="BY44" s="211"/>
      <c r="BZ44" s="211"/>
      <c r="CA44" s="206"/>
      <c r="CB44" s="206"/>
      <c r="CC44" s="211"/>
      <c r="CD44" s="211"/>
      <c r="CE44" s="211"/>
      <c r="CF44" s="211"/>
      <c r="CG44" s="211"/>
      <c r="CH44" s="211"/>
      <c r="CI44" s="211"/>
      <c r="CJ44" s="211"/>
      <c r="CK44" s="211"/>
      <c r="CL44" s="211"/>
      <c r="CM44" s="211"/>
      <c r="CN44" s="206"/>
      <c r="CO44" s="206"/>
      <c r="CP44" s="211"/>
      <c r="CQ44" s="211"/>
      <c r="CR44" s="211"/>
      <c r="CS44" s="211"/>
      <c r="CT44" s="211"/>
      <c r="CU44" s="211"/>
      <c r="CV44" s="211"/>
      <c r="CW44" s="211"/>
      <c r="CX44" s="211"/>
      <c r="CY44" s="211"/>
      <c r="CZ44" s="211"/>
      <c r="DA44" s="206"/>
      <c r="DB44" s="206"/>
      <c r="DC44" s="211"/>
      <c r="DD44" s="211"/>
      <c r="DE44" s="211"/>
      <c r="DF44" s="211"/>
      <c r="DG44" s="211"/>
      <c r="DH44" s="211"/>
      <c r="DI44" s="211"/>
      <c r="DJ44" s="211"/>
      <c r="DK44" s="211"/>
      <c r="DL44" s="211"/>
      <c r="DM44" s="211"/>
      <c r="DN44" s="206"/>
      <c r="DO44" s="206"/>
      <c r="DP44" s="211"/>
      <c r="DQ44" s="211"/>
      <c r="DR44" s="211"/>
      <c r="DS44" s="211"/>
      <c r="DT44" s="211"/>
      <c r="DU44" s="211"/>
      <c r="DV44" s="211"/>
      <c r="DW44" s="211"/>
      <c r="DX44" s="211"/>
      <c r="DY44" s="211"/>
      <c r="DZ44" s="211"/>
      <c r="EA44" s="206"/>
      <c r="EB44" s="206"/>
      <c r="EC44" s="211"/>
      <c r="ED44" s="211"/>
      <c r="EE44" s="211"/>
      <c r="EF44" s="211"/>
      <c r="EG44" s="211"/>
      <c r="EH44" s="211"/>
      <c r="EI44" s="211"/>
      <c r="EJ44" s="211"/>
      <c r="EK44" s="211"/>
      <c r="EL44" s="211"/>
      <c r="EM44" s="211"/>
      <c r="EN44" s="206"/>
      <c r="EO44" s="206"/>
      <c r="EP44" s="211"/>
      <c r="EQ44" s="211"/>
      <c r="ER44" s="211"/>
      <c r="ES44" s="211"/>
      <c r="ET44" s="211"/>
      <c r="EU44" s="211"/>
      <c r="EV44" s="211"/>
      <c r="EW44" s="211"/>
      <c r="EX44" s="211"/>
      <c r="EY44" s="211"/>
      <c r="EZ44" s="211"/>
      <c r="FA44" s="206"/>
      <c r="FB44" s="206"/>
      <c r="FC44" s="211"/>
      <c r="FD44" s="211"/>
      <c r="FE44" s="211"/>
      <c r="FF44" s="211"/>
      <c r="FG44" s="211"/>
      <c r="FH44" s="211"/>
      <c r="FI44" s="211"/>
      <c r="FJ44" s="211"/>
      <c r="FK44" s="211"/>
      <c r="FL44" s="211"/>
      <c r="FM44" s="211"/>
      <c r="FN44" s="206"/>
      <c r="FO44" s="206"/>
      <c r="FP44" s="211"/>
      <c r="FQ44" s="211"/>
      <c r="FR44" s="211"/>
      <c r="FS44" s="211"/>
      <c r="FT44" s="211"/>
      <c r="FU44" s="211"/>
      <c r="FV44" s="211"/>
      <c r="FW44" s="211"/>
      <c r="FX44" s="211"/>
      <c r="FY44" s="211"/>
      <c r="FZ44" s="211"/>
      <c r="GA44" s="206"/>
      <c r="GB44" s="206"/>
      <c r="GC44" s="211"/>
      <c r="GD44" s="211"/>
      <c r="GE44" s="211"/>
      <c r="GF44" s="211"/>
      <c r="GG44" s="211"/>
      <c r="GH44" s="211"/>
      <c r="GI44" s="211"/>
      <c r="GJ44" s="211"/>
      <c r="GK44" s="211"/>
      <c r="GL44" s="211"/>
      <c r="GM44" s="211"/>
      <c r="GN44" s="206"/>
      <c r="GO44" s="206"/>
      <c r="GP44" s="211"/>
      <c r="GQ44" s="211"/>
      <c r="GR44" s="211"/>
      <c r="GS44" s="211"/>
      <c r="GT44" s="211"/>
      <c r="GU44" s="211"/>
      <c r="GV44" s="211"/>
      <c r="GW44" s="211"/>
      <c r="GX44" s="211"/>
      <c r="GY44" s="211"/>
      <c r="GZ44" s="211"/>
      <c r="HA44" s="206"/>
      <c r="HB44" s="206"/>
      <c r="HC44" s="211"/>
      <c r="HD44" s="211"/>
      <c r="HE44" s="211"/>
      <c r="HF44" s="211"/>
      <c r="HG44" s="211"/>
      <c r="HH44" s="211"/>
      <c r="HI44" s="211"/>
      <c r="HJ44" s="211"/>
      <c r="HK44" s="211"/>
      <c r="HL44" s="211"/>
      <c r="HM44" s="211"/>
      <c r="HN44" s="206"/>
      <c r="HO44" s="206"/>
      <c r="HP44" s="211"/>
      <c r="HQ44" s="211"/>
      <c r="HR44" s="211"/>
      <c r="HS44" s="211"/>
      <c r="HT44" s="211"/>
      <c r="HU44" s="211"/>
      <c r="HV44" s="211"/>
      <c r="HW44" s="211"/>
      <c r="HX44" s="211"/>
      <c r="HY44" s="211"/>
      <c r="HZ44" s="211"/>
      <c r="IA44" s="206"/>
      <c r="IB44" s="206"/>
      <c r="IC44" s="211"/>
      <c r="ID44" s="211"/>
      <c r="IE44" s="211"/>
      <c r="IF44" s="211"/>
      <c r="IG44" s="211"/>
      <c r="IH44" s="211"/>
      <c r="II44" s="211"/>
      <c r="IJ44" s="211"/>
      <c r="IK44" s="211"/>
      <c r="IL44" s="211"/>
      <c r="IM44" s="211"/>
      <c r="IN44" s="206"/>
      <c r="IO44" s="206"/>
      <c r="IP44" s="211"/>
      <c r="IQ44" s="211"/>
      <c r="IR44" s="211"/>
      <c r="IS44" s="211"/>
      <c r="IT44" s="211"/>
      <c r="IU44" s="211"/>
      <c r="IV44" s="211"/>
    </row>
    <row r="45" spans="1:256" x14ac:dyDescent="0.2">
      <c r="A45" s="217"/>
      <c r="B45" s="218"/>
      <c r="C45" s="388"/>
      <c r="D45" s="388"/>
      <c r="E45" s="388"/>
      <c r="F45" s="388"/>
      <c r="G45" s="388"/>
      <c r="H45" s="388"/>
      <c r="I45" s="388"/>
      <c r="J45" s="388"/>
      <c r="K45" s="388"/>
      <c r="L45" s="388"/>
      <c r="M45" s="389"/>
      <c r="N45" s="210"/>
      <c r="O45" s="210"/>
      <c r="P45" s="221"/>
      <c r="Q45" s="221"/>
      <c r="R45" s="221"/>
      <c r="S45" s="221"/>
      <c r="T45" s="221"/>
      <c r="U45" s="221"/>
      <c r="V45" s="221"/>
      <c r="W45" s="221"/>
      <c r="X45" s="221"/>
      <c r="Y45" s="221"/>
      <c r="Z45" s="221"/>
      <c r="AA45" s="206"/>
      <c r="AB45" s="206"/>
      <c r="AC45" s="211"/>
      <c r="AD45" s="211"/>
      <c r="AE45" s="211"/>
      <c r="AF45" s="211"/>
      <c r="AG45" s="211"/>
      <c r="AH45" s="211"/>
      <c r="AI45" s="211"/>
      <c r="AJ45" s="211"/>
      <c r="AK45" s="211"/>
      <c r="AL45" s="211"/>
      <c r="AM45" s="211"/>
      <c r="AN45" s="206"/>
      <c r="AO45" s="206"/>
      <c r="AP45" s="211"/>
      <c r="AQ45" s="211"/>
      <c r="AR45" s="211"/>
      <c r="AS45" s="211"/>
      <c r="AT45" s="211"/>
      <c r="AU45" s="211"/>
      <c r="AV45" s="211"/>
      <c r="AW45" s="211"/>
      <c r="AX45" s="211"/>
      <c r="AY45" s="211"/>
      <c r="AZ45" s="211"/>
      <c r="BA45" s="206"/>
      <c r="BB45" s="206"/>
      <c r="BC45" s="211"/>
      <c r="BD45" s="211"/>
      <c r="BE45" s="211"/>
      <c r="BF45" s="211"/>
      <c r="BG45" s="211"/>
      <c r="BH45" s="211"/>
      <c r="BI45" s="211"/>
      <c r="BJ45" s="211"/>
      <c r="BK45" s="211"/>
      <c r="BL45" s="211"/>
      <c r="BM45" s="211"/>
      <c r="BN45" s="206"/>
      <c r="BO45" s="206"/>
      <c r="BP45" s="211"/>
      <c r="BQ45" s="211"/>
      <c r="BR45" s="211"/>
      <c r="BS45" s="211"/>
      <c r="BT45" s="211"/>
      <c r="BU45" s="211"/>
      <c r="BV45" s="211"/>
      <c r="BW45" s="211"/>
      <c r="BX45" s="211"/>
      <c r="BY45" s="211"/>
      <c r="BZ45" s="211"/>
      <c r="CA45" s="206"/>
      <c r="CB45" s="206"/>
      <c r="CC45" s="211"/>
      <c r="CD45" s="211"/>
      <c r="CE45" s="211"/>
      <c r="CF45" s="211"/>
      <c r="CG45" s="211"/>
      <c r="CH45" s="211"/>
      <c r="CI45" s="211"/>
      <c r="CJ45" s="211"/>
      <c r="CK45" s="211"/>
      <c r="CL45" s="211"/>
      <c r="CM45" s="211"/>
      <c r="CN45" s="206"/>
      <c r="CO45" s="206"/>
      <c r="CP45" s="211"/>
      <c r="CQ45" s="211"/>
      <c r="CR45" s="211"/>
      <c r="CS45" s="211"/>
      <c r="CT45" s="211"/>
      <c r="CU45" s="211"/>
      <c r="CV45" s="211"/>
      <c r="CW45" s="211"/>
      <c r="CX45" s="211"/>
      <c r="CY45" s="211"/>
      <c r="CZ45" s="211"/>
      <c r="DA45" s="206"/>
      <c r="DB45" s="206"/>
      <c r="DC45" s="211"/>
      <c r="DD45" s="211"/>
      <c r="DE45" s="211"/>
      <c r="DF45" s="211"/>
      <c r="DG45" s="211"/>
      <c r="DH45" s="211"/>
      <c r="DI45" s="211"/>
      <c r="DJ45" s="211"/>
      <c r="DK45" s="211"/>
      <c r="DL45" s="211"/>
      <c r="DM45" s="211"/>
      <c r="DN45" s="206"/>
      <c r="DO45" s="206"/>
      <c r="DP45" s="211"/>
      <c r="DQ45" s="211"/>
      <c r="DR45" s="211"/>
      <c r="DS45" s="211"/>
      <c r="DT45" s="211"/>
      <c r="DU45" s="211"/>
      <c r="DV45" s="211"/>
      <c r="DW45" s="211"/>
      <c r="DX45" s="211"/>
      <c r="DY45" s="211"/>
      <c r="DZ45" s="211"/>
      <c r="EA45" s="206"/>
      <c r="EB45" s="206"/>
      <c r="EC45" s="211"/>
      <c r="ED45" s="211"/>
      <c r="EE45" s="211"/>
      <c r="EF45" s="211"/>
      <c r="EG45" s="211"/>
      <c r="EH45" s="211"/>
      <c r="EI45" s="211"/>
      <c r="EJ45" s="211"/>
      <c r="EK45" s="211"/>
      <c r="EL45" s="211"/>
      <c r="EM45" s="211"/>
      <c r="EN45" s="206"/>
      <c r="EO45" s="206"/>
      <c r="EP45" s="211"/>
      <c r="EQ45" s="211"/>
      <c r="ER45" s="211"/>
      <c r="ES45" s="211"/>
      <c r="ET45" s="211"/>
      <c r="EU45" s="211"/>
      <c r="EV45" s="211"/>
      <c r="EW45" s="211"/>
      <c r="EX45" s="211"/>
      <c r="EY45" s="211"/>
      <c r="EZ45" s="211"/>
      <c r="FA45" s="206"/>
      <c r="FB45" s="206"/>
      <c r="FC45" s="211"/>
      <c r="FD45" s="211"/>
      <c r="FE45" s="211"/>
      <c r="FF45" s="211"/>
      <c r="FG45" s="211"/>
      <c r="FH45" s="211"/>
      <c r="FI45" s="211"/>
      <c r="FJ45" s="211"/>
      <c r="FK45" s="211"/>
      <c r="FL45" s="211"/>
      <c r="FM45" s="211"/>
      <c r="FN45" s="206"/>
      <c r="FO45" s="206"/>
      <c r="FP45" s="211"/>
      <c r="FQ45" s="211"/>
      <c r="FR45" s="211"/>
      <c r="FS45" s="211"/>
      <c r="FT45" s="211"/>
      <c r="FU45" s="211"/>
      <c r="FV45" s="211"/>
      <c r="FW45" s="211"/>
      <c r="FX45" s="211"/>
      <c r="FY45" s="211"/>
      <c r="FZ45" s="211"/>
      <c r="GA45" s="206"/>
      <c r="GB45" s="206"/>
      <c r="GC45" s="211"/>
      <c r="GD45" s="211"/>
      <c r="GE45" s="211"/>
      <c r="GF45" s="211"/>
      <c r="GG45" s="211"/>
      <c r="GH45" s="211"/>
      <c r="GI45" s="211"/>
      <c r="GJ45" s="211"/>
      <c r="GK45" s="211"/>
      <c r="GL45" s="211"/>
      <c r="GM45" s="211"/>
      <c r="GN45" s="206"/>
      <c r="GO45" s="206"/>
      <c r="GP45" s="211"/>
      <c r="GQ45" s="211"/>
      <c r="GR45" s="211"/>
      <c r="GS45" s="211"/>
      <c r="GT45" s="211"/>
      <c r="GU45" s="211"/>
      <c r="GV45" s="211"/>
      <c r="GW45" s="211"/>
      <c r="GX45" s="211"/>
      <c r="GY45" s="211"/>
      <c r="GZ45" s="211"/>
      <c r="HA45" s="206"/>
      <c r="HB45" s="206"/>
      <c r="HC45" s="211"/>
      <c r="HD45" s="211"/>
      <c r="HE45" s="211"/>
      <c r="HF45" s="211"/>
      <c r="HG45" s="211"/>
      <c r="HH45" s="211"/>
      <c r="HI45" s="211"/>
      <c r="HJ45" s="211"/>
      <c r="HK45" s="211"/>
      <c r="HL45" s="211"/>
      <c r="HM45" s="211"/>
      <c r="HN45" s="206"/>
      <c r="HO45" s="206"/>
      <c r="HP45" s="211"/>
      <c r="HQ45" s="211"/>
      <c r="HR45" s="211"/>
      <c r="HS45" s="211"/>
      <c r="HT45" s="211"/>
      <c r="HU45" s="211"/>
      <c r="HV45" s="211"/>
      <c r="HW45" s="211"/>
      <c r="HX45" s="211"/>
      <c r="HY45" s="211"/>
      <c r="HZ45" s="211"/>
      <c r="IA45" s="206"/>
      <c r="IB45" s="206"/>
      <c r="IC45" s="211"/>
      <c r="ID45" s="211"/>
      <c r="IE45" s="211"/>
      <c r="IF45" s="211"/>
      <c r="IG45" s="211"/>
      <c r="IH45" s="211"/>
      <c r="II45" s="211"/>
      <c r="IJ45" s="211"/>
      <c r="IK45" s="211"/>
      <c r="IL45" s="211"/>
      <c r="IM45" s="211"/>
      <c r="IN45" s="206"/>
      <c r="IO45" s="206"/>
      <c r="IP45" s="211"/>
      <c r="IQ45" s="211"/>
      <c r="IR45" s="211"/>
      <c r="IS45" s="211"/>
      <c r="IT45" s="211"/>
      <c r="IU45" s="211"/>
      <c r="IV45" s="211"/>
    </row>
    <row r="46" spans="1:256" x14ac:dyDescent="0.2">
      <c r="A46" s="217"/>
      <c r="B46" s="218"/>
      <c r="C46" s="388"/>
      <c r="D46" s="388"/>
      <c r="E46" s="388"/>
      <c r="F46" s="388"/>
      <c r="G46" s="388"/>
      <c r="H46" s="388"/>
      <c r="I46" s="388"/>
      <c r="J46" s="388"/>
      <c r="K46" s="388"/>
      <c r="L46" s="388"/>
      <c r="M46" s="389"/>
      <c r="N46" s="210"/>
      <c r="O46" s="210"/>
      <c r="P46" s="221"/>
      <c r="Q46" s="221"/>
      <c r="R46" s="221"/>
      <c r="S46" s="221"/>
      <c r="T46" s="221"/>
      <c r="U46" s="221"/>
      <c r="V46" s="221"/>
      <c r="W46" s="221"/>
      <c r="X46" s="221"/>
      <c r="Y46" s="221"/>
      <c r="Z46" s="221"/>
      <c r="AA46" s="206"/>
      <c r="AB46" s="206"/>
      <c r="AC46" s="211"/>
      <c r="AD46" s="211"/>
      <c r="AE46" s="211"/>
      <c r="AF46" s="211"/>
      <c r="AG46" s="211"/>
      <c r="AH46" s="211"/>
      <c r="AI46" s="211"/>
      <c r="AJ46" s="211"/>
      <c r="AK46" s="211"/>
      <c r="AL46" s="211"/>
      <c r="AM46" s="211"/>
      <c r="AN46" s="206"/>
      <c r="AO46" s="206"/>
      <c r="AP46" s="211"/>
      <c r="AQ46" s="211"/>
      <c r="AR46" s="211"/>
      <c r="AS46" s="211"/>
      <c r="AT46" s="211"/>
      <c r="AU46" s="211"/>
      <c r="AV46" s="211"/>
      <c r="AW46" s="211"/>
      <c r="AX46" s="211"/>
      <c r="AY46" s="211"/>
      <c r="AZ46" s="211"/>
      <c r="BA46" s="206"/>
      <c r="BB46" s="206"/>
      <c r="BC46" s="211"/>
      <c r="BD46" s="211"/>
      <c r="BE46" s="211"/>
      <c r="BF46" s="211"/>
      <c r="BG46" s="211"/>
      <c r="BH46" s="211"/>
      <c r="BI46" s="211"/>
      <c r="BJ46" s="211"/>
      <c r="BK46" s="211"/>
      <c r="BL46" s="211"/>
      <c r="BM46" s="211"/>
      <c r="BN46" s="206"/>
      <c r="BO46" s="206"/>
      <c r="BP46" s="211"/>
      <c r="BQ46" s="211"/>
      <c r="BR46" s="211"/>
      <c r="BS46" s="211"/>
      <c r="BT46" s="211"/>
      <c r="BU46" s="211"/>
      <c r="BV46" s="211"/>
      <c r="BW46" s="211"/>
      <c r="BX46" s="211"/>
      <c r="BY46" s="211"/>
      <c r="BZ46" s="211"/>
      <c r="CA46" s="206"/>
      <c r="CB46" s="206"/>
      <c r="CC46" s="211"/>
      <c r="CD46" s="211"/>
      <c r="CE46" s="211"/>
      <c r="CF46" s="211"/>
      <c r="CG46" s="211"/>
      <c r="CH46" s="211"/>
      <c r="CI46" s="211"/>
      <c r="CJ46" s="211"/>
      <c r="CK46" s="211"/>
      <c r="CL46" s="211"/>
      <c r="CM46" s="211"/>
      <c r="CN46" s="206"/>
      <c r="CO46" s="206"/>
      <c r="CP46" s="211"/>
      <c r="CQ46" s="211"/>
      <c r="CR46" s="211"/>
      <c r="CS46" s="211"/>
      <c r="CT46" s="211"/>
      <c r="CU46" s="211"/>
      <c r="CV46" s="211"/>
      <c r="CW46" s="211"/>
      <c r="CX46" s="211"/>
      <c r="CY46" s="211"/>
      <c r="CZ46" s="211"/>
      <c r="DA46" s="206"/>
      <c r="DB46" s="206"/>
      <c r="DC46" s="211"/>
      <c r="DD46" s="211"/>
      <c r="DE46" s="211"/>
      <c r="DF46" s="211"/>
      <c r="DG46" s="211"/>
      <c r="DH46" s="211"/>
      <c r="DI46" s="211"/>
      <c r="DJ46" s="211"/>
      <c r="DK46" s="211"/>
      <c r="DL46" s="211"/>
      <c r="DM46" s="211"/>
      <c r="DN46" s="206"/>
      <c r="DO46" s="206"/>
      <c r="DP46" s="211"/>
      <c r="DQ46" s="211"/>
      <c r="DR46" s="211"/>
      <c r="DS46" s="211"/>
      <c r="DT46" s="211"/>
      <c r="DU46" s="211"/>
      <c r="DV46" s="211"/>
      <c r="DW46" s="211"/>
      <c r="DX46" s="211"/>
      <c r="DY46" s="211"/>
      <c r="DZ46" s="211"/>
      <c r="EA46" s="206"/>
      <c r="EB46" s="206"/>
      <c r="EC46" s="211"/>
      <c r="ED46" s="211"/>
      <c r="EE46" s="211"/>
      <c r="EF46" s="211"/>
      <c r="EG46" s="211"/>
      <c r="EH46" s="211"/>
      <c r="EI46" s="211"/>
      <c r="EJ46" s="211"/>
      <c r="EK46" s="211"/>
      <c r="EL46" s="211"/>
      <c r="EM46" s="211"/>
      <c r="EN46" s="206"/>
      <c r="EO46" s="206"/>
      <c r="EP46" s="211"/>
      <c r="EQ46" s="211"/>
      <c r="ER46" s="211"/>
      <c r="ES46" s="211"/>
      <c r="ET46" s="211"/>
      <c r="EU46" s="211"/>
      <c r="EV46" s="211"/>
      <c r="EW46" s="211"/>
      <c r="EX46" s="211"/>
      <c r="EY46" s="211"/>
      <c r="EZ46" s="211"/>
      <c r="FA46" s="206"/>
      <c r="FB46" s="206"/>
      <c r="FC46" s="211"/>
      <c r="FD46" s="211"/>
      <c r="FE46" s="211"/>
      <c r="FF46" s="211"/>
      <c r="FG46" s="211"/>
      <c r="FH46" s="211"/>
      <c r="FI46" s="211"/>
      <c r="FJ46" s="211"/>
      <c r="FK46" s="211"/>
      <c r="FL46" s="211"/>
      <c r="FM46" s="211"/>
      <c r="FN46" s="206"/>
      <c r="FO46" s="206"/>
      <c r="FP46" s="211"/>
      <c r="FQ46" s="211"/>
      <c r="FR46" s="211"/>
      <c r="FS46" s="211"/>
      <c r="FT46" s="211"/>
      <c r="FU46" s="211"/>
      <c r="FV46" s="211"/>
      <c r="FW46" s="211"/>
      <c r="FX46" s="211"/>
      <c r="FY46" s="211"/>
      <c r="FZ46" s="211"/>
      <c r="GA46" s="206"/>
      <c r="GB46" s="206"/>
      <c r="GC46" s="211"/>
      <c r="GD46" s="211"/>
      <c r="GE46" s="211"/>
      <c r="GF46" s="211"/>
      <c r="GG46" s="211"/>
      <c r="GH46" s="211"/>
      <c r="GI46" s="211"/>
      <c r="GJ46" s="211"/>
      <c r="GK46" s="211"/>
      <c r="GL46" s="211"/>
      <c r="GM46" s="211"/>
      <c r="GN46" s="206"/>
      <c r="GO46" s="206"/>
      <c r="GP46" s="211"/>
      <c r="GQ46" s="211"/>
      <c r="GR46" s="211"/>
      <c r="GS46" s="211"/>
      <c r="GT46" s="211"/>
      <c r="GU46" s="211"/>
      <c r="GV46" s="211"/>
      <c r="GW46" s="211"/>
      <c r="GX46" s="211"/>
      <c r="GY46" s="211"/>
      <c r="GZ46" s="211"/>
      <c r="HA46" s="206"/>
      <c r="HB46" s="206"/>
      <c r="HC46" s="211"/>
      <c r="HD46" s="211"/>
      <c r="HE46" s="211"/>
      <c r="HF46" s="211"/>
      <c r="HG46" s="211"/>
      <c r="HH46" s="211"/>
      <c r="HI46" s="211"/>
      <c r="HJ46" s="211"/>
      <c r="HK46" s="211"/>
      <c r="HL46" s="211"/>
      <c r="HM46" s="211"/>
      <c r="HN46" s="206"/>
      <c r="HO46" s="206"/>
      <c r="HP46" s="211"/>
      <c r="HQ46" s="211"/>
      <c r="HR46" s="211"/>
      <c r="HS46" s="211"/>
      <c r="HT46" s="211"/>
      <c r="HU46" s="211"/>
      <c r="HV46" s="211"/>
      <c r="HW46" s="211"/>
      <c r="HX46" s="211"/>
      <c r="HY46" s="211"/>
      <c r="HZ46" s="211"/>
      <c r="IA46" s="206"/>
      <c r="IB46" s="206"/>
      <c r="IC46" s="211"/>
      <c r="ID46" s="211"/>
      <c r="IE46" s="211"/>
      <c r="IF46" s="211"/>
      <c r="IG46" s="211"/>
      <c r="IH46" s="211"/>
      <c r="II46" s="211"/>
      <c r="IJ46" s="211"/>
      <c r="IK46" s="211"/>
      <c r="IL46" s="211"/>
      <c r="IM46" s="211"/>
      <c r="IN46" s="206"/>
      <c r="IO46" s="206"/>
      <c r="IP46" s="211"/>
      <c r="IQ46" s="211"/>
      <c r="IR46" s="211"/>
      <c r="IS46" s="211"/>
      <c r="IT46" s="211"/>
      <c r="IU46" s="211"/>
      <c r="IV46" s="211"/>
    </row>
    <row r="47" spans="1:256" x14ac:dyDescent="0.2">
      <c r="A47" s="217"/>
      <c r="B47" s="218"/>
      <c r="C47" s="388"/>
      <c r="D47" s="388"/>
      <c r="E47" s="388"/>
      <c r="F47" s="388"/>
      <c r="G47" s="388"/>
      <c r="H47" s="388"/>
      <c r="I47" s="388"/>
      <c r="J47" s="388"/>
      <c r="K47" s="388"/>
      <c r="L47" s="388"/>
      <c r="M47" s="389"/>
      <c r="N47" s="210"/>
      <c r="O47" s="210"/>
      <c r="P47" s="221"/>
      <c r="Q47" s="221"/>
      <c r="R47" s="221"/>
      <c r="S47" s="221"/>
      <c r="T47" s="221"/>
      <c r="U47" s="221"/>
      <c r="V47" s="221"/>
      <c r="W47" s="221"/>
      <c r="X47" s="221"/>
      <c r="Y47" s="221"/>
      <c r="Z47" s="221"/>
      <c r="AA47" s="206"/>
      <c r="AB47" s="206"/>
      <c r="AC47" s="211"/>
      <c r="AD47" s="211"/>
      <c r="AE47" s="211"/>
      <c r="AF47" s="211"/>
      <c r="AG47" s="211"/>
      <c r="AH47" s="211"/>
      <c r="AI47" s="211"/>
      <c r="AJ47" s="211"/>
      <c r="AK47" s="211"/>
      <c r="AL47" s="211"/>
      <c r="AM47" s="211"/>
      <c r="AN47" s="206"/>
      <c r="AO47" s="206"/>
      <c r="AP47" s="211"/>
      <c r="AQ47" s="211"/>
      <c r="AR47" s="211"/>
      <c r="AS47" s="211"/>
      <c r="AT47" s="211"/>
      <c r="AU47" s="211"/>
      <c r="AV47" s="211"/>
      <c r="AW47" s="211"/>
      <c r="AX47" s="211"/>
      <c r="AY47" s="211"/>
      <c r="AZ47" s="211"/>
      <c r="BA47" s="206"/>
      <c r="BB47" s="206"/>
      <c r="BC47" s="211"/>
      <c r="BD47" s="211"/>
      <c r="BE47" s="211"/>
      <c r="BF47" s="211"/>
      <c r="BG47" s="211"/>
      <c r="BH47" s="211"/>
      <c r="BI47" s="211"/>
      <c r="BJ47" s="211"/>
      <c r="BK47" s="211"/>
      <c r="BL47" s="211"/>
      <c r="BM47" s="211"/>
      <c r="BN47" s="206"/>
      <c r="BO47" s="206"/>
      <c r="BP47" s="211"/>
      <c r="BQ47" s="211"/>
      <c r="BR47" s="211"/>
      <c r="BS47" s="211"/>
      <c r="BT47" s="211"/>
      <c r="BU47" s="211"/>
      <c r="BV47" s="211"/>
      <c r="BW47" s="211"/>
      <c r="BX47" s="211"/>
      <c r="BY47" s="211"/>
      <c r="BZ47" s="211"/>
      <c r="CA47" s="206"/>
      <c r="CB47" s="206"/>
      <c r="CC47" s="211"/>
      <c r="CD47" s="211"/>
      <c r="CE47" s="211"/>
      <c r="CF47" s="211"/>
      <c r="CG47" s="211"/>
      <c r="CH47" s="211"/>
      <c r="CI47" s="211"/>
      <c r="CJ47" s="211"/>
      <c r="CK47" s="211"/>
      <c r="CL47" s="211"/>
      <c r="CM47" s="211"/>
      <c r="CN47" s="206"/>
      <c r="CO47" s="206"/>
      <c r="CP47" s="211"/>
      <c r="CQ47" s="211"/>
      <c r="CR47" s="211"/>
      <c r="CS47" s="211"/>
      <c r="CT47" s="211"/>
      <c r="CU47" s="211"/>
      <c r="CV47" s="211"/>
      <c r="CW47" s="211"/>
      <c r="CX47" s="211"/>
      <c r="CY47" s="211"/>
      <c r="CZ47" s="211"/>
      <c r="DA47" s="206"/>
      <c r="DB47" s="206"/>
      <c r="DC47" s="211"/>
      <c r="DD47" s="211"/>
      <c r="DE47" s="211"/>
      <c r="DF47" s="211"/>
      <c r="DG47" s="211"/>
      <c r="DH47" s="211"/>
      <c r="DI47" s="211"/>
      <c r="DJ47" s="211"/>
      <c r="DK47" s="211"/>
      <c r="DL47" s="211"/>
      <c r="DM47" s="211"/>
      <c r="DN47" s="206"/>
      <c r="DO47" s="206"/>
      <c r="DP47" s="211"/>
      <c r="DQ47" s="211"/>
      <c r="DR47" s="211"/>
      <c r="DS47" s="211"/>
      <c r="DT47" s="211"/>
      <c r="DU47" s="211"/>
      <c r="DV47" s="211"/>
      <c r="DW47" s="211"/>
      <c r="DX47" s="211"/>
      <c r="DY47" s="211"/>
      <c r="DZ47" s="211"/>
      <c r="EA47" s="206"/>
      <c r="EB47" s="206"/>
      <c r="EC47" s="211"/>
      <c r="ED47" s="211"/>
      <c r="EE47" s="211"/>
      <c r="EF47" s="211"/>
      <c r="EG47" s="211"/>
      <c r="EH47" s="211"/>
      <c r="EI47" s="211"/>
      <c r="EJ47" s="211"/>
      <c r="EK47" s="211"/>
      <c r="EL47" s="211"/>
      <c r="EM47" s="211"/>
      <c r="EN47" s="206"/>
      <c r="EO47" s="206"/>
      <c r="EP47" s="211"/>
      <c r="EQ47" s="211"/>
      <c r="ER47" s="211"/>
      <c r="ES47" s="211"/>
      <c r="ET47" s="211"/>
      <c r="EU47" s="211"/>
      <c r="EV47" s="211"/>
      <c r="EW47" s="211"/>
      <c r="EX47" s="211"/>
      <c r="EY47" s="211"/>
      <c r="EZ47" s="211"/>
      <c r="FA47" s="206"/>
      <c r="FB47" s="206"/>
      <c r="FC47" s="211"/>
      <c r="FD47" s="211"/>
      <c r="FE47" s="211"/>
      <c r="FF47" s="211"/>
      <c r="FG47" s="211"/>
      <c r="FH47" s="211"/>
      <c r="FI47" s="211"/>
      <c r="FJ47" s="211"/>
      <c r="FK47" s="211"/>
      <c r="FL47" s="211"/>
      <c r="FM47" s="211"/>
      <c r="FN47" s="206"/>
      <c r="FO47" s="206"/>
      <c r="FP47" s="211"/>
      <c r="FQ47" s="211"/>
      <c r="FR47" s="211"/>
      <c r="FS47" s="211"/>
      <c r="FT47" s="211"/>
      <c r="FU47" s="211"/>
      <c r="FV47" s="211"/>
      <c r="FW47" s="211"/>
      <c r="FX47" s="211"/>
      <c r="FY47" s="211"/>
      <c r="FZ47" s="211"/>
      <c r="GA47" s="206"/>
      <c r="GB47" s="206"/>
      <c r="GC47" s="211"/>
      <c r="GD47" s="211"/>
      <c r="GE47" s="211"/>
      <c r="GF47" s="211"/>
      <c r="GG47" s="211"/>
      <c r="GH47" s="211"/>
      <c r="GI47" s="211"/>
      <c r="GJ47" s="211"/>
      <c r="GK47" s="211"/>
      <c r="GL47" s="211"/>
      <c r="GM47" s="211"/>
      <c r="GN47" s="206"/>
      <c r="GO47" s="206"/>
      <c r="GP47" s="211"/>
      <c r="GQ47" s="211"/>
      <c r="GR47" s="211"/>
      <c r="GS47" s="211"/>
      <c r="GT47" s="211"/>
      <c r="GU47" s="211"/>
      <c r="GV47" s="211"/>
      <c r="GW47" s="211"/>
      <c r="GX47" s="211"/>
      <c r="GY47" s="211"/>
      <c r="GZ47" s="211"/>
      <c r="HA47" s="206"/>
      <c r="HB47" s="206"/>
      <c r="HC47" s="211"/>
      <c r="HD47" s="211"/>
      <c r="HE47" s="211"/>
      <c r="HF47" s="211"/>
      <c r="HG47" s="211"/>
      <c r="HH47" s="211"/>
      <c r="HI47" s="211"/>
      <c r="HJ47" s="211"/>
      <c r="HK47" s="211"/>
      <c r="HL47" s="211"/>
      <c r="HM47" s="211"/>
      <c r="HN47" s="206"/>
      <c r="HO47" s="206"/>
      <c r="HP47" s="211"/>
      <c r="HQ47" s="211"/>
      <c r="HR47" s="211"/>
      <c r="HS47" s="211"/>
      <c r="HT47" s="211"/>
      <c r="HU47" s="211"/>
      <c r="HV47" s="211"/>
      <c r="HW47" s="211"/>
      <c r="HX47" s="211"/>
      <c r="HY47" s="211"/>
      <c r="HZ47" s="211"/>
      <c r="IA47" s="206"/>
      <c r="IB47" s="206"/>
      <c r="IC47" s="211"/>
      <c r="ID47" s="211"/>
      <c r="IE47" s="211"/>
      <c r="IF47" s="211"/>
      <c r="IG47" s="211"/>
      <c r="IH47" s="211"/>
      <c r="II47" s="211"/>
      <c r="IJ47" s="211"/>
      <c r="IK47" s="211"/>
      <c r="IL47" s="211"/>
      <c r="IM47" s="211"/>
      <c r="IN47" s="206"/>
      <c r="IO47" s="206"/>
      <c r="IP47" s="211"/>
      <c r="IQ47" s="211"/>
      <c r="IR47" s="211"/>
      <c r="IS47" s="211"/>
      <c r="IT47" s="211"/>
      <c r="IU47" s="211"/>
      <c r="IV47" s="211"/>
    </row>
    <row r="48" spans="1:256" x14ac:dyDescent="0.2">
      <c r="A48" s="217"/>
      <c r="B48" s="218"/>
      <c r="C48" s="388"/>
      <c r="D48" s="388"/>
      <c r="E48" s="388"/>
      <c r="F48" s="388"/>
      <c r="G48" s="388"/>
      <c r="H48" s="388"/>
      <c r="I48" s="388"/>
      <c r="J48" s="388"/>
      <c r="K48" s="388"/>
      <c r="L48" s="388"/>
      <c r="M48" s="389"/>
      <c r="N48" s="210"/>
      <c r="O48" s="210"/>
      <c r="P48" s="221"/>
      <c r="Q48" s="221"/>
      <c r="R48" s="221"/>
      <c r="S48" s="221"/>
      <c r="T48" s="221"/>
      <c r="U48" s="221"/>
      <c r="V48" s="221"/>
      <c r="W48" s="221"/>
      <c r="X48" s="221"/>
      <c r="Y48" s="221"/>
      <c r="Z48" s="221"/>
      <c r="AA48" s="206"/>
      <c r="AB48" s="206"/>
      <c r="AC48" s="211"/>
      <c r="AD48" s="211"/>
      <c r="AE48" s="211"/>
      <c r="AF48" s="211"/>
      <c r="AG48" s="211"/>
      <c r="AH48" s="211"/>
      <c r="AI48" s="211"/>
      <c r="AJ48" s="211"/>
      <c r="AK48" s="211"/>
      <c r="AL48" s="211"/>
      <c r="AM48" s="211"/>
      <c r="AN48" s="206"/>
      <c r="AO48" s="206"/>
      <c r="AP48" s="211"/>
      <c r="AQ48" s="211"/>
      <c r="AR48" s="211"/>
      <c r="AS48" s="211"/>
      <c r="AT48" s="211"/>
      <c r="AU48" s="211"/>
      <c r="AV48" s="211"/>
      <c r="AW48" s="211"/>
      <c r="AX48" s="211"/>
      <c r="AY48" s="211"/>
      <c r="AZ48" s="211"/>
      <c r="BA48" s="206"/>
      <c r="BB48" s="206"/>
      <c r="BC48" s="211"/>
      <c r="BD48" s="211"/>
      <c r="BE48" s="211"/>
      <c r="BF48" s="211"/>
      <c r="BG48" s="211"/>
      <c r="BH48" s="211"/>
      <c r="BI48" s="211"/>
      <c r="BJ48" s="211"/>
      <c r="BK48" s="211"/>
      <c r="BL48" s="211"/>
      <c r="BM48" s="211"/>
      <c r="BN48" s="206"/>
      <c r="BO48" s="206"/>
      <c r="BP48" s="211"/>
      <c r="BQ48" s="211"/>
      <c r="BR48" s="211"/>
      <c r="BS48" s="211"/>
      <c r="BT48" s="211"/>
      <c r="BU48" s="211"/>
      <c r="BV48" s="211"/>
      <c r="BW48" s="211"/>
      <c r="BX48" s="211"/>
      <c r="BY48" s="211"/>
      <c r="BZ48" s="211"/>
      <c r="CA48" s="206"/>
      <c r="CB48" s="206"/>
      <c r="CC48" s="211"/>
      <c r="CD48" s="211"/>
      <c r="CE48" s="211"/>
      <c r="CF48" s="211"/>
      <c r="CG48" s="211"/>
      <c r="CH48" s="211"/>
      <c r="CI48" s="211"/>
      <c r="CJ48" s="211"/>
      <c r="CK48" s="211"/>
      <c r="CL48" s="211"/>
      <c r="CM48" s="211"/>
      <c r="CN48" s="206"/>
      <c r="CO48" s="206"/>
      <c r="CP48" s="211"/>
      <c r="CQ48" s="211"/>
      <c r="CR48" s="211"/>
      <c r="CS48" s="211"/>
      <c r="CT48" s="211"/>
      <c r="CU48" s="211"/>
      <c r="CV48" s="211"/>
      <c r="CW48" s="211"/>
      <c r="CX48" s="211"/>
      <c r="CY48" s="211"/>
      <c r="CZ48" s="211"/>
      <c r="DA48" s="206"/>
      <c r="DB48" s="206"/>
      <c r="DC48" s="211"/>
      <c r="DD48" s="211"/>
      <c r="DE48" s="211"/>
      <c r="DF48" s="211"/>
      <c r="DG48" s="211"/>
      <c r="DH48" s="211"/>
      <c r="DI48" s="211"/>
      <c r="DJ48" s="211"/>
      <c r="DK48" s="211"/>
      <c r="DL48" s="211"/>
      <c r="DM48" s="211"/>
      <c r="DN48" s="206"/>
      <c r="DO48" s="206"/>
      <c r="DP48" s="211"/>
      <c r="DQ48" s="211"/>
      <c r="DR48" s="211"/>
      <c r="DS48" s="211"/>
      <c r="DT48" s="211"/>
      <c r="DU48" s="211"/>
      <c r="DV48" s="211"/>
      <c r="DW48" s="211"/>
      <c r="DX48" s="211"/>
      <c r="DY48" s="211"/>
      <c r="DZ48" s="211"/>
      <c r="EA48" s="206"/>
      <c r="EB48" s="206"/>
      <c r="EC48" s="211"/>
      <c r="ED48" s="211"/>
      <c r="EE48" s="211"/>
      <c r="EF48" s="211"/>
      <c r="EG48" s="211"/>
      <c r="EH48" s="211"/>
      <c r="EI48" s="211"/>
      <c r="EJ48" s="211"/>
      <c r="EK48" s="211"/>
      <c r="EL48" s="211"/>
      <c r="EM48" s="211"/>
      <c r="EN48" s="206"/>
      <c r="EO48" s="206"/>
      <c r="EP48" s="211"/>
      <c r="EQ48" s="211"/>
      <c r="ER48" s="211"/>
      <c r="ES48" s="211"/>
      <c r="ET48" s="211"/>
      <c r="EU48" s="211"/>
      <c r="EV48" s="211"/>
      <c r="EW48" s="211"/>
      <c r="EX48" s="211"/>
      <c r="EY48" s="211"/>
      <c r="EZ48" s="211"/>
      <c r="FA48" s="206"/>
      <c r="FB48" s="206"/>
      <c r="FC48" s="211"/>
      <c r="FD48" s="211"/>
      <c r="FE48" s="211"/>
      <c r="FF48" s="211"/>
      <c r="FG48" s="211"/>
      <c r="FH48" s="211"/>
      <c r="FI48" s="211"/>
      <c r="FJ48" s="211"/>
      <c r="FK48" s="211"/>
      <c r="FL48" s="211"/>
      <c r="FM48" s="211"/>
      <c r="FN48" s="206"/>
      <c r="FO48" s="206"/>
      <c r="FP48" s="211"/>
      <c r="FQ48" s="211"/>
      <c r="FR48" s="211"/>
      <c r="FS48" s="211"/>
      <c r="FT48" s="211"/>
      <c r="FU48" s="211"/>
      <c r="FV48" s="211"/>
      <c r="FW48" s="211"/>
      <c r="FX48" s="211"/>
      <c r="FY48" s="211"/>
      <c r="FZ48" s="211"/>
      <c r="GA48" s="206"/>
      <c r="GB48" s="206"/>
      <c r="GC48" s="211"/>
      <c r="GD48" s="211"/>
      <c r="GE48" s="211"/>
      <c r="GF48" s="211"/>
      <c r="GG48" s="211"/>
      <c r="GH48" s="211"/>
      <c r="GI48" s="211"/>
      <c r="GJ48" s="211"/>
      <c r="GK48" s="211"/>
      <c r="GL48" s="211"/>
      <c r="GM48" s="211"/>
      <c r="GN48" s="206"/>
      <c r="GO48" s="206"/>
      <c r="GP48" s="211"/>
      <c r="GQ48" s="211"/>
      <c r="GR48" s="211"/>
      <c r="GS48" s="211"/>
      <c r="GT48" s="211"/>
      <c r="GU48" s="211"/>
      <c r="GV48" s="211"/>
      <c r="GW48" s="211"/>
      <c r="GX48" s="211"/>
      <c r="GY48" s="211"/>
      <c r="GZ48" s="211"/>
      <c r="HA48" s="206"/>
      <c r="HB48" s="206"/>
      <c r="HC48" s="211"/>
      <c r="HD48" s="211"/>
      <c r="HE48" s="211"/>
      <c r="HF48" s="211"/>
      <c r="HG48" s="211"/>
      <c r="HH48" s="211"/>
      <c r="HI48" s="211"/>
      <c r="HJ48" s="211"/>
      <c r="HK48" s="211"/>
      <c r="HL48" s="211"/>
      <c r="HM48" s="211"/>
      <c r="HN48" s="206"/>
      <c r="HO48" s="206"/>
      <c r="HP48" s="211"/>
      <c r="HQ48" s="211"/>
      <c r="HR48" s="211"/>
      <c r="HS48" s="211"/>
      <c r="HT48" s="211"/>
      <c r="HU48" s="211"/>
      <c r="HV48" s="211"/>
      <c r="HW48" s="211"/>
      <c r="HX48" s="211"/>
      <c r="HY48" s="211"/>
      <c r="HZ48" s="211"/>
      <c r="IA48" s="206"/>
      <c r="IB48" s="206"/>
      <c r="IC48" s="211"/>
      <c r="ID48" s="211"/>
      <c r="IE48" s="211"/>
      <c r="IF48" s="211"/>
      <c r="IG48" s="211"/>
      <c r="IH48" s="211"/>
      <c r="II48" s="211"/>
      <c r="IJ48" s="211"/>
      <c r="IK48" s="211"/>
      <c r="IL48" s="211"/>
      <c r="IM48" s="211"/>
      <c r="IN48" s="206"/>
      <c r="IO48" s="206"/>
      <c r="IP48" s="211"/>
      <c r="IQ48" s="211"/>
      <c r="IR48" s="211"/>
      <c r="IS48" s="211"/>
      <c r="IT48" s="211"/>
      <c r="IU48" s="211"/>
      <c r="IV48" s="211"/>
    </row>
    <row r="49" spans="1:256" x14ac:dyDescent="0.2">
      <c r="A49" s="217"/>
      <c r="B49" s="218"/>
      <c r="C49" s="388"/>
      <c r="D49" s="388"/>
      <c r="E49" s="388"/>
      <c r="F49" s="388"/>
      <c r="G49" s="388"/>
      <c r="H49" s="388"/>
      <c r="I49" s="388"/>
      <c r="J49" s="388"/>
      <c r="K49" s="388"/>
      <c r="L49" s="388"/>
      <c r="M49" s="389"/>
      <c r="N49" s="210"/>
      <c r="O49" s="210"/>
      <c r="P49" s="221"/>
      <c r="Q49" s="221"/>
      <c r="R49" s="221"/>
      <c r="S49" s="221"/>
      <c r="T49" s="221"/>
      <c r="U49" s="221"/>
      <c r="V49" s="221"/>
      <c r="W49" s="221"/>
      <c r="X49" s="221"/>
      <c r="Y49" s="221"/>
      <c r="Z49" s="221"/>
      <c r="AA49" s="206"/>
      <c r="AB49" s="206"/>
      <c r="AC49" s="211"/>
      <c r="AD49" s="211"/>
      <c r="AE49" s="211"/>
      <c r="AF49" s="211"/>
      <c r="AG49" s="211"/>
      <c r="AH49" s="211"/>
      <c r="AI49" s="211"/>
      <c r="AJ49" s="211"/>
      <c r="AK49" s="211"/>
      <c r="AL49" s="211"/>
      <c r="AM49" s="211"/>
      <c r="AN49" s="206"/>
      <c r="AO49" s="206"/>
      <c r="AP49" s="211"/>
      <c r="AQ49" s="211"/>
      <c r="AR49" s="211"/>
      <c r="AS49" s="211"/>
      <c r="AT49" s="211"/>
      <c r="AU49" s="211"/>
      <c r="AV49" s="211"/>
      <c r="AW49" s="211"/>
      <c r="AX49" s="211"/>
      <c r="AY49" s="211"/>
      <c r="AZ49" s="211"/>
      <c r="BA49" s="206"/>
      <c r="BB49" s="206"/>
      <c r="BC49" s="211"/>
      <c r="BD49" s="211"/>
      <c r="BE49" s="211"/>
      <c r="BF49" s="211"/>
      <c r="BG49" s="211"/>
      <c r="BH49" s="211"/>
      <c r="BI49" s="211"/>
      <c r="BJ49" s="211"/>
      <c r="BK49" s="211"/>
      <c r="BL49" s="211"/>
      <c r="BM49" s="211"/>
      <c r="BN49" s="206"/>
      <c r="BO49" s="206"/>
      <c r="BP49" s="211"/>
      <c r="BQ49" s="211"/>
      <c r="BR49" s="211"/>
      <c r="BS49" s="211"/>
      <c r="BT49" s="211"/>
      <c r="BU49" s="211"/>
      <c r="BV49" s="211"/>
      <c r="BW49" s="211"/>
      <c r="BX49" s="211"/>
      <c r="BY49" s="211"/>
      <c r="BZ49" s="211"/>
      <c r="CA49" s="206"/>
      <c r="CB49" s="206"/>
      <c r="CC49" s="211"/>
      <c r="CD49" s="211"/>
      <c r="CE49" s="211"/>
      <c r="CF49" s="211"/>
      <c r="CG49" s="211"/>
      <c r="CH49" s="211"/>
      <c r="CI49" s="211"/>
      <c r="CJ49" s="211"/>
      <c r="CK49" s="211"/>
      <c r="CL49" s="211"/>
      <c r="CM49" s="211"/>
      <c r="CN49" s="206"/>
      <c r="CO49" s="206"/>
      <c r="CP49" s="211"/>
      <c r="CQ49" s="211"/>
      <c r="CR49" s="211"/>
      <c r="CS49" s="211"/>
      <c r="CT49" s="211"/>
      <c r="CU49" s="211"/>
      <c r="CV49" s="211"/>
      <c r="CW49" s="211"/>
      <c r="CX49" s="211"/>
      <c r="CY49" s="211"/>
      <c r="CZ49" s="211"/>
      <c r="DA49" s="206"/>
      <c r="DB49" s="206"/>
      <c r="DC49" s="211"/>
      <c r="DD49" s="211"/>
      <c r="DE49" s="211"/>
      <c r="DF49" s="211"/>
      <c r="DG49" s="211"/>
      <c r="DH49" s="211"/>
      <c r="DI49" s="211"/>
      <c r="DJ49" s="211"/>
      <c r="DK49" s="211"/>
      <c r="DL49" s="211"/>
      <c r="DM49" s="211"/>
      <c r="DN49" s="206"/>
      <c r="DO49" s="206"/>
      <c r="DP49" s="211"/>
      <c r="DQ49" s="211"/>
      <c r="DR49" s="211"/>
      <c r="DS49" s="211"/>
      <c r="DT49" s="211"/>
      <c r="DU49" s="211"/>
      <c r="DV49" s="211"/>
      <c r="DW49" s="211"/>
      <c r="DX49" s="211"/>
      <c r="DY49" s="211"/>
      <c r="DZ49" s="211"/>
      <c r="EA49" s="206"/>
      <c r="EB49" s="206"/>
      <c r="EC49" s="211"/>
      <c r="ED49" s="211"/>
      <c r="EE49" s="211"/>
      <c r="EF49" s="211"/>
      <c r="EG49" s="211"/>
      <c r="EH49" s="211"/>
      <c r="EI49" s="211"/>
      <c r="EJ49" s="211"/>
      <c r="EK49" s="211"/>
      <c r="EL49" s="211"/>
      <c r="EM49" s="211"/>
      <c r="EN49" s="206"/>
      <c r="EO49" s="206"/>
      <c r="EP49" s="211"/>
      <c r="EQ49" s="211"/>
      <c r="ER49" s="211"/>
      <c r="ES49" s="211"/>
      <c r="ET49" s="211"/>
      <c r="EU49" s="211"/>
      <c r="EV49" s="211"/>
      <c r="EW49" s="211"/>
      <c r="EX49" s="211"/>
      <c r="EY49" s="211"/>
      <c r="EZ49" s="211"/>
      <c r="FA49" s="206"/>
      <c r="FB49" s="206"/>
      <c r="FC49" s="211"/>
      <c r="FD49" s="211"/>
      <c r="FE49" s="211"/>
      <c r="FF49" s="211"/>
      <c r="FG49" s="211"/>
      <c r="FH49" s="211"/>
      <c r="FI49" s="211"/>
      <c r="FJ49" s="211"/>
      <c r="FK49" s="211"/>
      <c r="FL49" s="211"/>
      <c r="FM49" s="211"/>
      <c r="FN49" s="206"/>
      <c r="FO49" s="206"/>
      <c r="FP49" s="211"/>
      <c r="FQ49" s="211"/>
      <c r="FR49" s="211"/>
      <c r="FS49" s="211"/>
      <c r="FT49" s="211"/>
      <c r="FU49" s="211"/>
      <c r="FV49" s="211"/>
      <c r="FW49" s="211"/>
      <c r="FX49" s="211"/>
      <c r="FY49" s="211"/>
      <c r="FZ49" s="211"/>
      <c r="GA49" s="206"/>
      <c r="GB49" s="206"/>
      <c r="GC49" s="211"/>
      <c r="GD49" s="211"/>
      <c r="GE49" s="211"/>
      <c r="GF49" s="211"/>
      <c r="GG49" s="211"/>
      <c r="GH49" s="211"/>
      <c r="GI49" s="211"/>
      <c r="GJ49" s="211"/>
      <c r="GK49" s="211"/>
      <c r="GL49" s="211"/>
      <c r="GM49" s="211"/>
      <c r="GN49" s="206"/>
      <c r="GO49" s="206"/>
      <c r="GP49" s="211"/>
      <c r="GQ49" s="211"/>
      <c r="GR49" s="211"/>
      <c r="GS49" s="211"/>
      <c r="GT49" s="211"/>
      <c r="GU49" s="211"/>
      <c r="GV49" s="211"/>
      <c r="GW49" s="211"/>
      <c r="GX49" s="211"/>
      <c r="GY49" s="211"/>
      <c r="GZ49" s="211"/>
      <c r="HA49" s="206"/>
      <c r="HB49" s="206"/>
      <c r="HC49" s="211"/>
      <c r="HD49" s="211"/>
      <c r="HE49" s="211"/>
      <c r="HF49" s="211"/>
      <c r="HG49" s="211"/>
      <c r="HH49" s="211"/>
      <c r="HI49" s="211"/>
      <c r="HJ49" s="211"/>
      <c r="HK49" s="211"/>
      <c r="HL49" s="211"/>
      <c r="HM49" s="211"/>
      <c r="HN49" s="206"/>
      <c r="HO49" s="206"/>
      <c r="HP49" s="211"/>
      <c r="HQ49" s="211"/>
      <c r="HR49" s="211"/>
      <c r="HS49" s="211"/>
      <c r="HT49" s="211"/>
      <c r="HU49" s="211"/>
      <c r="HV49" s="211"/>
      <c r="HW49" s="211"/>
      <c r="HX49" s="211"/>
      <c r="HY49" s="211"/>
      <c r="HZ49" s="211"/>
      <c r="IA49" s="206"/>
      <c r="IB49" s="206"/>
      <c r="IC49" s="211"/>
      <c r="ID49" s="211"/>
      <c r="IE49" s="211"/>
      <c r="IF49" s="211"/>
      <c r="IG49" s="211"/>
      <c r="IH49" s="211"/>
      <c r="II49" s="211"/>
      <c r="IJ49" s="211"/>
      <c r="IK49" s="211"/>
      <c r="IL49" s="211"/>
      <c r="IM49" s="211"/>
      <c r="IN49" s="206"/>
      <c r="IO49" s="206"/>
      <c r="IP49" s="211"/>
      <c r="IQ49" s="211"/>
      <c r="IR49" s="211"/>
      <c r="IS49" s="211"/>
      <c r="IT49" s="211"/>
      <c r="IU49" s="211"/>
      <c r="IV49" s="211"/>
    </row>
    <row r="50" spans="1:256" x14ac:dyDescent="0.2">
      <c r="A50" s="217"/>
      <c r="B50" s="218"/>
      <c r="C50" s="388"/>
      <c r="D50" s="388"/>
      <c r="E50" s="388"/>
      <c r="F50" s="388"/>
      <c r="G50" s="388"/>
      <c r="H50" s="388"/>
      <c r="I50" s="388"/>
      <c r="J50" s="388"/>
      <c r="K50" s="388"/>
      <c r="L50" s="388"/>
      <c r="M50" s="389"/>
      <c r="N50" s="126"/>
      <c r="O50" s="126"/>
      <c r="P50" s="126"/>
      <c r="Q50" s="126"/>
      <c r="R50" s="126"/>
      <c r="S50" s="126"/>
      <c r="T50" s="126"/>
      <c r="U50" s="126"/>
      <c r="V50" s="126"/>
      <c r="W50" s="126"/>
      <c r="X50" s="126"/>
      <c r="Y50" s="126"/>
      <c r="Z50" s="126"/>
    </row>
    <row r="51" spans="1:256" x14ac:dyDescent="0.2">
      <c r="A51" s="217"/>
      <c r="B51" s="218"/>
      <c r="C51" s="388"/>
      <c r="D51" s="388"/>
      <c r="E51" s="388"/>
      <c r="F51" s="388"/>
      <c r="G51" s="388"/>
      <c r="H51" s="388"/>
      <c r="I51" s="388"/>
      <c r="J51" s="388"/>
      <c r="K51" s="388"/>
      <c r="L51" s="388"/>
      <c r="M51" s="389"/>
      <c r="N51" s="126"/>
      <c r="O51" s="126"/>
      <c r="P51" s="126"/>
      <c r="Q51" s="126"/>
      <c r="R51" s="126"/>
      <c r="S51" s="126"/>
      <c r="T51" s="126"/>
      <c r="U51" s="126"/>
      <c r="V51" s="126"/>
      <c r="W51" s="126"/>
      <c r="X51" s="126"/>
      <c r="Y51" s="126"/>
      <c r="Z51" s="126"/>
    </row>
    <row r="52" spans="1:256" x14ac:dyDescent="0.2">
      <c r="A52" s="217"/>
      <c r="B52" s="218"/>
      <c r="C52" s="388"/>
      <c r="D52" s="388"/>
      <c r="E52" s="388"/>
      <c r="F52" s="388"/>
      <c r="G52" s="388"/>
      <c r="H52" s="388"/>
      <c r="I52" s="388"/>
      <c r="J52" s="388"/>
      <c r="K52" s="388"/>
      <c r="L52" s="388"/>
      <c r="M52" s="389"/>
      <c r="N52" s="126"/>
      <c r="O52" s="126"/>
      <c r="P52" s="126"/>
      <c r="Q52" s="126"/>
      <c r="R52" s="126"/>
      <c r="S52" s="126"/>
      <c r="T52" s="126"/>
      <c r="U52" s="126"/>
      <c r="V52" s="126"/>
      <c r="W52" s="126"/>
      <c r="X52" s="126"/>
      <c r="Y52" s="126"/>
      <c r="Z52" s="126"/>
    </row>
    <row r="53" spans="1:256" x14ac:dyDescent="0.2">
      <c r="A53" s="217"/>
      <c r="B53" s="218"/>
      <c r="C53" s="388"/>
      <c r="D53" s="388"/>
      <c r="E53" s="388"/>
      <c r="F53" s="388"/>
      <c r="G53" s="388"/>
      <c r="H53" s="388"/>
      <c r="I53" s="388"/>
      <c r="J53" s="388"/>
      <c r="K53" s="388"/>
      <c r="L53" s="388"/>
      <c r="M53" s="389"/>
      <c r="N53" s="126"/>
      <c r="O53" s="126"/>
      <c r="P53" s="126"/>
      <c r="Q53" s="126"/>
      <c r="R53" s="126"/>
      <c r="S53" s="126"/>
      <c r="T53" s="126"/>
      <c r="U53" s="126"/>
      <c r="V53" s="126"/>
      <c r="W53" s="126"/>
      <c r="X53" s="126"/>
      <c r="Y53" s="126"/>
      <c r="Z53" s="126"/>
    </row>
    <row r="54" spans="1:256" x14ac:dyDescent="0.2">
      <c r="A54" s="217"/>
      <c r="B54" s="218"/>
      <c r="C54" s="388"/>
      <c r="D54" s="388"/>
      <c r="E54" s="388"/>
      <c r="F54" s="388"/>
      <c r="G54" s="388"/>
      <c r="H54" s="388"/>
      <c r="I54" s="388"/>
      <c r="J54" s="388"/>
      <c r="K54" s="388"/>
      <c r="L54" s="388"/>
      <c r="M54" s="389"/>
      <c r="N54" s="126"/>
      <c r="O54" s="126"/>
      <c r="P54" s="126"/>
      <c r="Q54" s="126"/>
      <c r="R54" s="126"/>
      <c r="S54" s="126"/>
      <c r="T54" s="126"/>
      <c r="U54" s="126"/>
      <c r="V54" s="126"/>
      <c r="W54" s="126"/>
      <c r="X54" s="126"/>
      <c r="Y54" s="126"/>
      <c r="Z54" s="126"/>
    </row>
    <row r="55" spans="1:256" x14ac:dyDescent="0.2">
      <c r="A55" s="217"/>
      <c r="B55" s="218"/>
      <c r="C55" s="388"/>
      <c r="D55" s="388"/>
      <c r="E55" s="388"/>
      <c r="F55" s="388"/>
      <c r="G55" s="388"/>
      <c r="H55" s="388"/>
      <c r="I55" s="388"/>
      <c r="J55" s="388"/>
      <c r="K55" s="388"/>
      <c r="L55" s="388"/>
      <c r="M55" s="389"/>
      <c r="N55" s="126"/>
      <c r="O55" s="126"/>
      <c r="P55" s="126"/>
      <c r="Q55" s="126"/>
      <c r="R55" s="126"/>
      <c r="S55" s="126"/>
      <c r="T55" s="126"/>
      <c r="U55" s="126"/>
      <c r="V55" s="126"/>
      <c r="W55" s="126"/>
      <c r="X55" s="126"/>
      <c r="Y55" s="126"/>
      <c r="Z55" s="126"/>
    </row>
    <row r="56" spans="1:256" x14ac:dyDescent="0.2">
      <c r="A56" s="217"/>
      <c r="B56" s="218"/>
      <c r="C56" s="388"/>
      <c r="D56" s="388"/>
      <c r="E56" s="388"/>
      <c r="F56" s="388"/>
      <c r="G56" s="388"/>
      <c r="H56" s="388"/>
      <c r="I56" s="388"/>
      <c r="J56" s="388"/>
      <c r="K56" s="388"/>
      <c r="L56" s="388"/>
      <c r="M56" s="389"/>
      <c r="N56" s="126"/>
      <c r="O56" s="126"/>
      <c r="P56" s="126"/>
      <c r="Q56" s="126"/>
      <c r="R56" s="126"/>
      <c r="S56" s="126"/>
      <c r="T56" s="126"/>
      <c r="U56" s="126"/>
      <c r="V56" s="126"/>
      <c r="W56" s="126"/>
      <c r="X56" s="126"/>
      <c r="Y56" s="126"/>
      <c r="Z56" s="126"/>
    </row>
    <row r="57" spans="1:256" x14ac:dyDescent="0.2">
      <c r="A57" s="217"/>
      <c r="B57" s="218"/>
      <c r="C57" s="388"/>
      <c r="D57" s="388"/>
      <c r="E57" s="388"/>
      <c r="F57" s="388"/>
      <c r="G57" s="388"/>
      <c r="H57" s="388"/>
      <c r="I57" s="388"/>
      <c r="J57" s="388"/>
      <c r="K57" s="388"/>
      <c r="L57" s="388"/>
      <c r="M57" s="389"/>
      <c r="N57" s="126"/>
      <c r="O57" s="126"/>
      <c r="P57" s="126"/>
      <c r="Q57" s="126"/>
      <c r="R57" s="126"/>
      <c r="S57" s="126"/>
      <c r="T57" s="126"/>
      <c r="U57" s="126"/>
      <c r="V57" s="126"/>
      <c r="W57" s="126"/>
      <c r="X57" s="126"/>
      <c r="Y57" s="126"/>
      <c r="Z57" s="126"/>
    </row>
    <row r="58" spans="1:256" x14ac:dyDescent="0.2">
      <c r="A58" s="217"/>
      <c r="B58" s="218"/>
      <c r="C58" s="388"/>
      <c r="D58" s="388"/>
      <c r="E58" s="388"/>
      <c r="F58" s="388"/>
      <c r="G58" s="388"/>
      <c r="H58" s="388"/>
      <c r="I58" s="388"/>
      <c r="J58" s="388"/>
      <c r="K58" s="388"/>
      <c r="L58" s="388"/>
      <c r="M58" s="389"/>
      <c r="N58" s="126"/>
      <c r="O58" s="126"/>
      <c r="P58" s="126"/>
      <c r="Q58" s="126"/>
      <c r="R58" s="126"/>
      <c r="S58" s="126"/>
      <c r="T58" s="126"/>
      <c r="U58" s="126"/>
      <c r="V58" s="126"/>
      <c r="W58" s="126"/>
      <c r="X58" s="126"/>
      <c r="Y58" s="126"/>
      <c r="Z58" s="126"/>
    </row>
    <row r="59" spans="1:256" x14ac:dyDescent="0.2">
      <c r="A59" s="217"/>
      <c r="B59" s="218"/>
      <c r="C59" s="388"/>
      <c r="D59" s="388"/>
      <c r="E59" s="388"/>
      <c r="F59" s="388"/>
      <c r="G59" s="388"/>
      <c r="H59" s="388"/>
      <c r="I59" s="388"/>
      <c r="J59" s="388"/>
      <c r="K59" s="388"/>
      <c r="L59" s="388"/>
      <c r="M59" s="389"/>
    </row>
    <row r="60" spans="1:256" x14ac:dyDescent="0.2">
      <c r="A60" s="217"/>
      <c r="B60" s="218"/>
      <c r="C60" s="388"/>
      <c r="D60" s="388"/>
      <c r="E60" s="388"/>
      <c r="F60" s="388"/>
      <c r="G60" s="388"/>
      <c r="H60" s="388"/>
      <c r="I60" s="388"/>
      <c r="J60" s="388"/>
      <c r="K60" s="388"/>
      <c r="L60" s="388"/>
      <c r="M60" s="389"/>
    </row>
    <row r="61" spans="1:256" x14ac:dyDescent="0.2">
      <c r="A61" s="217"/>
      <c r="B61" s="218"/>
      <c r="C61" s="388"/>
      <c r="D61" s="388"/>
      <c r="E61" s="388"/>
      <c r="F61" s="388"/>
      <c r="G61" s="388"/>
      <c r="H61" s="388"/>
      <c r="I61" s="388"/>
      <c r="J61" s="388"/>
      <c r="K61" s="388"/>
      <c r="L61" s="388"/>
      <c r="M61" s="389"/>
    </row>
    <row r="62" spans="1:256" x14ac:dyDescent="0.2">
      <c r="A62" s="217"/>
      <c r="B62" s="218"/>
      <c r="C62" s="388"/>
      <c r="D62" s="388"/>
      <c r="E62" s="388"/>
      <c r="F62" s="388"/>
      <c r="G62" s="388"/>
      <c r="H62" s="388"/>
      <c r="I62" s="388"/>
      <c r="J62" s="388"/>
      <c r="K62" s="388"/>
      <c r="L62" s="388"/>
      <c r="M62" s="389"/>
    </row>
    <row r="63" spans="1:256" x14ac:dyDescent="0.2">
      <c r="A63" s="217"/>
      <c r="B63" s="218"/>
      <c r="C63" s="388"/>
      <c r="D63" s="388"/>
      <c r="E63" s="388"/>
      <c r="F63" s="388"/>
      <c r="G63" s="388"/>
      <c r="H63" s="388"/>
      <c r="I63" s="388"/>
      <c r="J63" s="388"/>
      <c r="K63" s="388"/>
      <c r="L63" s="388"/>
      <c r="M63" s="389"/>
    </row>
    <row r="64" spans="1:256" x14ac:dyDescent="0.2">
      <c r="A64" s="217"/>
      <c r="B64" s="218"/>
      <c r="C64" s="388"/>
      <c r="D64" s="388"/>
      <c r="E64" s="388"/>
      <c r="F64" s="388"/>
      <c r="G64" s="388"/>
      <c r="H64" s="388"/>
      <c r="I64" s="388"/>
      <c r="J64" s="388"/>
      <c r="K64" s="388"/>
      <c r="L64" s="388"/>
      <c r="M64" s="389"/>
    </row>
    <row r="65" spans="1:13" x14ac:dyDescent="0.2">
      <c r="A65" s="217"/>
      <c r="B65" s="218"/>
      <c r="C65" s="388"/>
      <c r="D65" s="388"/>
      <c r="E65" s="388"/>
      <c r="F65" s="388"/>
      <c r="G65" s="388"/>
      <c r="H65" s="388"/>
      <c r="I65" s="388"/>
      <c r="J65" s="388"/>
      <c r="K65" s="388"/>
      <c r="L65" s="388"/>
      <c r="M65" s="389"/>
    </row>
    <row r="66" spans="1:13" x14ac:dyDescent="0.2">
      <c r="A66" s="217"/>
      <c r="B66" s="218"/>
      <c r="C66" s="388"/>
      <c r="D66" s="388"/>
      <c r="E66" s="388"/>
      <c r="F66" s="388"/>
      <c r="G66" s="388"/>
      <c r="H66" s="388"/>
      <c r="I66" s="388"/>
      <c r="J66" s="388"/>
      <c r="K66" s="388"/>
      <c r="L66" s="388"/>
      <c r="M66" s="389"/>
    </row>
    <row r="67" spans="1:13" x14ac:dyDescent="0.2">
      <c r="A67" s="217"/>
      <c r="B67" s="218"/>
      <c r="C67" s="388"/>
      <c r="D67" s="388"/>
      <c r="E67" s="388"/>
      <c r="F67" s="388"/>
      <c r="G67" s="388"/>
      <c r="H67" s="388"/>
      <c r="I67" s="388"/>
      <c r="J67" s="388"/>
      <c r="K67" s="388"/>
      <c r="L67" s="388"/>
      <c r="M67" s="389"/>
    </row>
    <row r="68" spans="1:13" x14ac:dyDescent="0.2">
      <c r="A68" s="217"/>
      <c r="B68" s="218"/>
      <c r="C68" s="388"/>
      <c r="D68" s="388"/>
      <c r="E68" s="388"/>
      <c r="F68" s="388"/>
      <c r="G68" s="388"/>
      <c r="H68" s="388"/>
      <c r="I68" s="388"/>
      <c r="J68" s="388"/>
      <c r="K68" s="388"/>
      <c r="L68" s="388"/>
      <c r="M68" s="389"/>
    </row>
    <row r="69" spans="1:13" x14ac:dyDescent="0.2">
      <c r="A69" s="217"/>
      <c r="B69" s="218"/>
      <c r="C69" s="388"/>
      <c r="D69" s="388"/>
      <c r="E69" s="388"/>
      <c r="F69" s="388"/>
      <c r="G69" s="388"/>
      <c r="H69" s="388"/>
      <c r="I69" s="388"/>
      <c r="J69" s="388"/>
      <c r="K69" s="388"/>
      <c r="L69" s="388"/>
      <c r="M69" s="389"/>
    </row>
    <row r="70" spans="1:13" ht="12" thickBot="1" x14ac:dyDescent="0.25">
      <c r="A70" s="219"/>
      <c r="B70" s="220"/>
      <c r="C70" s="401"/>
      <c r="D70" s="401"/>
      <c r="E70" s="401"/>
      <c r="F70" s="401"/>
      <c r="G70" s="401"/>
      <c r="H70" s="401"/>
      <c r="I70" s="401"/>
      <c r="J70" s="401"/>
      <c r="K70" s="401"/>
      <c r="L70" s="401"/>
      <c r="M70" s="402"/>
    </row>
    <row r="71" spans="1:13" ht="12" thickTop="1" x14ac:dyDescent="0.2">
      <c r="A71" s="207"/>
      <c r="B71" s="207"/>
      <c r="C71" s="208"/>
      <c r="D71" s="208"/>
      <c r="E71" s="208"/>
      <c r="F71" s="208"/>
      <c r="G71" s="208"/>
      <c r="H71" s="208"/>
      <c r="I71" s="208"/>
      <c r="J71" s="208"/>
      <c r="K71" s="208"/>
      <c r="L71" s="208"/>
    </row>
    <row r="72" spans="1:13" ht="12.75" x14ac:dyDescent="0.2">
      <c r="A72" s="403" t="s">
        <v>832</v>
      </c>
      <c r="B72" s="403"/>
      <c r="C72" s="403"/>
      <c r="D72" s="403"/>
      <c r="E72" s="403"/>
      <c r="F72" s="126"/>
      <c r="G72" s="126"/>
      <c r="H72" s="126"/>
      <c r="I72" s="126"/>
      <c r="J72" s="126"/>
      <c r="K72" s="126"/>
      <c r="L72" s="126"/>
      <c r="M72" s="126"/>
    </row>
    <row r="73" spans="1:13" x14ac:dyDescent="0.2">
      <c r="A73" s="209" t="s">
        <v>764</v>
      </c>
      <c r="B73" s="209" t="s">
        <v>765</v>
      </c>
      <c r="C73" s="400"/>
      <c r="D73" s="400"/>
      <c r="E73" s="400"/>
      <c r="F73" s="400"/>
      <c r="G73" s="400"/>
      <c r="H73" s="400"/>
      <c r="I73" s="400"/>
      <c r="J73" s="400"/>
      <c r="K73" s="400"/>
      <c r="L73" s="400"/>
      <c r="M73" s="400"/>
    </row>
    <row r="74" spans="1:13" x14ac:dyDescent="0.2">
      <c r="A74" s="210"/>
      <c r="B74" s="210"/>
      <c r="C74" s="400"/>
      <c r="D74" s="400"/>
      <c r="E74" s="400"/>
      <c r="F74" s="400"/>
      <c r="G74" s="400"/>
      <c r="H74" s="400"/>
      <c r="I74" s="400"/>
      <c r="J74" s="400"/>
      <c r="K74" s="400"/>
      <c r="L74" s="400"/>
      <c r="M74" s="400"/>
    </row>
    <row r="75" spans="1:13" x14ac:dyDescent="0.2">
      <c r="A75" s="210"/>
      <c r="B75" s="210"/>
      <c r="C75" s="400"/>
      <c r="D75" s="400"/>
      <c r="E75" s="400"/>
      <c r="F75" s="400"/>
      <c r="G75" s="400"/>
      <c r="H75" s="400"/>
      <c r="I75" s="400"/>
      <c r="J75" s="400"/>
      <c r="K75" s="400"/>
      <c r="L75" s="400"/>
      <c r="M75" s="400"/>
    </row>
    <row r="76" spans="1:13" x14ac:dyDescent="0.2">
      <c r="A76" s="210"/>
      <c r="B76" s="210"/>
      <c r="C76" s="400"/>
      <c r="D76" s="400"/>
      <c r="E76" s="400"/>
      <c r="F76" s="400"/>
      <c r="G76" s="400"/>
      <c r="H76" s="400"/>
      <c r="I76" s="400"/>
      <c r="J76" s="400"/>
      <c r="K76" s="400"/>
      <c r="L76" s="400"/>
      <c r="M76" s="400"/>
    </row>
    <row r="77" spans="1:13" x14ac:dyDescent="0.2">
      <c r="A77" s="210"/>
      <c r="B77" s="210"/>
      <c r="C77" s="400"/>
      <c r="D77" s="400"/>
      <c r="E77" s="400"/>
      <c r="F77" s="400"/>
      <c r="G77" s="400"/>
      <c r="H77" s="400"/>
      <c r="I77" s="400"/>
      <c r="J77" s="400"/>
      <c r="K77" s="400"/>
      <c r="L77" s="400"/>
      <c r="M77" s="400"/>
    </row>
    <row r="78" spans="1:13" x14ac:dyDescent="0.2">
      <c r="A78" s="210"/>
      <c r="B78" s="210"/>
      <c r="C78" s="400"/>
      <c r="D78" s="400"/>
      <c r="E78" s="400"/>
      <c r="F78" s="400"/>
      <c r="G78" s="400"/>
      <c r="H78" s="400"/>
      <c r="I78" s="400"/>
      <c r="J78" s="400"/>
      <c r="K78" s="400"/>
      <c r="L78" s="400"/>
      <c r="M78" s="400"/>
    </row>
    <row r="79" spans="1:13" x14ac:dyDescent="0.2">
      <c r="A79" s="210"/>
      <c r="B79" s="210"/>
      <c r="C79" s="400"/>
      <c r="D79" s="400"/>
      <c r="E79" s="400"/>
      <c r="F79" s="400"/>
      <c r="G79" s="400"/>
      <c r="H79" s="400"/>
      <c r="I79" s="400"/>
      <c r="J79" s="400"/>
      <c r="K79" s="400"/>
      <c r="L79" s="400"/>
      <c r="M79" s="400"/>
    </row>
    <row r="80" spans="1:13" x14ac:dyDescent="0.2">
      <c r="A80" s="210"/>
      <c r="B80" s="210"/>
      <c r="C80" s="400"/>
      <c r="D80" s="400"/>
      <c r="E80" s="400"/>
      <c r="F80" s="400"/>
      <c r="G80" s="400"/>
      <c r="H80" s="400"/>
      <c r="I80" s="400"/>
      <c r="J80" s="400"/>
      <c r="K80" s="400"/>
      <c r="L80" s="400"/>
      <c r="M80" s="400"/>
    </row>
    <row r="81" spans="1:13" x14ac:dyDescent="0.2">
      <c r="A81" s="210"/>
      <c r="B81" s="210"/>
      <c r="C81" s="400"/>
      <c r="D81" s="400"/>
      <c r="E81" s="400"/>
      <c r="F81" s="400"/>
      <c r="G81" s="400"/>
      <c r="H81" s="400"/>
      <c r="I81" s="400"/>
      <c r="J81" s="400"/>
      <c r="K81" s="400"/>
      <c r="L81" s="400"/>
      <c r="M81" s="400"/>
    </row>
    <row r="82" spans="1:13" x14ac:dyDescent="0.2">
      <c r="A82" s="210"/>
      <c r="B82" s="210"/>
      <c r="C82" s="400"/>
      <c r="D82" s="400"/>
      <c r="E82" s="400"/>
      <c r="F82" s="400"/>
      <c r="G82" s="400"/>
      <c r="H82" s="400"/>
      <c r="I82" s="400"/>
      <c r="J82" s="400"/>
      <c r="K82" s="400"/>
      <c r="L82" s="400"/>
      <c r="M82" s="400"/>
    </row>
    <row r="83" spans="1:13" x14ac:dyDescent="0.2">
      <c r="A83" s="210"/>
      <c r="B83" s="210"/>
      <c r="C83" s="400"/>
      <c r="D83" s="400"/>
      <c r="E83" s="400"/>
      <c r="F83" s="400"/>
      <c r="G83" s="400"/>
      <c r="H83" s="400"/>
      <c r="I83" s="400"/>
      <c r="J83" s="400"/>
      <c r="K83" s="400"/>
      <c r="L83" s="400"/>
      <c r="M83" s="400"/>
    </row>
    <row r="84" spans="1:13" x14ac:dyDescent="0.2">
      <c r="A84" s="210"/>
      <c r="B84" s="210"/>
      <c r="C84" s="400"/>
      <c r="D84" s="400"/>
      <c r="E84" s="400"/>
      <c r="F84" s="400"/>
      <c r="G84" s="400"/>
      <c r="H84" s="400"/>
      <c r="I84" s="400"/>
      <c r="J84" s="400"/>
      <c r="K84" s="400"/>
      <c r="L84" s="400"/>
      <c r="M84" s="400"/>
    </row>
    <row r="85" spans="1:13" x14ac:dyDescent="0.2">
      <c r="A85" s="210"/>
      <c r="B85" s="210"/>
      <c r="C85" s="400"/>
      <c r="D85" s="400"/>
      <c r="E85" s="400"/>
      <c r="F85" s="400"/>
      <c r="G85" s="400"/>
      <c r="H85" s="400"/>
      <c r="I85" s="400"/>
      <c r="J85" s="400"/>
      <c r="K85" s="400"/>
      <c r="L85" s="400"/>
      <c r="M85" s="400"/>
    </row>
    <row r="86" spans="1:13" x14ac:dyDescent="0.2">
      <c r="A86" s="210"/>
      <c r="B86" s="210"/>
      <c r="C86" s="400"/>
      <c r="D86" s="400"/>
      <c r="E86" s="400"/>
      <c r="F86" s="400"/>
      <c r="G86" s="400"/>
      <c r="H86" s="400"/>
      <c r="I86" s="400"/>
      <c r="J86" s="400"/>
      <c r="K86" s="400"/>
      <c r="L86" s="400"/>
      <c r="M86" s="400"/>
    </row>
    <row r="87" spans="1:13" x14ac:dyDescent="0.2">
      <c r="A87" s="210"/>
      <c r="B87" s="210"/>
      <c r="C87" s="400"/>
      <c r="D87" s="400"/>
      <c r="E87" s="400"/>
      <c r="F87" s="400"/>
      <c r="G87" s="400"/>
      <c r="H87" s="400"/>
      <c r="I87" s="400"/>
      <c r="J87" s="400"/>
      <c r="K87" s="400"/>
      <c r="L87" s="400"/>
      <c r="M87" s="400"/>
    </row>
    <row r="88" spans="1:13" x14ac:dyDescent="0.2">
      <c r="A88" s="210"/>
      <c r="B88" s="210"/>
      <c r="C88" s="400"/>
      <c r="D88" s="400"/>
      <c r="E88" s="400"/>
      <c r="F88" s="400"/>
      <c r="G88" s="400"/>
      <c r="H88" s="400"/>
      <c r="I88" s="400"/>
      <c r="J88" s="400"/>
      <c r="K88" s="400"/>
      <c r="L88" s="400"/>
      <c r="M88" s="400"/>
    </row>
    <row r="89" spans="1:13" x14ac:dyDescent="0.2">
      <c r="A89" s="210"/>
      <c r="B89" s="210"/>
      <c r="C89" s="400"/>
      <c r="D89" s="400"/>
      <c r="E89" s="400"/>
      <c r="F89" s="400"/>
      <c r="G89" s="400"/>
      <c r="H89" s="400"/>
      <c r="I89" s="400"/>
      <c r="J89" s="400"/>
      <c r="K89" s="400"/>
      <c r="L89" s="400"/>
      <c r="M89" s="400"/>
    </row>
    <row r="90" spans="1:13" x14ac:dyDescent="0.2">
      <c r="A90" s="210"/>
      <c r="B90" s="210"/>
      <c r="C90" s="400"/>
      <c r="D90" s="400"/>
      <c r="E90" s="400"/>
      <c r="F90" s="400"/>
      <c r="G90" s="400"/>
      <c r="H90" s="400"/>
      <c r="I90" s="400"/>
      <c r="J90" s="400"/>
      <c r="K90" s="400"/>
      <c r="L90" s="400"/>
      <c r="M90" s="400"/>
    </row>
  </sheetData>
  <sheetProtection password="B90A" sheet="1" objects="1" scenarios="1"/>
  <mergeCells count="223">
    <mergeCell ref="C76:M76"/>
    <mergeCell ref="C66:M66"/>
    <mergeCell ref="C70:M70"/>
    <mergeCell ref="A72:E72"/>
    <mergeCell ref="C73:M73"/>
    <mergeCell ref="C74:M74"/>
    <mergeCell ref="C61:M61"/>
    <mergeCell ref="C53:M53"/>
    <mergeCell ref="C54:M54"/>
    <mergeCell ref="C55:M55"/>
    <mergeCell ref="C75:M75"/>
    <mergeCell ref="C67:M67"/>
    <mergeCell ref="C68:M68"/>
    <mergeCell ref="C69:M69"/>
    <mergeCell ref="C87:M87"/>
    <mergeCell ref="C88:M88"/>
    <mergeCell ref="C89:M89"/>
    <mergeCell ref="C90:M90"/>
    <mergeCell ref="C83:M83"/>
    <mergeCell ref="C84:M84"/>
    <mergeCell ref="C85:M85"/>
    <mergeCell ref="C86:M86"/>
    <mergeCell ref="C77:M77"/>
    <mergeCell ref="C78:M78"/>
    <mergeCell ref="C79:M79"/>
    <mergeCell ref="C80:M80"/>
    <mergeCell ref="C81:M81"/>
    <mergeCell ref="C82:M82"/>
    <mergeCell ref="C52:M52"/>
    <mergeCell ref="C50:M50"/>
    <mergeCell ref="C47:M47"/>
    <mergeCell ref="C48:M48"/>
    <mergeCell ref="C49:M49"/>
    <mergeCell ref="C51:M51"/>
    <mergeCell ref="C63:M63"/>
    <mergeCell ref="C64:M64"/>
    <mergeCell ref="C65:M65"/>
    <mergeCell ref="C56:M56"/>
    <mergeCell ref="C57:M57"/>
    <mergeCell ref="C59:M59"/>
    <mergeCell ref="C60:M60"/>
    <mergeCell ref="C58:M58"/>
    <mergeCell ref="C62:M62"/>
    <mergeCell ref="C39:M39"/>
    <mergeCell ref="C40:M40"/>
    <mergeCell ref="C21:M21"/>
    <mergeCell ref="C22:M22"/>
    <mergeCell ref="C23:M23"/>
    <mergeCell ref="C24:M24"/>
    <mergeCell ref="C29:M29"/>
    <mergeCell ref="C25:M25"/>
    <mergeCell ref="C26:M26"/>
    <mergeCell ref="C27:M27"/>
    <mergeCell ref="C28:M28"/>
    <mergeCell ref="C34:M34"/>
    <mergeCell ref="C35:M35"/>
    <mergeCell ref="C36:M36"/>
    <mergeCell ref="C38:M38"/>
    <mergeCell ref="DP29:DZ29"/>
    <mergeCell ref="CC30:CM30"/>
    <mergeCell ref="BC30:BM30"/>
    <mergeCell ref="BP30:BZ30"/>
    <mergeCell ref="DC30:DM30"/>
    <mergeCell ref="DP30:DZ30"/>
    <mergeCell ref="CC32:CM32"/>
    <mergeCell ref="C14:M14"/>
    <mergeCell ref="C15:M15"/>
    <mergeCell ref="C16:M16"/>
    <mergeCell ref="C17:M17"/>
    <mergeCell ref="C18:M18"/>
    <mergeCell ref="C19:M19"/>
    <mergeCell ref="C20:M20"/>
    <mergeCell ref="DC29:DM29"/>
    <mergeCell ref="AP29:AZ29"/>
    <mergeCell ref="C32:M32"/>
    <mergeCell ref="C30:M30"/>
    <mergeCell ref="C31:M31"/>
    <mergeCell ref="P31:Z31"/>
    <mergeCell ref="AC31:AM31"/>
    <mergeCell ref="AP31:AZ31"/>
    <mergeCell ref="P32:Z32"/>
    <mergeCell ref="DC32:DM32"/>
    <mergeCell ref="A1:I1"/>
    <mergeCell ref="C3:M3"/>
    <mergeCell ref="C4:M4"/>
    <mergeCell ref="F2:I2"/>
    <mergeCell ref="P29:Z29"/>
    <mergeCell ref="AC29:AM29"/>
    <mergeCell ref="BC29:BM29"/>
    <mergeCell ref="BP29:BZ29"/>
    <mergeCell ref="CC29:CM29"/>
    <mergeCell ref="A2:E2"/>
    <mergeCell ref="C5:M5"/>
    <mergeCell ref="C6:M6"/>
    <mergeCell ref="C7:M7"/>
    <mergeCell ref="C8:M8"/>
    <mergeCell ref="C13:M13"/>
    <mergeCell ref="C9:M9"/>
    <mergeCell ref="C10:M10"/>
    <mergeCell ref="C11:M11"/>
    <mergeCell ref="C12:M12"/>
    <mergeCell ref="HP29:HZ29"/>
    <mergeCell ref="IC29:IM29"/>
    <mergeCell ref="IP29:IV29"/>
    <mergeCell ref="C42:M42"/>
    <mergeCell ref="P30:Z30"/>
    <mergeCell ref="AC30:AM30"/>
    <mergeCell ref="AP30:AZ30"/>
    <mergeCell ref="C41:M41"/>
    <mergeCell ref="C33:M33"/>
    <mergeCell ref="C37:M37"/>
    <mergeCell ref="GC30:GM30"/>
    <mergeCell ref="GP30:GZ30"/>
    <mergeCell ref="FP29:FZ29"/>
    <mergeCell ref="GC29:GM29"/>
    <mergeCell ref="GP29:GZ29"/>
    <mergeCell ref="HC29:HM29"/>
    <mergeCell ref="IC31:IM31"/>
    <mergeCell ref="IP31:IV31"/>
    <mergeCell ref="CP32:CZ32"/>
    <mergeCell ref="CP30:CZ30"/>
    <mergeCell ref="EC29:EM29"/>
    <mergeCell ref="EP29:EZ29"/>
    <mergeCell ref="FC29:FM29"/>
    <mergeCell ref="CP29:CZ29"/>
    <mergeCell ref="IC30:IM30"/>
    <mergeCell ref="IP30:IV30"/>
    <mergeCell ref="AP40:AZ40"/>
    <mergeCell ref="BC31:BM31"/>
    <mergeCell ref="BC32:BM32"/>
    <mergeCell ref="BC39:BM39"/>
    <mergeCell ref="BP31:BZ31"/>
    <mergeCell ref="CC31:CM31"/>
    <mergeCell ref="CP31:CZ31"/>
    <mergeCell ref="FP32:FZ32"/>
    <mergeCell ref="GC32:GM32"/>
    <mergeCell ref="DC38:DM38"/>
    <mergeCell ref="DP38:DZ38"/>
    <mergeCell ref="EC38:EM38"/>
    <mergeCell ref="HC30:HM30"/>
    <mergeCell ref="DC31:DM31"/>
    <mergeCell ref="DP31:DZ31"/>
    <mergeCell ref="EC31:EM31"/>
    <mergeCell ref="EP31:EZ31"/>
    <mergeCell ref="GP32:GZ32"/>
    <mergeCell ref="BP38:BZ38"/>
    <mergeCell ref="CC38:CM38"/>
    <mergeCell ref="EC30:EM30"/>
    <mergeCell ref="EP30:EZ30"/>
    <mergeCell ref="DP32:DZ32"/>
    <mergeCell ref="EC32:EM32"/>
    <mergeCell ref="EP32:EZ32"/>
    <mergeCell ref="FC32:FM32"/>
    <mergeCell ref="AC32:AM32"/>
    <mergeCell ref="AP32:AZ32"/>
    <mergeCell ref="HP31:HZ31"/>
    <mergeCell ref="HP30:HZ30"/>
    <mergeCell ref="FC30:FM30"/>
    <mergeCell ref="FP30:FZ30"/>
    <mergeCell ref="FC31:FM31"/>
    <mergeCell ref="FP31:FZ31"/>
    <mergeCell ref="GC31:GM31"/>
    <mergeCell ref="GP31:GZ31"/>
    <mergeCell ref="HC31:HM31"/>
    <mergeCell ref="BP32:BZ32"/>
    <mergeCell ref="HP32:HZ32"/>
    <mergeCell ref="IC32:IM32"/>
    <mergeCell ref="IP32:IV32"/>
    <mergeCell ref="EP38:EZ38"/>
    <mergeCell ref="FC38:FM38"/>
    <mergeCell ref="FP38:FZ38"/>
    <mergeCell ref="GC38:GM38"/>
    <mergeCell ref="GP38:GZ38"/>
    <mergeCell ref="HC38:HM38"/>
    <mergeCell ref="HC32:HM32"/>
    <mergeCell ref="P38:Z38"/>
    <mergeCell ref="AC38:AM38"/>
    <mergeCell ref="AP38:AZ38"/>
    <mergeCell ref="HP38:HZ38"/>
    <mergeCell ref="IC38:IM38"/>
    <mergeCell ref="IP38:IV38"/>
    <mergeCell ref="CP38:CZ38"/>
    <mergeCell ref="BC38:BM38"/>
    <mergeCell ref="P39:Z39"/>
    <mergeCell ref="AC39:AM39"/>
    <mergeCell ref="AP39:AZ39"/>
    <mergeCell ref="HP39:HZ39"/>
    <mergeCell ref="IC39:IM39"/>
    <mergeCell ref="BP39:BZ39"/>
    <mergeCell ref="CC39:CM39"/>
    <mergeCell ref="CP39:CZ39"/>
    <mergeCell ref="HC39:HM39"/>
    <mergeCell ref="DC39:DM39"/>
    <mergeCell ref="DP39:DZ39"/>
    <mergeCell ref="EC39:EM39"/>
    <mergeCell ref="GC39:GM39"/>
    <mergeCell ref="IP39:IV39"/>
    <mergeCell ref="EP39:EZ39"/>
    <mergeCell ref="FC39:FM39"/>
    <mergeCell ref="FP39:FZ39"/>
    <mergeCell ref="GP39:GZ39"/>
    <mergeCell ref="P40:Z40"/>
    <mergeCell ref="AC40:AM40"/>
    <mergeCell ref="IP40:IV40"/>
    <mergeCell ref="C45:M45"/>
    <mergeCell ref="C46:M46"/>
    <mergeCell ref="GC40:GM40"/>
    <mergeCell ref="GP40:GZ40"/>
    <mergeCell ref="HC40:HM40"/>
    <mergeCell ref="HP40:HZ40"/>
    <mergeCell ref="EC40:EM40"/>
    <mergeCell ref="C44:M44"/>
    <mergeCell ref="DP40:DZ40"/>
    <mergeCell ref="IC40:IM40"/>
    <mergeCell ref="C43:M43"/>
    <mergeCell ref="BC40:BM40"/>
    <mergeCell ref="BP40:BZ40"/>
    <mergeCell ref="FC40:FM40"/>
    <mergeCell ref="FP40:FZ40"/>
    <mergeCell ref="CC40:CM40"/>
    <mergeCell ref="CP40:CZ40"/>
    <mergeCell ref="DC40:DM40"/>
    <mergeCell ref="EP40:EZ40"/>
  </mergeCells>
  <phoneticPr fontId="0" type="noConversion"/>
  <printOptions gridLines="1"/>
  <pageMargins left="0.75" right="0.75" top="1" bottom="1" header="0.5" footer="0.5"/>
  <pageSetup scale="85" orientation="portrait" r:id="rId1"/>
  <headerFooter alignWithMargins="0">
    <oddHeader>&amp;LDistrict Notes</oddHeader>
    <oddFooter>&amp;CPage &amp;P of &amp;N</oddFooter>
  </headerFooter>
</worksheet>
</file>

<file path=xl/worksheets/sheet10.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900-000000000000}">
  <dimension ref="A1:AL376"/>
  <sheetViews>
    <sheetView topLeftCell="U152" workbookViewId="0">
      <selection activeCell="AI157" sqref="AI157"/>
    </sheetView>
  </sheetViews>
  <sheetFormatPr defaultRowHeight="11.25" x14ac:dyDescent="0.2"/>
  <cols>
    <col min="2" max="2" width="35.1640625" customWidth="1"/>
    <col min="3" max="3" width="34" customWidth="1"/>
    <col min="4" max="4" width="10.33203125" customWidth="1"/>
    <col min="5" max="5" width="13.1640625" customWidth="1"/>
    <col min="7" max="10" width="15.1640625" customWidth="1"/>
    <col min="11" max="11" width="16.6640625" customWidth="1"/>
    <col min="12" max="12" width="16" customWidth="1"/>
    <col min="13" max="13" width="17.5" customWidth="1"/>
    <col min="14" max="14" width="13.83203125" customWidth="1"/>
    <col min="17" max="17" width="15.33203125" customWidth="1"/>
    <col min="18" max="21" width="17.5" customWidth="1"/>
    <col min="22" max="22" width="13" customWidth="1"/>
    <col min="24" max="24" width="17.6640625" customWidth="1"/>
    <col min="25" max="25" width="16.1640625" customWidth="1"/>
    <col min="26" max="26" width="14.33203125" customWidth="1"/>
    <col min="29" max="32" width="15.33203125" customWidth="1"/>
    <col min="36" max="36" width="19.6640625" customWidth="1"/>
    <col min="38" max="38" width="13.83203125" customWidth="1"/>
    <col min="40" max="40" width="16" customWidth="1"/>
    <col min="42" max="42" width="23.1640625" customWidth="1"/>
  </cols>
  <sheetData>
    <row r="1" spans="1:38" ht="12.75" x14ac:dyDescent="0.2">
      <c r="A1" s="362" t="s">
        <v>365</v>
      </c>
      <c r="B1" s="363"/>
      <c r="C1" s="363"/>
      <c r="D1" s="363"/>
      <c r="E1" s="363"/>
      <c r="F1" s="363"/>
      <c r="G1" s="363"/>
      <c r="H1" s="363"/>
      <c r="I1" s="363"/>
      <c r="J1" s="363"/>
      <c r="K1" s="364"/>
      <c r="L1" s="365" t="s">
        <v>1543</v>
      </c>
      <c r="M1" s="366"/>
      <c r="N1" s="366"/>
      <c r="O1" s="366"/>
      <c r="P1" s="366"/>
      <c r="Q1" s="366"/>
      <c r="R1" s="366"/>
      <c r="S1" s="366"/>
      <c r="T1" s="366"/>
      <c r="U1" s="366"/>
      <c r="V1" s="367"/>
      <c r="W1" s="368" t="s">
        <v>367</v>
      </c>
      <c r="X1" s="369"/>
      <c r="Y1" s="369"/>
      <c r="Z1" s="369"/>
      <c r="AA1" s="369"/>
      <c r="AB1" s="369"/>
      <c r="AC1" s="369"/>
      <c r="AD1" s="369"/>
      <c r="AE1" s="369"/>
      <c r="AF1" s="369"/>
      <c r="AG1" s="370"/>
      <c r="AH1" s="330" t="s">
        <v>1767</v>
      </c>
    </row>
    <row r="2" spans="1:38" ht="57" x14ac:dyDescent="0.2">
      <c r="A2" s="355" t="s">
        <v>907</v>
      </c>
      <c r="B2" s="356" t="s">
        <v>1656</v>
      </c>
      <c r="C2" s="356" t="s">
        <v>909</v>
      </c>
      <c r="D2" s="355" t="s">
        <v>1657</v>
      </c>
      <c r="E2" s="356" t="s">
        <v>1658</v>
      </c>
      <c r="F2" s="355" t="s">
        <v>1659</v>
      </c>
      <c r="G2" s="356" t="s">
        <v>1660</v>
      </c>
      <c r="H2" s="358" t="s">
        <v>1769</v>
      </c>
      <c r="I2" s="358" t="s">
        <v>1770</v>
      </c>
      <c r="J2" s="358" t="s">
        <v>1771</v>
      </c>
      <c r="K2" s="358" t="s">
        <v>1797</v>
      </c>
      <c r="L2" s="355" t="s">
        <v>907</v>
      </c>
      <c r="M2" s="356" t="s">
        <v>1656</v>
      </c>
      <c r="N2" s="356" t="s">
        <v>909</v>
      </c>
      <c r="O2" s="355" t="s">
        <v>1657</v>
      </c>
      <c r="P2" s="356" t="s">
        <v>1658</v>
      </c>
      <c r="Q2" s="355" t="s">
        <v>1659</v>
      </c>
      <c r="R2" s="356" t="s">
        <v>1660</v>
      </c>
      <c r="S2" s="358" t="s">
        <v>1769</v>
      </c>
      <c r="T2" s="358" t="s">
        <v>1770</v>
      </c>
      <c r="U2" s="358" t="s">
        <v>1771</v>
      </c>
      <c r="V2" s="358" t="s">
        <v>1798</v>
      </c>
      <c r="W2" s="355" t="s">
        <v>907</v>
      </c>
      <c r="X2" s="356" t="s">
        <v>1656</v>
      </c>
      <c r="Y2" s="356" t="s">
        <v>909</v>
      </c>
      <c r="Z2" s="355" t="s">
        <v>1657</v>
      </c>
      <c r="AA2" s="356" t="s">
        <v>1658</v>
      </c>
      <c r="AB2" s="355" t="s">
        <v>1659</v>
      </c>
      <c r="AC2" s="356" t="s">
        <v>1660</v>
      </c>
      <c r="AD2" s="358" t="s">
        <v>1769</v>
      </c>
      <c r="AE2" s="358" t="s">
        <v>1770</v>
      </c>
      <c r="AF2" s="358" t="s">
        <v>1771</v>
      </c>
      <c r="AG2" s="358" t="s">
        <v>1798</v>
      </c>
      <c r="AH2" s="355" t="s">
        <v>907</v>
      </c>
      <c r="AI2" s="356" t="s">
        <v>1768</v>
      </c>
      <c r="AJ2" s="356" t="s">
        <v>1656</v>
      </c>
      <c r="AK2" s="355" t="s">
        <v>1659</v>
      </c>
      <c r="AL2" s="356" t="s">
        <v>1660</v>
      </c>
    </row>
    <row r="3" spans="1:38" ht="63.75" x14ac:dyDescent="0.25">
      <c r="A3" s="357">
        <v>999</v>
      </c>
      <c r="B3" s="357" t="s">
        <v>1548</v>
      </c>
      <c r="C3" s="357" t="s">
        <v>1548</v>
      </c>
      <c r="D3" s="357">
        <v>99999</v>
      </c>
      <c r="E3" s="357" t="s">
        <v>61</v>
      </c>
      <c r="F3" s="355"/>
      <c r="G3" s="356"/>
      <c r="H3" s="358"/>
      <c r="I3" s="358"/>
      <c r="J3" s="358"/>
      <c r="K3" s="307"/>
      <c r="L3" s="357">
        <v>999</v>
      </c>
      <c r="M3" s="357" t="s">
        <v>1548</v>
      </c>
      <c r="N3" s="357" t="s">
        <v>1548</v>
      </c>
      <c r="O3" s="357">
        <v>99999</v>
      </c>
      <c r="P3" s="357" t="s">
        <v>1533</v>
      </c>
      <c r="Q3" s="355"/>
      <c r="R3" s="356"/>
      <c r="S3" s="358"/>
      <c r="T3" s="358"/>
      <c r="U3" s="358"/>
      <c r="V3" s="308"/>
      <c r="W3" s="357">
        <v>999</v>
      </c>
      <c r="X3" s="357" t="s">
        <v>1548</v>
      </c>
      <c r="Y3" s="357" t="s">
        <v>1548</v>
      </c>
      <c r="Z3" s="357">
        <v>99999</v>
      </c>
      <c r="AA3" s="357" t="s">
        <v>1534</v>
      </c>
      <c r="AB3" s="355"/>
      <c r="AC3" s="356"/>
      <c r="AD3" s="358"/>
      <c r="AE3" s="358"/>
      <c r="AF3" s="358"/>
      <c r="AH3" s="360">
        <v>725</v>
      </c>
      <c r="AI3" s="360">
        <v>725</v>
      </c>
      <c r="AJ3" s="360" t="s">
        <v>1510</v>
      </c>
      <c r="AK3" s="360">
        <v>411</v>
      </c>
      <c r="AL3" s="360" t="s">
        <v>1510</v>
      </c>
    </row>
    <row r="4" spans="1:38" ht="63.75" x14ac:dyDescent="0.2">
      <c r="A4" s="357">
        <v>111</v>
      </c>
      <c r="B4" s="357" t="s">
        <v>969</v>
      </c>
      <c r="C4" s="357" t="s">
        <v>971</v>
      </c>
      <c r="D4" s="357">
        <v>20240</v>
      </c>
      <c r="E4" s="357" t="s">
        <v>61</v>
      </c>
      <c r="F4" s="357">
        <v>8</v>
      </c>
      <c r="G4" s="357" t="s">
        <v>1661</v>
      </c>
      <c r="H4" s="359">
        <f>ROWS($G$4:G4)</f>
        <v>1</v>
      </c>
      <c r="I4" s="359" t="str">
        <f>IF('School Level Expenditures'!$B$2=A4,'School Tables'!H4,"")</f>
        <v/>
      </c>
      <c r="J4" s="359">
        <f>IFERROR(SMALL($I$4:$I$325,ROWS($I$4:I4)),"")</f>
        <v>76</v>
      </c>
      <c r="K4" s="333" t="b">
        <f>C4=C5</f>
        <v>0</v>
      </c>
      <c r="L4" s="357">
        <v>113</v>
      </c>
      <c r="M4" s="357" t="s">
        <v>989</v>
      </c>
      <c r="N4" s="357" t="s">
        <v>1621</v>
      </c>
      <c r="O4" s="357">
        <v>27010</v>
      </c>
      <c r="P4" s="357" t="s">
        <v>1533</v>
      </c>
      <c r="Q4" s="357">
        <v>9</v>
      </c>
      <c r="R4" s="357" t="s">
        <v>1694</v>
      </c>
      <c r="S4" s="359">
        <f>ROWS($Q$4:Q4)</f>
        <v>1</v>
      </c>
      <c r="T4" s="359" t="str">
        <f>IF('School Level Expenditures'!$B$2='School Tables'!L4,'School Tables'!S4,"")</f>
        <v/>
      </c>
      <c r="U4" s="359" t="str">
        <f>IFERROR(SMALL($T$4:$T$75,ROWS($T$4:T4)),"")</f>
        <v/>
      </c>
      <c r="V4" s="333" t="b">
        <f>N4=N5</f>
        <v>0</v>
      </c>
      <c r="W4" s="357">
        <v>725</v>
      </c>
      <c r="X4" s="357" t="s">
        <v>1510</v>
      </c>
      <c r="Y4" s="357" t="s">
        <v>1511</v>
      </c>
      <c r="Z4" s="357">
        <v>28615</v>
      </c>
      <c r="AA4" s="357" t="s">
        <v>1534</v>
      </c>
      <c r="AB4" s="357">
        <v>411</v>
      </c>
      <c r="AC4" s="357" t="s">
        <v>1510</v>
      </c>
      <c r="AD4" s="359">
        <f>ROWS($AC$4:AC4)</f>
        <v>1</v>
      </c>
      <c r="AE4" s="359" t="str">
        <f>IF('School Level Expenditures'!$B$2='School Tables'!W4,'School Tables'!AD4,"")</f>
        <v/>
      </c>
      <c r="AF4" s="359" t="str">
        <f>IFERROR(SMALL(AE4:$AE$100,ROWS($AE$4:AE4)),"")</f>
        <v/>
      </c>
      <c r="AG4" s="333" t="b">
        <f>Y4=Y5</f>
        <v>0</v>
      </c>
      <c r="AH4">
        <v>5</v>
      </c>
      <c r="AI4">
        <v>5</v>
      </c>
      <c r="AJ4" t="s">
        <v>1772</v>
      </c>
      <c r="AK4">
        <v>9</v>
      </c>
      <c r="AL4" t="s">
        <v>1694</v>
      </c>
    </row>
    <row r="5" spans="1:38" ht="51" x14ac:dyDescent="0.2">
      <c r="A5" s="357">
        <v>174</v>
      </c>
      <c r="B5" s="357" t="s">
        <v>1033</v>
      </c>
      <c r="C5" s="357" t="s">
        <v>1034</v>
      </c>
      <c r="D5" s="357">
        <v>22960</v>
      </c>
      <c r="E5" s="357" t="s">
        <v>61</v>
      </c>
      <c r="F5" s="357">
        <v>60</v>
      </c>
      <c r="G5" s="357" t="s">
        <v>1662</v>
      </c>
      <c r="H5" s="359">
        <f>ROWS($G$4:G5)</f>
        <v>2</v>
      </c>
      <c r="I5" s="359" t="str">
        <f>IF('School Level Expenditures'!$B$2=A5,'School Tables'!H5,"")</f>
        <v/>
      </c>
      <c r="J5" s="359" t="str">
        <f>IFERROR(SMALL($I$4:$I$325,ROWS($I$4:I5)),"")</f>
        <v/>
      </c>
      <c r="K5" s="333" t="b">
        <f t="shared" ref="K5:K68" si="0">C5=C6</f>
        <v>0</v>
      </c>
      <c r="L5" s="357">
        <v>725</v>
      </c>
      <c r="M5" s="357" t="s">
        <v>1510</v>
      </c>
      <c r="N5" s="357" t="s">
        <v>1512</v>
      </c>
      <c r="O5" s="357">
        <v>28580</v>
      </c>
      <c r="P5" s="357" t="s">
        <v>1533</v>
      </c>
      <c r="Q5" s="357">
        <v>411</v>
      </c>
      <c r="R5" s="357" t="s">
        <v>1510</v>
      </c>
      <c r="S5" s="359">
        <f>ROWS($Q$4:Q5)</f>
        <v>2</v>
      </c>
      <c r="T5" s="359" t="str">
        <f>IF('School Level Expenditures'!$B$2='School Tables'!L5,'School Tables'!S5,"")</f>
        <v/>
      </c>
      <c r="U5" s="359" t="str">
        <f>IFERROR(SMALL($T$4:$T$75,ROWS($T$4:T5)),"")</f>
        <v/>
      </c>
      <c r="V5" s="333" t="b">
        <f t="shared" ref="V5:V68" si="1">N5=N6</f>
        <v>0</v>
      </c>
      <c r="W5" s="357">
        <v>267</v>
      </c>
      <c r="X5" s="357" t="s">
        <v>1130</v>
      </c>
      <c r="Y5" s="357" t="s">
        <v>1132</v>
      </c>
      <c r="Z5" s="357">
        <v>21050</v>
      </c>
      <c r="AA5" s="357" t="s">
        <v>1534</v>
      </c>
      <c r="AB5" s="357">
        <v>81</v>
      </c>
      <c r="AC5" s="357" t="s">
        <v>1700</v>
      </c>
      <c r="AD5" s="359">
        <f>ROWS($AC$4:AC5)</f>
        <v>2</v>
      </c>
      <c r="AE5" s="359" t="str">
        <f>IF('School Level Expenditures'!$B$2='School Tables'!W5,'School Tables'!AD5,"")</f>
        <v/>
      </c>
      <c r="AF5" s="359" t="str">
        <f>IFERROR(SMALL(AE5:$AE$100,ROWS($AE$4:AE5)),"")</f>
        <v/>
      </c>
      <c r="AG5" s="333" t="b">
        <f t="shared" ref="AG5:AG30" si="2">Y5=Y6</f>
        <v>0</v>
      </c>
      <c r="AH5">
        <v>9</v>
      </c>
      <c r="AI5">
        <v>9</v>
      </c>
      <c r="AJ5" t="s">
        <v>910</v>
      </c>
      <c r="AK5">
        <v>53</v>
      </c>
      <c r="AL5" t="s">
        <v>1664</v>
      </c>
    </row>
    <row r="6" spans="1:38" ht="38.25" x14ac:dyDescent="0.2">
      <c r="A6" s="357">
        <v>225</v>
      </c>
      <c r="B6" s="357" t="s">
        <v>1088</v>
      </c>
      <c r="C6" s="357" t="s">
        <v>1090</v>
      </c>
      <c r="D6" s="357">
        <v>20795</v>
      </c>
      <c r="E6" s="357" t="s">
        <v>61</v>
      </c>
      <c r="F6" s="357">
        <v>90</v>
      </c>
      <c r="G6" s="357" t="s">
        <v>1663</v>
      </c>
      <c r="H6" s="359">
        <f>ROWS($G$4:G6)</f>
        <v>3</v>
      </c>
      <c r="I6" s="359" t="str">
        <f>IF('School Level Expenditures'!$B$2=A6,'School Tables'!H6,"")</f>
        <v/>
      </c>
      <c r="J6" s="359" t="str">
        <f>IFERROR(SMALL($I$4:$I$325,ROWS($I$4:I6)),"")</f>
        <v/>
      </c>
      <c r="K6" s="333" t="b">
        <f t="shared" si="0"/>
        <v>0</v>
      </c>
      <c r="L6" s="357">
        <v>17</v>
      </c>
      <c r="M6" s="357" t="s">
        <v>915</v>
      </c>
      <c r="N6" s="357" t="s">
        <v>916</v>
      </c>
      <c r="O6" s="357">
        <v>21745</v>
      </c>
      <c r="P6" s="357" t="s">
        <v>1533</v>
      </c>
      <c r="Q6" s="357">
        <v>39</v>
      </c>
      <c r="R6" s="357" t="s">
        <v>1692</v>
      </c>
      <c r="S6" s="359">
        <f>ROWS($Q$4:Q6)</f>
        <v>3</v>
      </c>
      <c r="T6" s="359" t="str">
        <f>IF('School Level Expenditures'!$B$2='School Tables'!L6,'School Tables'!S6,"")</f>
        <v/>
      </c>
      <c r="U6" s="359" t="str">
        <f>IFERROR(SMALL($T$4:$T$75,ROWS($T$4:T6)),"")</f>
        <v/>
      </c>
      <c r="V6" s="333" t="b">
        <f t="shared" si="1"/>
        <v>0</v>
      </c>
      <c r="W6" s="357">
        <v>41</v>
      </c>
      <c r="X6" s="357" t="s">
        <v>934</v>
      </c>
      <c r="Y6" s="357" t="s">
        <v>938</v>
      </c>
      <c r="Z6" s="357">
        <v>28555</v>
      </c>
      <c r="AA6" s="357" t="s">
        <v>1534</v>
      </c>
      <c r="AB6" s="357">
        <v>25</v>
      </c>
      <c r="AC6" s="357" t="s">
        <v>1744</v>
      </c>
      <c r="AD6" s="359">
        <f>ROWS($AC$4:AC6)</f>
        <v>3</v>
      </c>
      <c r="AE6" s="359" t="str">
        <f>IF('School Level Expenditures'!$B$2='School Tables'!W6,'School Tables'!AD6,"")</f>
        <v/>
      </c>
      <c r="AF6" s="359" t="str">
        <f>IFERROR(SMALL(AE6:$AE$100,ROWS($AE$4:AE6)),"")</f>
        <v/>
      </c>
      <c r="AG6" s="333" t="b">
        <f t="shared" si="2"/>
        <v>0</v>
      </c>
      <c r="AH6">
        <v>15</v>
      </c>
      <c r="AI6">
        <v>15</v>
      </c>
      <c r="AJ6" t="s">
        <v>913</v>
      </c>
      <c r="AK6">
        <v>72</v>
      </c>
      <c r="AL6" t="s">
        <v>1665</v>
      </c>
    </row>
    <row r="7" spans="1:38" ht="38.25" x14ac:dyDescent="0.2">
      <c r="A7" s="357">
        <v>9</v>
      </c>
      <c r="B7" s="357" t="s">
        <v>910</v>
      </c>
      <c r="C7" s="357" t="s">
        <v>912</v>
      </c>
      <c r="D7" s="357">
        <v>22580</v>
      </c>
      <c r="E7" s="357" t="s">
        <v>61</v>
      </c>
      <c r="F7" s="357">
        <v>53</v>
      </c>
      <c r="G7" s="357" t="s">
        <v>1664</v>
      </c>
      <c r="H7" s="359">
        <f>ROWS($G$4:G7)</f>
        <v>4</v>
      </c>
      <c r="I7" s="359" t="str">
        <f>IF('School Level Expenditures'!$B$2=A7,'School Tables'!H7,"")</f>
        <v/>
      </c>
      <c r="J7" s="359" t="str">
        <f>IFERROR(SMALL($I$4:$I$325,ROWS($I$4:I7)),"")</f>
        <v/>
      </c>
      <c r="K7" s="333" t="b">
        <f t="shared" si="0"/>
        <v>0</v>
      </c>
      <c r="L7" s="357">
        <v>33</v>
      </c>
      <c r="M7" s="357" t="s">
        <v>926</v>
      </c>
      <c r="N7" s="357" t="s">
        <v>927</v>
      </c>
      <c r="O7" s="357">
        <v>22030</v>
      </c>
      <c r="P7" s="357" t="s">
        <v>1533</v>
      </c>
      <c r="Q7" s="357">
        <v>74</v>
      </c>
      <c r="R7" s="357" t="s">
        <v>1674</v>
      </c>
      <c r="S7" s="359">
        <f>ROWS($Q$4:Q7)</f>
        <v>4</v>
      </c>
      <c r="T7" s="359" t="str">
        <f>IF('School Level Expenditures'!$B$2='School Tables'!L7,'School Tables'!S7,"")</f>
        <v/>
      </c>
      <c r="U7" s="359" t="str">
        <f>IFERROR(SMALL($T$4:$T$75,ROWS($T$4:T7)),"")</f>
        <v/>
      </c>
      <c r="V7" s="333" t="b">
        <f t="shared" si="1"/>
        <v>0</v>
      </c>
      <c r="W7" s="357">
        <v>486</v>
      </c>
      <c r="X7" s="357" t="s">
        <v>1410</v>
      </c>
      <c r="Y7" s="357" t="s">
        <v>1413</v>
      </c>
      <c r="Z7" s="357">
        <v>22145</v>
      </c>
      <c r="AA7" s="357" t="s">
        <v>1534</v>
      </c>
      <c r="AB7" s="357">
        <v>80</v>
      </c>
      <c r="AC7" s="357" t="s">
        <v>1677</v>
      </c>
      <c r="AD7" s="359">
        <f>ROWS($AC$4:AC7)</f>
        <v>4</v>
      </c>
      <c r="AE7" s="359" t="str">
        <f>IF('School Level Expenditures'!$B$2='School Tables'!W7,'School Tables'!AD7,"")</f>
        <v/>
      </c>
      <c r="AF7" s="359" t="str">
        <f>IFERROR(SMALL(AE7:$AE$100,ROWS($AE$4:AE7)),"")</f>
        <v/>
      </c>
      <c r="AG7" s="333" t="b">
        <f t="shared" si="2"/>
        <v>0</v>
      </c>
      <c r="AH7">
        <v>17</v>
      </c>
      <c r="AI7">
        <v>17</v>
      </c>
      <c r="AJ7" t="s">
        <v>915</v>
      </c>
      <c r="AK7">
        <v>39</v>
      </c>
      <c r="AL7" t="s">
        <v>1692</v>
      </c>
    </row>
    <row r="8" spans="1:38" ht="38.25" x14ac:dyDescent="0.2">
      <c r="A8" s="357">
        <v>174</v>
      </c>
      <c r="B8" s="357" t="s">
        <v>1033</v>
      </c>
      <c r="C8" s="357" t="s">
        <v>1035</v>
      </c>
      <c r="D8" s="357">
        <v>22965</v>
      </c>
      <c r="E8" s="357" t="s">
        <v>61</v>
      </c>
      <c r="F8" s="357">
        <v>60</v>
      </c>
      <c r="G8" s="357" t="s">
        <v>1662</v>
      </c>
      <c r="H8" s="359">
        <f>ROWS($G$4:G8)</f>
        <v>5</v>
      </c>
      <c r="I8" s="359" t="str">
        <f>IF('School Level Expenditures'!$B$2=A8,'School Tables'!H8,"")</f>
        <v/>
      </c>
      <c r="J8" s="359" t="str">
        <f>IFERROR(SMALL($I$4:$I$325,ROWS($I$4:I8)),"")</f>
        <v/>
      </c>
      <c r="K8" s="333" t="b">
        <f t="shared" si="0"/>
        <v>0</v>
      </c>
      <c r="L8" s="357">
        <v>486</v>
      </c>
      <c r="M8" s="357" t="s">
        <v>1410</v>
      </c>
      <c r="N8" s="357" t="s">
        <v>1414</v>
      </c>
      <c r="O8" s="357">
        <v>22150</v>
      </c>
      <c r="P8" s="357" t="s">
        <v>1533</v>
      </c>
      <c r="Q8" s="357">
        <v>80</v>
      </c>
      <c r="R8" s="357" t="s">
        <v>1677</v>
      </c>
      <c r="S8" s="359">
        <f>ROWS($Q$4:Q8)</f>
        <v>5</v>
      </c>
      <c r="T8" s="359" t="str">
        <f>IF('School Level Expenditures'!$B$2='School Tables'!L8,'School Tables'!S8,"")</f>
        <v/>
      </c>
      <c r="U8" s="359" t="str">
        <f>IFERROR(SMALL($T$4:$T$75,ROWS($T$4:T8)),"")</f>
        <v/>
      </c>
      <c r="V8" s="333" t="b">
        <f t="shared" si="1"/>
        <v>0</v>
      </c>
      <c r="W8" s="357">
        <v>51</v>
      </c>
      <c r="X8" s="357" t="s">
        <v>940</v>
      </c>
      <c r="Y8" s="357" t="s">
        <v>942</v>
      </c>
      <c r="Z8" s="357">
        <v>20050</v>
      </c>
      <c r="AA8" s="357" t="s">
        <v>1534</v>
      </c>
      <c r="AB8" s="357">
        <v>3</v>
      </c>
      <c r="AC8" s="357" t="s">
        <v>1678</v>
      </c>
      <c r="AD8" s="359">
        <f>ROWS($AC$4:AC8)</f>
        <v>5</v>
      </c>
      <c r="AE8" s="359" t="str">
        <f>IF('School Level Expenditures'!$B$2='School Tables'!W8,'School Tables'!AD8,"")</f>
        <v/>
      </c>
      <c r="AF8" s="359" t="str">
        <f>IFERROR(SMALL(AE8:$AE$100,ROWS($AE$4:AE8)),"")</f>
        <v/>
      </c>
      <c r="AG8" s="333" t="b">
        <f t="shared" si="2"/>
        <v>0</v>
      </c>
      <c r="AH8">
        <v>19</v>
      </c>
      <c r="AI8">
        <v>19</v>
      </c>
      <c r="AJ8" t="s">
        <v>918</v>
      </c>
      <c r="AK8">
        <v>46</v>
      </c>
      <c r="AL8" t="s">
        <v>1667</v>
      </c>
    </row>
    <row r="9" spans="1:38" ht="25.5" x14ac:dyDescent="0.2">
      <c r="A9" s="357">
        <v>15</v>
      </c>
      <c r="B9" s="357" t="s">
        <v>913</v>
      </c>
      <c r="C9" s="357" t="s">
        <v>914</v>
      </c>
      <c r="D9" s="357">
        <v>22480</v>
      </c>
      <c r="E9" s="357" t="s">
        <v>61</v>
      </c>
      <c r="F9" s="357">
        <v>72</v>
      </c>
      <c r="G9" s="357" t="s">
        <v>1665</v>
      </c>
      <c r="H9" s="359">
        <f>ROWS($G$4:G9)</f>
        <v>6</v>
      </c>
      <c r="I9" s="359" t="str">
        <f>IF('School Level Expenditures'!$B$2=A9,'School Tables'!H9,"")</f>
        <v/>
      </c>
      <c r="J9" s="359" t="str">
        <f>IFERROR(SMALL($I$4:$I$325,ROWS($I$4:I9)),"")</f>
        <v/>
      </c>
      <c r="K9" s="333" t="b">
        <f t="shared" si="0"/>
        <v>0</v>
      </c>
      <c r="L9" s="357">
        <v>51</v>
      </c>
      <c r="M9" s="357" t="s">
        <v>940</v>
      </c>
      <c r="N9" s="357" t="s">
        <v>941</v>
      </c>
      <c r="O9" s="357">
        <v>20045</v>
      </c>
      <c r="P9" s="357" t="s">
        <v>1533</v>
      </c>
      <c r="Q9" s="357">
        <v>3</v>
      </c>
      <c r="R9" s="357" t="s">
        <v>1678</v>
      </c>
      <c r="S9" s="359">
        <f>ROWS($Q$4:Q9)</f>
        <v>6</v>
      </c>
      <c r="T9" s="359" t="str">
        <f>IF('School Level Expenditures'!$B$2='School Tables'!L9,'School Tables'!S9,"")</f>
        <v/>
      </c>
      <c r="U9" s="359" t="str">
        <f>IFERROR(SMALL($T$4:$T$75,ROWS($T$4:T9)),"")</f>
        <v/>
      </c>
      <c r="V9" s="333" t="b">
        <f t="shared" si="1"/>
        <v>0</v>
      </c>
      <c r="W9" s="357">
        <v>57</v>
      </c>
      <c r="X9" s="357" t="s">
        <v>945</v>
      </c>
      <c r="Y9" s="357" t="s">
        <v>948</v>
      </c>
      <c r="Z9" s="357">
        <v>27375</v>
      </c>
      <c r="AA9" s="357" t="s">
        <v>1534</v>
      </c>
      <c r="AB9" s="357">
        <v>67</v>
      </c>
      <c r="AC9" s="357" t="s">
        <v>1682</v>
      </c>
      <c r="AD9" s="359">
        <f>ROWS($AC$4:AC9)</f>
        <v>6</v>
      </c>
      <c r="AE9" s="359" t="str">
        <f>IF('School Level Expenditures'!$B$2='School Tables'!W9,'School Tables'!AD9,"")</f>
        <v/>
      </c>
      <c r="AF9" s="359" t="str">
        <f>IFERROR(SMALL(AE9:$AE$100,ROWS($AE$4:AE9)),"")</f>
        <v/>
      </c>
      <c r="AG9" s="333" t="b">
        <f t="shared" si="2"/>
        <v>0</v>
      </c>
      <c r="AH9">
        <v>23</v>
      </c>
      <c r="AI9">
        <v>23</v>
      </c>
      <c r="AJ9" t="s">
        <v>920</v>
      </c>
      <c r="AK9">
        <v>2</v>
      </c>
      <c r="AL9" t="s">
        <v>1669</v>
      </c>
    </row>
    <row r="10" spans="1:38" ht="38.25" x14ac:dyDescent="0.2">
      <c r="A10" s="357">
        <v>371</v>
      </c>
      <c r="B10" s="357" t="s">
        <v>1283</v>
      </c>
      <c r="C10" s="357" t="s">
        <v>1299</v>
      </c>
      <c r="D10" s="357">
        <v>21940</v>
      </c>
      <c r="E10" s="357" t="s">
        <v>61</v>
      </c>
      <c r="F10" s="357">
        <v>42</v>
      </c>
      <c r="G10" s="357" t="s">
        <v>1666</v>
      </c>
      <c r="H10" s="359">
        <f>ROWS($G$4:G10)</f>
        <v>7</v>
      </c>
      <c r="I10" s="359" t="str">
        <f>IF('School Level Expenditures'!$B$2=A10,'School Tables'!H10,"")</f>
        <v/>
      </c>
      <c r="J10" s="359" t="str">
        <f>IFERROR(SMALL($I$4:$I$325,ROWS($I$4:I10)),"")</f>
        <v/>
      </c>
      <c r="K10" s="333" t="b">
        <f t="shared" si="0"/>
        <v>0</v>
      </c>
      <c r="L10" s="357">
        <v>57</v>
      </c>
      <c r="M10" s="357" t="s">
        <v>945</v>
      </c>
      <c r="N10" s="357" t="s">
        <v>946</v>
      </c>
      <c r="O10" s="357">
        <v>20675</v>
      </c>
      <c r="P10" s="357" t="s">
        <v>1533</v>
      </c>
      <c r="Q10" s="357">
        <v>67</v>
      </c>
      <c r="R10" s="357" t="s">
        <v>1682</v>
      </c>
      <c r="S10" s="359">
        <f>ROWS($Q$4:Q10)</f>
        <v>7</v>
      </c>
      <c r="T10" s="359" t="str">
        <f>IF('School Level Expenditures'!$B$2='School Tables'!L10,'School Tables'!S10,"")</f>
        <v/>
      </c>
      <c r="U10" s="359" t="str">
        <f>IFERROR(SMALL($T$4:$T$75,ROWS($T$4:T10)),"")</f>
        <v/>
      </c>
      <c r="V10" s="333" t="b">
        <f t="shared" si="1"/>
        <v>0</v>
      </c>
      <c r="W10" s="357">
        <v>461</v>
      </c>
      <c r="X10" s="357" t="s">
        <v>1376</v>
      </c>
      <c r="Y10" s="357" t="s">
        <v>1380</v>
      </c>
      <c r="Z10" s="357">
        <v>22675</v>
      </c>
      <c r="AA10" s="357" t="s">
        <v>1534</v>
      </c>
      <c r="AB10" s="357">
        <v>54</v>
      </c>
      <c r="AC10" s="357" t="s">
        <v>1689</v>
      </c>
      <c r="AD10" s="359">
        <f>ROWS($AC$4:AC10)</f>
        <v>7</v>
      </c>
      <c r="AE10" s="359" t="str">
        <f>IF('School Level Expenditures'!$B$2='School Tables'!W10,'School Tables'!AD10,"")</f>
        <v/>
      </c>
      <c r="AF10" s="359" t="str">
        <f>IFERROR(SMALL(AE10:$AE$100,ROWS($AE$4:AE10)),"")</f>
        <v/>
      </c>
      <c r="AG10" s="333" t="b">
        <f t="shared" si="2"/>
        <v>0</v>
      </c>
      <c r="AH10">
        <v>29</v>
      </c>
      <c r="AI10">
        <v>29</v>
      </c>
      <c r="AJ10" t="s">
        <v>922</v>
      </c>
      <c r="AK10">
        <v>15</v>
      </c>
      <c r="AL10" t="s">
        <v>1671</v>
      </c>
    </row>
    <row r="11" spans="1:38" ht="38.25" x14ac:dyDescent="0.2">
      <c r="A11" s="357">
        <v>19</v>
      </c>
      <c r="B11" s="357" t="s">
        <v>918</v>
      </c>
      <c r="C11" s="357" t="s">
        <v>919</v>
      </c>
      <c r="D11" s="357">
        <v>22130</v>
      </c>
      <c r="E11" s="357" t="s">
        <v>61</v>
      </c>
      <c r="F11" s="357">
        <v>46</v>
      </c>
      <c r="G11" s="357" t="s">
        <v>1667</v>
      </c>
      <c r="H11" s="359">
        <f>ROWS($G$4:G11)</f>
        <v>8</v>
      </c>
      <c r="I11" s="359" t="str">
        <f>IF('School Level Expenditures'!$B$2=A11,'School Tables'!H11,"")</f>
        <v/>
      </c>
      <c r="J11" s="359" t="str">
        <f>IFERROR(SMALL($I$4:$I$325,ROWS($I$4:I11)),"")</f>
        <v/>
      </c>
      <c r="K11" s="333" t="b">
        <f t="shared" si="0"/>
        <v>0</v>
      </c>
      <c r="L11" s="357">
        <v>342</v>
      </c>
      <c r="M11" s="357" t="s">
        <v>1232</v>
      </c>
      <c r="N11" s="357" t="s">
        <v>1233</v>
      </c>
      <c r="O11" s="357">
        <v>26685</v>
      </c>
      <c r="P11" s="357" t="s">
        <v>1533</v>
      </c>
      <c r="Q11" s="357">
        <v>87</v>
      </c>
      <c r="R11" s="357" t="s">
        <v>1726</v>
      </c>
      <c r="S11" s="359">
        <f>ROWS($Q$4:Q11)</f>
        <v>8</v>
      </c>
      <c r="T11" s="359" t="str">
        <f>IF('School Level Expenditures'!$B$2='School Tables'!L11,'School Tables'!S11,"")</f>
        <v/>
      </c>
      <c r="U11" s="359" t="str">
        <f>IFERROR(SMALL($T$4:$T$75,ROWS($T$4:T11)),"")</f>
        <v/>
      </c>
      <c r="V11" s="333" t="b">
        <f t="shared" si="1"/>
        <v>0</v>
      </c>
      <c r="W11" s="357">
        <v>315</v>
      </c>
      <c r="X11" s="357" t="s">
        <v>1191</v>
      </c>
      <c r="Y11" s="357" t="s">
        <v>1193</v>
      </c>
      <c r="Z11" s="357">
        <v>27715</v>
      </c>
      <c r="AA11" s="357" t="s">
        <v>1534</v>
      </c>
      <c r="AB11" s="357">
        <v>27</v>
      </c>
      <c r="AC11" s="357" t="s">
        <v>1719</v>
      </c>
      <c r="AD11" s="359">
        <f>ROWS($AC$4:AC11)</f>
        <v>8</v>
      </c>
      <c r="AE11" s="359" t="str">
        <f>IF('School Level Expenditures'!$B$2='School Tables'!W11,'School Tables'!AD11,"")</f>
        <v/>
      </c>
      <c r="AF11" s="359" t="str">
        <f>IFERROR(SMALL(AE11:$AE$100,ROWS($AE$4:AE11)),"")</f>
        <v/>
      </c>
      <c r="AG11" s="333" t="b">
        <f t="shared" si="2"/>
        <v>0</v>
      </c>
      <c r="AH11">
        <v>31</v>
      </c>
      <c r="AI11">
        <v>31</v>
      </c>
      <c r="AJ11" t="s">
        <v>924</v>
      </c>
      <c r="AK11">
        <v>86</v>
      </c>
      <c r="AL11" t="s">
        <v>1673</v>
      </c>
    </row>
    <row r="12" spans="1:38" ht="38.25" x14ac:dyDescent="0.2">
      <c r="A12" s="357">
        <v>112</v>
      </c>
      <c r="B12" s="357" t="s">
        <v>977</v>
      </c>
      <c r="C12" s="357" t="s">
        <v>979</v>
      </c>
      <c r="D12" s="357">
        <v>22215</v>
      </c>
      <c r="E12" s="357" t="s">
        <v>61</v>
      </c>
      <c r="F12" s="357">
        <v>1</v>
      </c>
      <c r="G12" s="357" t="s">
        <v>1668</v>
      </c>
      <c r="H12" s="359">
        <f>ROWS($G$4:G12)</f>
        <v>9</v>
      </c>
      <c r="I12" s="359" t="str">
        <f>IF('School Level Expenditures'!$B$2=A12,'School Tables'!H12,"")</f>
        <v/>
      </c>
      <c r="J12" s="359" t="str">
        <f>IFERROR(SMALL($I$4:$I$325,ROWS($I$4:I12)),"")</f>
        <v/>
      </c>
      <c r="K12" s="333" t="b">
        <f t="shared" si="0"/>
        <v>0</v>
      </c>
      <c r="L12" s="357">
        <v>101</v>
      </c>
      <c r="M12" s="357" t="s">
        <v>963</v>
      </c>
      <c r="N12" s="357" t="s">
        <v>964</v>
      </c>
      <c r="O12" s="357">
        <v>20115</v>
      </c>
      <c r="P12" s="357" t="s">
        <v>1533</v>
      </c>
      <c r="Q12" s="357">
        <v>6</v>
      </c>
      <c r="R12" s="357" t="s">
        <v>1681</v>
      </c>
      <c r="S12" s="359">
        <f>ROWS($Q$4:Q12)</f>
        <v>9</v>
      </c>
      <c r="T12" s="359" t="str">
        <f>IF('School Level Expenditures'!$B$2='School Tables'!L12,'School Tables'!S12,"")</f>
        <v/>
      </c>
      <c r="U12" s="359" t="str">
        <f>IFERROR(SMALL($T$4:$T$75,ROWS($T$4:T12)),"")</f>
        <v/>
      </c>
      <c r="V12" s="333" t="b">
        <f t="shared" si="1"/>
        <v>0</v>
      </c>
      <c r="W12" s="357">
        <v>707</v>
      </c>
      <c r="X12" s="357" t="s">
        <v>1498</v>
      </c>
      <c r="Y12" s="357" t="s">
        <v>1498</v>
      </c>
      <c r="Z12" s="357">
        <v>28455</v>
      </c>
      <c r="AA12" s="357" t="s">
        <v>1534</v>
      </c>
      <c r="AB12" s="357">
        <v>405</v>
      </c>
      <c r="AC12" s="357" t="s">
        <v>1498</v>
      </c>
      <c r="AD12" s="359">
        <f>ROWS($AC$4:AC12)</f>
        <v>9</v>
      </c>
      <c r="AE12" s="359" t="str">
        <f>IF('School Level Expenditures'!$B$2='School Tables'!W12,'School Tables'!AD12,"")</f>
        <v/>
      </c>
      <c r="AF12" s="359" t="str">
        <f>IFERROR(SMALL(AE12:$AE$100,ROWS($AE$4:AE12)),"")</f>
        <v/>
      </c>
      <c r="AG12" s="333" t="b">
        <f t="shared" si="2"/>
        <v>0</v>
      </c>
      <c r="AH12">
        <v>33</v>
      </c>
      <c r="AI12">
        <v>33</v>
      </c>
      <c r="AJ12" t="s">
        <v>926</v>
      </c>
      <c r="AK12">
        <v>74</v>
      </c>
      <c r="AL12" t="s">
        <v>1674</v>
      </c>
    </row>
    <row r="13" spans="1:38" ht="38.25" x14ac:dyDescent="0.2">
      <c r="A13" s="357">
        <v>9</v>
      </c>
      <c r="B13" s="357" t="s">
        <v>910</v>
      </c>
      <c r="C13" s="357" t="s">
        <v>911</v>
      </c>
      <c r="D13" s="357">
        <v>22575</v>
      </c>
      <c r="E13" s="357" t="s">
        <v>61</v>
      </c>
      <c r="F13" s="357">
        <v>53</v>
      </c>
      <c r="G13" s="357" t="s">
        <v>1664</v>
      </c>
      <c r="H13" s="359">
        <f>ROWS($G$4:G13)</f>
        <v>10</v>
      </c>
      <c r="I13" s="359" t="str">
        <f>IF('School Level Expenditures'!$B$2=A13,'School Tables'!H13,"")</f>
        <v/>
      </c>
      <c r="J13" s="359" t="str">
        <f>IFERROR(SMALL($I$4:$I$325,ROWS($I$4:I13)),"")</f>
        <v/>
      </c>
      <c r="K13" s="333" t="b">
        <f t="shared" si="0"/>
        <v>0</v>
      </c>
      <c r="L13" s="357">
        <v>172</v>
      </c>
      <c r="M13" s="357" t="s">
        <v>1027</v>
      </c>
      <c r="N13" s="357" t="s">
        <v>1028</v>
      </c>
      <c r="O13" s="357">
        <v>20590</v>
      </c>
      <c r="P13" s="357" t="s">
        <v>1533</v>
      </c>
      <c r="Q13" s="357">
        <v>16</v>
      </c>
      <c r="R13" s="357" t="s">
        <v>1702</v>
      </c>
      <c r="S13" s="359">
        <f>ROWS($Q$4:Q13)</f>
        <v>10</v>
      </c>
      <c r="T13" s="359" t="str">
        <f>IF('School Level Expenditures'!$B$2='School Tables'!L13,'School Tables'!S13,"")</f>
        <v/>
      </c>
      <c r="U13" s="359" t="str">
        <f>IFERROR(SMALL($T$4:$T$75,ROWS($T$4:T13)),"")</f>
        <v/>
      </c>
      <c r="V13" s="333" t="b">
        <f t="shared" si="1"/>
        <v>0</v>
      </c>
      <c r="W13" s="357">
        <v>998</v>
      </c>
      <c r="X13" s="357" t="s">
        <v>1625</v>
      </c>
      <c r="Y13" s="357" t="s">
        <v>1625</v>
      </c>
      <c r="Z13" s="357">
        <v>22025</v>
      </c>
      <c r="AA13" s="357" t="s">
        <v>1534</v>
      </c>
      <c r="AB13" s="357">
        <v>201</v>
      </c>
      <c r="AC13" s="357" t="s">
        <v>1625</v>
      </c>
      <c r="AD13" s="359">
        <f>ROWS($AC$4:AC13)</f>
        <v>10</v>
      </c>
      <c r="AE13" s="359" t="str">
        <f>IF('School Level Expenditures'!$B$2='School Tables'!W13,'School Tables'!AD13,"")</f>
        <v/>
      </c>
      <c r="AF13" s="359" t="str">
        <f>IFERROR(SMALL(AE13:$AE$100,ROWS($AE$4:AE13)),"")</f>
        <v/>
      </c>
      <c r="AG13" s="333" t="b">
        <f t="shared" si="2"/>
        <v>0</v>
      </c>
      <c r="AH13">
        <v>35</v>
      </c>
      <c r="AI13">
        <v>35</v>
      </c>
      <c r="AJ13" t="s">
        <v>930</v>
      </c>
      <c r="AK13">
        <v>9</v>
      </c>
      <c r="AL13" t="s">
        <v>1694</v>
      </c>
    </row>
    <row r="14" spans="1:38" ht="51" x14ac:dyDescent="0.2">
      <c r="A14" s="357">
        <v>23</v>
      </c>
      <c r="B14" s="357" t="s">
        <v>920</v>
      </c>
      <c r="C14" s="357" t="s">
        <v>921</v>
      </c>
      <c r="D14" s="357">
        <v>20010</v>
      </c>
      <c r="E14" s="357" t="s">
        <v>61</v>
      </c>
      <c r="F14" s="357">
        <v>2</v>
      </c>
      <c r="G14" s="357" t="s">
        <v>1669</v>
      </c>
      <c r="H14" s="359">
        <f>ROWS($G$4:G14)</f>
        <v>11</v>
      </c>
      <c r="I14" s="359" t="str">
        <f>IF('School Level Expenditures'!$B$2=A14,'School Tables'!H14,"")</f>
        <v/>
      </c>
      <c r="J14" s="359" t="str">
        <f>IFERROR(SMALL($I$4:$I$325,ROWS($I$4:I14)),"")</f>
        <v/>
      </c>
      <c r="K14" s="333" t="b">
        <f t="shared" si="0"/>
        <v>0</v>
      </c>
      <c r="L14" s="357">
        <v>317</v>
      </c>
      <c r="M14" s="357" t="s">
        <v>1195</v>
      </c>
      <c r="N14" s="357" t="s">
        <v>1196</v>
      </c>
      <c r="O14" s="357">
        <v>21440</v>
      </c>
      <c r="P14" s="357" t="s">
        <v>1533</v>
      </c>
      <c r="Q14" s="357">
        <v>84</v>
      </c>
      <c r="R14" s="357" t="s">
        <v>1746</v>
      </c>
      <c r="S14" s="359">
        <f>ROWS($Q$4:Q14)</f>
        <v>11</v>
      </c>
      <c r="T14" s="359" t="str">
        <f>IF('School Level Expenditures'!$B$2='School Tables'!L14,'School Tables'!S14,"")</f>
        <v/>
      </c>
      <c r="U14" s="359" t="str">
        <f>IFERROR(SMALL($T$4:$T$75,ROWS($T$4:T14)),"")</f>
        <v/>
      </c>
      <c r="V14" s="333" t="b">
        <f t="shared" si="1"/>
        <v>0</v>
      </c>
      <c r="W14" s="357">
        <v>105</v>
      </c>
      <c r="X14" s="357" t="s">
        <v>968</v>
      </c>
      <c r="Y14" s="357" t="s">
        <v>1609</v>
      </c>
      <c r="Z14" s="357">
        <v>20185</v>
      </c>
      <c r="AA14" s="357" t="s">
        <v>1534</v>
      </c>
      <c r="AB14" s="357">
        <v>7</v>
      </c>
      <c r="AC14" s="357" t="s">
        <v>1693</v>
      </c>
      <c r="AD14" s="359">
        <f>ROWS($AC$4:AC14)</f>
        <v>11</v>
      </c>
      <c r="AE14" s="359" t="str">
        <f>IF('School Level Expenditures'!$B$2='School Tables'!W14,'School Tables'!AD14,"")</f>
        <v/>
      </c>
      <c r="AF14" s="359" t="str">
        <f>IFERROR(SMALL(AE14:$AE$100,ROWS($AE$4:AE14)),"")</f>
        <v/>
      </c>
      <c r="AG14" s="333" t="b">
        <f t="shared" si="2"/>
        <v>0</v>
      </c>
      <c r="AH14">
        <v>39</v>
      </c>
      <c r="AI14">
        <v>39</v>
      </c>
      <c r="AJ14" t="s">
        <v>932</v>
      </c>
      <c r="AK14">
        <v>23</v>
      </c>
      <c r="AL14" t="s">
        <v>1676</v>
      </c>
    </row>
    <row r="15" spans="1:38" ht="63.75" x14ac:dyDescent="0.2">
      <c r="A15" s="357">
        <v>534</v>
      </c>
      <c r="B15" s="357" t="s">
        <v>1443</v>
      </c>
      <c r="C15" s="357" t="s">
        <v>1445</v>
      </c>
      <c r="D15" s="357">
        <v>22740</v>
      </c>
      <c r="E15" s="357" t="s">
        <v>61</v>
      </c>
      <c r="F15" s="357">
        <v>106</v>
      </c>
      <c r="G15" s="357" t="s">
        <v>1670</v>
      </c>
      <c r="H15" s="359">
        <f>ROWS($G$4:G15)</f>
        <v>12</v>
      </c>
      <c r="I15" s="359" t="str">
        <f>IF('School Level Expenditures'!$B$2=A15,'School Tables'!H15,"")</f>
        <v/>
      </c>
      <c r="J15" s="359" t="str">
        <f>IFERROR(SMALL($I$4:$I$325,ROWS($I$4:I15)),"")</f>
        <v/>
      </c>
      <c r="K15" s="333" t="b">
        <f t="shared" si="0"/>
        <v>0</v>
      </c>
      <c r="L15" s="357">
        <v>261</v>
      </c>
      <c r="M15" s="357" t="s">
        <v>1121</v>
      </c>
      <c r="N15" s="357" t="s">
        <v>1124</v>
      </c>
      <c r="O15" s="357">
        <v>28050</v>
      </c>
      <c r="P15" s="357" t="s">
        <v>1533</v>
      </c>
      <c r="Q15" s="357">
        <v>15</v>
      </c>
      <c r="R15" s="357" t="s">
        <v>1671</v>
      </c>
      <c r="S15" s="359">
        <f>ROWS($Q$4:Q15)</f>
        <v>12</v>
      </c>
      <c r="T15" s="359" t="str">
        <f>IF('School Level Expenditures'!$B$2='School Tables'!L15,'School Tables'!S15,"")</f>
        <v/>
      </c>
      <c r="U15" s="359" t="str">
        <f>IFERROR(SMALL($T$4:$T$75,ROWS($T$4:T15)),"")</f>
        <v/>
      </c>
      <c r="V15" s="333" t="b">
        <f t="shared" si="1"/>
        <v>0</v>
      </c>
      <c r="W15" s="357">
        <v>743</v>
      </c>
      <c r="X15" s="357" t="s">
        <v>1529</v>
      </c>
      <c r="Y15" s="357" t="s">
        <v>1764</v>
      </c>
      <c r="Z15" s="357">
        <v>29224</v>
      </c>
      <c r="AA15" s="357" t="s">
        <v>1534</v>
      </c>
      <c r="AB15" s="357">
        <v>429</v>
      </c>
      <c r="AC15" s="357" t="s">
        <v>1529</v>
      </c>
      <c r="AD15" s="359">
        <f>ROWS($AC$4:AC15)</f>
        <v>12</v>
      </c>
      <c r="AE15" s="359" t="str">
        <f>IF('School Level Expenditures'!$B$2='School Tables'!W15,'School Tables'!AD15,"")</f>
        <v/>
      </c>
      <c r="AF15" s="359" t="str">
        <f>IFERROR(SMALL(AE15:$AE$100,ROWS($AE$4:AE15)),"")</f>
        <v/>
      </c>
      <c r="AG15" s="333" t="b">
        <f t="shared" si="2"/>
        <v>0</v>
      </c>
      <c r="AH15">
        <v>41</v>
      </c>
      <c r="AI15">
        <v>41</v>
      </c>
      <c r="AJ15" t="s">
        <v>934</v>
      </c>
      <c r="AK15">
        <v>25</v>
      </c>
      <c r="AL15" t="s">
        <v>1744</v>
      </c>
    </row>
    <row r="16" spans="1:38" ht="25.5" x14ac:dyDescent="0.2">
      <c r="A16" s="357">
        <v>29</v>
      </c>
      <c r="B16" s="357" t="s">
        <v>922</v>
      </c>
      <c r="C16" s="357" t="s">
        <v>923</v>
      </c>
      <c r="D16" s="357">
        <v>20530</v>
      </c>
      <c r="E16" s="357" t="s">
        <v>61</v>
      </c>
      <c r="F16" s="357">
        <v>15</v>
      </c>
      <c r="G16" s="357" t="s">
        <v>1671</v>
      </c>
      <c r="H16" s="359">
        <f>ROWS($G$4:G16)</f>
        <v>13</v>
      </c>
      <c r="I16" s="359" t="str">
        <f>IF('School Level Expenditures'!$B$2=A16,'School Tables'!H16,"")</f>
        <v/>
      </c>
      <c r="J16" s="359" t="str">
        <f>IFERROR(SMALL($I$4:$I$325,ROWS($I$4:I16)),"")</f>
        <v/>
      </c>
      <c r="K16" s="333" t="b">
        <f t="shared" si="0"/>
        <v>0</v>
      </c>
      <c r="L16" s="357">
        <v>141</v>
      </c>
      <c r="M16" s="357" t="s">
        <v>1008</v>
      </c>
      <c r="N16" s="357" t="s">
        <v>1010</v>
      </c>
      <c r="O16" s="357">
        <v>20435</v>
      </c>
      <c r="P16" s="357" t="s">
        <v>1533</v>
      </c>
      <c r="Q16" s="357">
        <v>11</v>
      </c>
      <c r="R16" s="357" t="s">
        <v>1710</v>
      </c>
      <c r="S16" s="359">
        <f>ROWS($Q$4:Q16)</f>
        <v>13</v>
      </c>
      <c r="T16" s="359" t="str">
        <f>IF('School Level Expenditures'!$B$2='School Tables'!L16,'School Tables'!S16,"")</f>
        <v/>
      </c>
      <c r="U16" s="359" t="str">
        <f>IFERROR(SMALL($T$4:$T$75,ROWS($T$4:T16)),"")</f>
        <v/>
      </c>
      <c r="V16" s="333" t="b">
        <f t="shared" si="1"/>
        <v>0</v>
      </c>
      <c r="W16" s="357">
        <v>274</v>
      </c>
      <c r="X16" s="357" t="s">
        <v>1143</v>
      </c>
      <c r="Y16" s="357" t="s">
        <v>1145</v>
      </c>
      <c r="Z16" s="357">
        <v>22265</v>
      </c>
      <c r="AA16" s="357" t="s">
        <v>1534</v>
      </c>
      <c r="AB16" s="357">
        <v>47</v>
      </c>
      <c r="AC16" s="357" t="s">
        <v>1730</v>
      </c>
      <c r="AD16" s="359">
        <f>ROWS($AC$4:AC16)</f>
        <v>13</v>
      </c>
      <c r="AE16" s="359" t="str">
        <f>IF('School Level Expenditures'!$B$2='School Tables'!W16,'School Tables'!AD16,"")</f>
        <v/>
      </c>
      <c r="AF16" s="359" t="str">
        <f>IFERROR(SMALL(AE16:$AE$100,ROWS($AE$4:AE16)),"")</f>
        <v/>
      </c>
      <c r="AG16" s="333" t="b">
        <f t="shared" si="2"/>
        <v>0</v>
      </c>
      <c r="AH16">
        <v>47</v>
      </c>
      <c r="AI16">
        <v>47</v>
      </c>
      <c r="AJ16" t="s">
        <v>1773</v>
      </c>
      <c r="AK16">
        <v>23</v>
      </c>
      <c r="AL16" t="s">
        <v>1676</v>
      </c>
    </row>
    <row r="17" spans="1:38" ht="38.25" x14ac:dyDescent="0.2">
      <c r="A17" s="357">
        <v>335</v>
      </c>
      <c r="B17" s="357" t="s">
        <v>906</v>
      </c>
      <c r="C17" s="357" t="s">
        <v>1216</v>
      </c>
      <c r="D17" s="357">
        <v>21545</v>
      </c>
      <c r="E17" s="357" t="s">
        <v>61</v>
      </c>
      <c r="F17" s="357">
        <v>37</v>
      </c>
      <c r="G17" s="357" t="s">
        <v>1672</v>
      </c>
      <c r="H17" s="359">
        <f>ROWS($G$4:G17)</f>
        <v>14</v>
      </c>
      <c r="I17" s="359" t="str">
        <f>IF('School Level Expenditures'!$B$2=A17,'School Tables'!H17,"")</f>
        <v/>
      </c>
      <c r="J17" s="359" t="str">
        <f>IFERROR(SMALL($I$4:$I$325,ROWS($I$4:I17)),"")</f>
        <v/>
      </c>
      <c r="K17" s="333" t="b">
        <f t="shared" si="0"/>
        <v>0</v>
      </c>
      <c r="L17" s="357">
        <v>371</v>
      </c>
      <c r="M17" s="357" t="s">
        <v>1283</v>
      </c>
      <c r="N17" s="357" t="s">
        <v>1293</v>
      </c>
      <c r="O17" s="357">
        <v>21890</v>
      </c>
      <c r="P17" s="357" t="s">
        <v>1533</v>
      </c>
      <c r="Q17" s="357">
        <v>42</v>
      </c>
      <c r="R17" s="357" t="s">
        <v>1666</v>
      </c>
      <c r="S17" s="359">
        <f>ROWS($Q$4:Q17)</f>
        <v>14</v>
      </c>
      <c r="T17" s="359" t="str">
        <f>IF('School Level Expenditures'!$B$2='School Tables'!L17,'School Tables'!S17,"")</f>
        <v/>
      </c>
      <c r="U17" s="359" t="str">
        <f>IFERROR(SMALL($T$4:$T$75,ROWS($T$4:T17)),"")</f>
        <v/>
      </c>
      <c r="V17" s="333" t="b">
        <f t="shared" si="1"/>
        <v>0</v>
      </c>
      <c r="W17" s="357">
        <v>111</v>
      </c>
      <c r="X17" s="357" t="s">
        <v>969</v>
      </c>
      <c r="Y17" s="357" t="s">
        <v>975</v>
      </c>
      <c r="Z17" s="357">
        <v>20285</v>
      </c>
      <c r="AA17" s="357" t="s">
        <v>1534</v>
      </c>
      <c r="AB17" s="357">
        <v>8</v>
      </c>
      <c r="AC17" s="357" t="s">
        <v>1661</v>
      </c>
      <c r="AD17" s="359">
        <f>ROWS($AC$4:AC17)</f>
        <v>14</v>
      </c>
      <c r="AE17" s="359" t="str">
        <f>IF('School Level Expenditures'!$B$2='School Tables'!W17,'School Tables'!AD17,"")</f>
        <v/>
      </c>
      <c r="AF17" s="359" t="str">
        <f>IFERROR(SMALL(AE17:$AE$100,ROWS($AE$4:AE17)),"")</f>
        <v/>
      </c>
      <c r="AG17" s="333" t="b">
        <f t="shared" si="2"/>
        <v>0</v>
      </c>
      <c r="AH17">
        <v>51</v>
      </c>
      <c r="AI17">
        <v>51</v>
      </c>
      <c r="AJ17" t="s">
        <v>940</v>
      </c>
      <c r="AK17">
        <v>3</v>
      </c>
      <c r="AL17" t="s">
        <v>1678</v>
      </c>
    </row>
    <row r="18" spans="1:38" ht="38.25" x14ac:dyDescent="0.2">
      <c r="A18" s="357">
        <v>31</v>
      </c>
      <c r="B18" s="357" t="s">
        <v>924</v>
      </c>
      <c r="C18" s="357" t="s">
        <v>925</v>
      </c>
      <c r="D18" s="357">
        <v>22485</v>
      </c>
      <c r="E18" s="357" t="s">
        <v>61</v>
      </c>
      <c r="F18" s="357">
        <v>86</v>
      </c>
      <c r="G18" s="357" t="s">
        <v>1673</v>
      </c>
      <c r="H18" s="359">
        <f>ROWS($G$4:G18)</f>
        <v>15</v>
      </c>
      <c r="I18" s="359" t="str">
        <f>IF('School Level Expenditures'!$B$2=A18,'School Tables'!H18,"")</f>
        <v/>
      </c>
      <c r="J18" s="359" t="str">
        <f>IFERROR(SMALL($I$4:$I$325,ROWS($I$4:I18)),"")</f>
        <v/>
      </c>
      <c r="K18" s="333" t="b">
        <f t="shared" si="0"/>
        <v>0</v>
      </c>
      <c r="L18" s="357">
        <v>371</v>
      </c>
      <c r="M18" s="357" t="s">
        <v>1283</v>
      </c>
      <c r="N18" s="357" t="s">
        <v>1291</v>
      </c>
      <c r="O18" s="357">
        <v>21875</v>
      </c>
      <c r="P18" s="357" t="s">
        <v>1533</v>
      </c>
      <c r="Q18" s="357">
        <v>42</v>
      </c>
      <c r="R18" s="357" t="s">
        <v>1666</v>
      </c>
      <c r="S18" s="359">
        <f>ROWS($Q$4:Q18)</f>
        <v>15</v>
      </c>
      <c r="T18" s="359" t="str">
        <f>IF('School Level Expenditures'!$B$2='School Tables'!L18,'School Tables'!S18,"")</f>
        <v/>
      </c>
      <c r="U18" s="359" t="str">
        <f>IFERROR(SMALL($T$4:$T$75,ROWS($T$4:T18)),"")</f>
        <v/>
      </c>
      <c r="V18" s="333" t="b">
        <f t="shared" si="1"/>
        <v>0</v>
      </c>
      <c r="W18" s="357">
        <v>112</v>
      </c>
      <c r="X18" s="357" t="s">
        <v>977</v>
      </c>
      <c r="Y18" s="357" t="s">
        <v>985</v>
      </c>
      <c r="Z18" s="357">
        <v>22290</v>
      </c>
      <c r="AA18" s="357" t="s">
        <v>1534</v>
      </c>
      <c r="AB18" s="357">
        <v>1</v>
      </c>
      <c r="AC18" s="357" t="s">
        <v>1668</v>
      </c>
      <c r="AD18" s="359">
        <f>ROWS($AC$4:AC18)</f>
        <v>15</v>
      </c>
      <c r="AE18" s="359" t="str">
        <f>IF('School Level Expenditures'!$B$2='School Tables'!W18,'School Tables'!AD18,"")</f>
        <v/>
      </c>
      <c r="AF18" s="359" t="str">
        <f>IFERROR(SMALL(AE18:$AE$100,ROWS($AE$4:AE18)),"")</f>
        <v/>
      </c>
      <c r="AG18" s="333" t="b">
        <f t="shared" si="2"/>
        <v>0</v>
      </c>
      <c r="AH18">
        <v>53</v>
      </c>
      <c r="AI18">
        <v>53</v>
      </c>
      <c r="AJ18" t="s">
        <v>943</v>
      </c>
      <c r="AK18">
        <v>35</v>
      </c>
      <c r="AL18" t="s">
        <v>1680</v>
      </c>
    </row>
    <row r="19" spans="1:38" ht="38.25" x14ac:dyDescent="0.2">
      <c r="A19" s="357">
        <v>33</v>
      </c>
      <c r="B19" s="357" t="s">
        <v>926</v>
      </c>
      <c r="C19" s="357" t="s">
        <v>928</v>
      </c>
      <c r="D19" s="357">
        <v>22045</v>
      </c>
      <c r="E19" s="357" t="s">
        <v>61</v>
      </c>
      <c r="F19" s="357">
        <v>74</v>
      </c>
      <c r="G19" s="357" t="s">
        <v>1674</v>
      </c>
      <c r="H19" s="359">
        <f>ROWS($G$4:G19)</f>
        <v>16</v>
      </c>
      <c r="I19" s="359" t="str">
        <f>IF('School Level Expenditures'!$B$2=A19,'School Tables'!H19,"")</f>
        <v/>
      </c>
      <c r="J19" s="359" t="str">
        <f>IFERROR(SMALL($I$4:$I$325,ROWS($I$4:I19)),"")</f>
        <v/>
      </c>
      <c r="K19" s="333" t="b">
        <f t="shared" si="0"/>
        <v>0</v>
      </c>
      <c r="L19" s="357">
        <v>131</v>
      </c>
      <c r="M19" s="357" t="s">
        <v>1000</v>
      </c>
      <c r="N19" s="357" t="s">
        <v>1007</v>
      </c>
      <c r="O19" s="357">
        <v>20420</v>
      </c>
      <c r="P19" s="357" t="s">
        <v>1533</v>
      </c>
      <c r="Q19" s="357">
        <v>10</v>
      </c>
      <c r="R19" s="357" t="s">
        <v>1699</v>
      </c>
      <c r="S19" s="359">
        <f>ROWS($Q$4:Q19)</f>
        <v>16</v>
      </c>
      <c r="T19" s="359" t="str">
        <f>IF('School Level Expenditures'!$B$2='School Tables'!L19,'School Tables'!S19,"")</f>
        <v/>
      </c>
      <c r="U19" s="359" t="str">
        <f>IFERROR(SMALL($T$4:$T$75,ROWS($T$4:T19)),"")</f>
        <v/>
      </c>
      <c r="V19" s="333" t="b">
        <f t="shared" si="1"/>
        <v>0</v>
      </c>
      <c r="W19" s="357">
        <v>723</v>
      </c>
      <c r="X19" s="357" t="s">
        <v>1509</v>
      </c>
      <c r="Y19" s="357" t="s">
        <v>1509</v>
      </c>
      <c r="Z19" s="357">
        <v>28575</v>
      </c>
      <c r="AA19" s="357" t="s">
        <v>1534</v>
      </c>
      <c r="AB19" s="357">
        <v>410</v>
      </c>
      <c r="AC19" s="357" t="s">
        <v>1509</v>
      </c>
      <c r="AD19" s="359">
        <f>ROWS($AC$4:AC19)</f>
        <v>16</v>
      </c>
      <c r="AE19" s="359" t="str">
        <f>IF('School Level Expenditures'!$B$2='School Tables'!W19,'School Tables'!AD19,"")</f>
        <v/>
      </c>
      <c r="AF19" s="359" t="str">
        <f>IFERROR(SMALL(AE19:$AE$100,ROWS($AE$4:AE19)),"")</f>
        <v/>
      </c>
      <c r="AG19" s="333" t="b">
        <f t="shared" si="2"/>
        <v>0</v>
      </c>
      <c r="AH19">
        <v>57</v>
      </c>
      <c r="AI19">
        <v>57</v>
      </c>
      <c r="AJ19" t="s">
        <v>945</v>
      </c>
      <c r="AK19">
        <v>67</v>
      </c>
      <c r="AL19" t="s">
        <v>1682</v>
      </c>
    </row>
    <row r="20" spans="1:38" ht="38.25" x14ac:dyDescent="0.2">
      <c r="A20" s="357">
        <v>199</v>
      </c>
      <c r="B20" s="357" t="s">
        <v>1063</v>
      </c>
      <c r="C20" s="357" t="s">
        <v>1066</v>
      </c>
      <c r="D20" s="357">
        <v>20695</v>
      </c>
      <c r="E20" s="357" t="s">
        <v>61</v>
      </c>
      <c r="F20" s="357">
        <v>19</v>
      </c>
      <c r="G20" s="357" t="s">
        <v>1675</v>
      </c>
      <c r="H20" s="359">
        <f>ROWS($G$4:G20)</f>
        <v>17</v>
      </c>
      <c r="I20" s="359" t="str">
        <f>IF('School Level Expenditures'!$B$2=A20,'School Tables'!H20,"")</f>
        <v/>
      </c>
      <c r="J20" s="359" t="str">
        <f>IFERROR(SMALL($I$4:$I$325,ROWS($I$4:I20)),"")</f>
        <v/>
      </c>
      <c r="K20" s="333" t="b">
        <f t="shared" si="0"/>
        <v>0</v>
      </c>
      <c r="L20" s="357">
        <v>191</v>
      </c>
      <c r="M20" s="357" t="s">
        <v>1057</v>
      </c>
      <c r="N20" s="357" t="s">
        <v>1060</v>
      </c>
      <c r="O20" s="357">
        <v>26995</v>
      </c>
      <c r="P20" s="357" t="s">
        <v>1533</v>
      </c>
      <c r="Q20" s="357">
        <v>73</v>
      </c>
      <c r="R20" s="357" t="s">
        <v>1714</v>
      </c>
      <c r="S20" s="359">
        <f>ROWS($Q$4:Q20)</f>
        <v>17</v>
      </c>
      <c r="T20" s="359" t="str">
        <f>IF('School Level Expenditures'!$B$2='School Tables'!L20,'School Tables'!S20,"")</f>
        <v/>
      </c>
      <c r="U20" s="359" t="str">
        <f>IFERROR(SMALL($T$4:$T$75,ROWS($T$4:T20)),"")</f>
        <v/>
      </c>
      <c r="V20" s="333" t="b">
        <f t="shared" si="1"/>
        <v>0</v>
      </c>
      <c r="W20" s="357">
        <v>141</v>
      </c>
      <c r="X20" s="357" t="s">
        <v>1008</v>
      </c>
      <c r="Y20" s="357" t="s">
        <v>1012</v>
      </c>
      <c r="Z20" s="357">
        <v>20455</v>
      </c>
      <c r="AA20" s="357" t="s">
        <v>1534</v>
      </c>
      <c r="AB20" s="357">
        <v>11</v>
      </c>
      <c r="AC20" s="357" t="s">
        <v>1710</v>
      </c>
      <c r="AD20" s="359">
        <f>ROWS($AC$4:AC20)</f>
        <v>17</v>
      </c>
      <c r="AE20" s="359" t="str">
        <f>IF('School Level Expenditures'!$B$2='School Tables'!W20,'School Tables'!AD20,"")</f>
        <v/>
      </c>
      <c r="AF20" s="359" t="str">
        <f>IFERROR(SMALL(AE20:$AE$100,ROWS($AE$4:AE20)),"")</f>
        <v/>
      </c>
      <c r="AG20" s="333" t="b">
        <f t="shared" si="2"/>
        <v>0</v>
      </c>
      <c r="AH20">
        <v>63</v>
      </c>
      <c r="AI20">
        <v>63</v>
      </c>
      <c r="AJ20" t="s">
        <v>949</v>
      </c>
      <c r="AK20">
        <v>16</v>
      </c>
      <c r="AL20" t="s">
        <v>1702</v>
      </c>
    </row>
    <row r="21" spans="1:38" ht="51" x14ac:dyDescent="0.2">
      <c r="A21" s="357">
        <v>39</v>
      </c>
      <c r="B21" s="357" t="s">
        <v>932</v>
      </c>
      <c r="C21" s="357" t="s">
        <v>933</v>
      </c>
      <c r="D21" s="357">
        <v>20860</v>
      </c>
      <c r="E21" s="357" t="s">
        <v>61</v>
      </c>
      <c r="F21" s="357">
        <v>23</v>
      </c>
      <c r="G21" s="357" t="s">
        <v>1676</v>
      </c>
      <c r="H21" s="359">
        <f>ROWS($G$4:G21)</f>
        <v>18</v>
      </c>
      <c r="I21" s="359" t="str">
        <f>IF('School Level Expenditures'!$B$2=A21,'School Tables'!H21,"")</f>
        <v/>
      </c>
      <c r="J21" s="359" t="str">
        <f>IFERROR(SMALL($I$4:$I$325,ROWS($I$4:I21)),"")</f>
        <v/>
      </c>
      <c r="K21" s="333" t="b">
        <f t="shared" si="0"/>
        <v>0</v>
      </c>
      <c r="L21" s="357">
        <v>203</v>
      </c>
      <c r="M21" s="357" t="s">
        <v>1068</v>
      </c>
      <c r="N21" s="357" t="s">
        <v>1071</v>
      </c>
      <c r="O21" s="357">
        <v>27005</v>
      </c>
      <c r="P21" s="357" t="s">
        <v>1533</v>
      </c>
      <c r="Q21" s="357">
        <v>20</v>
      </c>
      <c r="R21" s="357" t="s">
        <v>1703</v>
      </c>
      <c r="S21" s="359">
        <f>ROWS($Q$4:Q21)</f>
        <v>18</v>
      </c>
      <c r="T21" s="359" t="str">
        <f>IF('School Level Expenditures'!$B$2='School Tables'!L21,'School Tables'!S21,"")</f>
        <v/>
      </c>
      <c r="U21" s="359" t="str">
        <f>IFERROR(SMALL($T$4:$T$75,ROWS($T$4:T21)),"")</f>
        <v/>
      </c>
      <c r="V21" s="333" t="b">
        <f t="shared" si="1"/>
        <v>0</v>
      </c>
      <c r="W21" s="357">
        <v>172</v>
      </c>
      <c r="X21" s="357" t="s">
        <v>1027</v>
      </c>
      <c r="Y21" s="357" t="s">
        <v>1029</v>
      </c>
      <c r="Z21" s="357">
        <v>20600</v>
      </c>
      <c r="AA21" s="357" t="s">
        <v>1534</v>
      </c>
      <c r="AB21" s="357">
        <v>16</v>
      </c>
      <c r="AC21" s="357" t="s">
        <v>1702</v>
      </c>
      <c r="AD21" s="359">
        <f>ROWS($AC$4:AC21)</f>
        <v>18</v>
      </c>
      <c r="AE21" s="359" t="str">
        <f>IF('School Level Expenditures'!$B$2='School Tables'!W21,'School Tables'!AD21,"")</f>
        <v/>
      </c>
      <c r="AF21" s="359" t="str">
        <f>IFERROR(SMALL(AE21:$AE$100,ROWS($AE$4:AE21)),"")</f>
        <v/>
      </c>
      <c r="AG21" s="333" t="b">
        <f t="shared" si="2"/>
        <v>0</v>
      </c>
      <c r="AH21">
        <v>71</v>
      </c>
      <c r="AI21">
        <v>71</v>
      </c>
      <c r="AJ21" t="s">
        <v>950</v>
      </c>
      <c r="AK21">
        <v>41</v>
      </c>
      <c r="AL21" t="s">
        <v>1686</v>
      </c>
    </row>
    <row r="22" spans="1:38" ht="38.25" x14ac:dyDescent="0.2">
      <c r="A22" s="357">
        <v>111</v>
      </c>
      <c r="B22" s="357" t="s">
        <v>969</v>
      </c>
      <c r="C22" s="357" t="s">
        <v>970</v>
      </c>
      <c r="D22" s="357">
        <v>26490</v>
      </c>
      <c r="E22" s="357" t="s">
        <v>61</v>
      </c>
      <c r="F22" s="357">
        <v>8</v>
      </c>
      <c r="G22" s="357" t="s">
        <v>1661</v>
      </c>
      <c r="H22" s="359">
        <f>ROWS($G$4:G22)</f>
        <v>19</v>
      </c>
      <c r="I22" s="359" t="str">
        <f>IF('School Level Expenditures'!$B$2=A22,'School Tables'!H22,"")</f>
        <v/>
      </c>
      <c r="J22" s="359" t="str">
        <f>IFERROR(SMALL($I$4:$I$325,ROWS($I$4:I22)),"")</f>
        <v/>
      </c>
      <c r="K22" s="333" t="b">
        <f t="shared" si="0"/>
        <v>0</v>
      </c>
      <c r="L22" s="357">
        <v>709</v>
      </c>
      <c r="M22" s="357" t="s">
        <v>1502</v>
      </c>
      <c r="N22" s="357" t="s">
        <v>1504</v>
      </c>
      <c r="O22" s="357">
        <v>28620</v>
      </c>
      <c r="P22" s="357" t="s">
        <v>1533</v>
      </c>
      <c r="Q22" s="357">
        <v>404</v>
      </c>
      <c r="R22" s="357" t="s">
        <v>1502</v>
      </c>
      <c r="S22" s="359">
        <f>ROWS($Q$4:Q22)</f>
        <v>19</v>
      </c>
      <c r="T22" s="359" t="str">
        <f>IF('School Level Expenditures'!$B$2='School Tables'!L22,'School Tables'!S22,"")</f>
        <v/>
      </c>
      <c r="U22" s="359" t="str">
        <f>IFERROR(SMALL($T$4:$T$75,ROWS($T$4:T22)),"")</f>
        <v/>
      </c>
      <c r="V22" s="333" t="b">
        <f t="shared" si="1"/>
        <v>0</v>
      </c>
      <c r="W22" s="357">
        <v>174</v>
      </c>
      <c r="X22" s="357" t="s">
        <v>1033</v>
      </c>
      <c r="Y22" s="357" t="s">
        <v>1040</v>
      </c>
      <c r="Z22" s="357">
        <v>22990</v>
      </c>
      <c r="AA22" s="357" t="s">
        <v>1534</v>
      </c>
      <c r="AB22" s="357">
        <v>60</v>
      </c>
      <c r="AC22" s="357" t="s">
        <v>1662</v>
      </c>
      <c r="AD22" s="359">
        <f>ROWS($AC$4:AC22)</f>
        <v>19</v>
      </c>
      <c r="AE22" s="359" t="str">
        <f>IF('School Level Expenditures'!$B$2='School Tables'!W22,'School Tables'!AD22,"")</f>
        <v/>
      </c>
      <c r="AF22" s="359" t="str">
        <f>IFERROR(SMALL(AE22:$AE$100,ROWS($AE$4:AE22)),"")</f>
        <v/>
      </c>
      <c r="AG22" s="333" t="b">
        <f t="shared" si="2"/>
        <v>0</v>
      </c>
      <c r="AH22">
        <v>75</v>
      </c>
      <c r="AI22">
        <v>75</v>
      </c>
      <c r="AJ22" t="s">
        <v>953</v>
      </c>
      <c r="AK22">
        <v>48</v>
      </c>
      <c r="AL22" t="s">
        <v>1684</v>
      </c>
    </row>
    <row r="23" spans="1:38" ht="38.25" x14ac:dyDescent="0.2">
      <c r="A23" s="357">
        <v>335</v>
      </c>
      <c r="B23" s="357" t="s">
        <v>906</v>
      </c>
      <c r="C23" s="357" t="s">
        <v>1222</v>
      </c>
      <c r="D23" s="357">
        <v>21600</v>
      </c>
      <c r="E23" s="357" t="s">
        <v>61</v>
      </c>
      <c r="F23" s="357">
        <v>37</v>
      </c>
      <c r="G23" s="357" t="s">
        <v>1672</v>
      </c>
      <c r="H23" s="359">
        <f>ROWS($G$4:G23)</f>
        <v>20</v>
      </c>
      <c r="I23" s="359" t="str">
        <f>IF('School Level Expenditures'!$B$2=A23,'School Tables'!H23,"")</f>
        <v/>
      </c>
      <c r="J23" s="359" t="str">
        <f>IFERROR(SMALL($I$4:$I$325,ROWS($I$4:I23)),"")</f>
        <v/>
      </c>
      <c r="K23" s="333" t="b">
        <f t="shared" si="0"/>
        <v>0</v>
      </c>
      <c r="L23" s="357">
        <v>112</v>
      </c>
      <c r="M23" s="357" t="s">
        <v>977</v>
      </c>
      <c r="N23" s="357" t="s">
        <v>978</v>
      </c>
      <c r="O23" s="357">
        <v>22210</v>
      </c>
      <c r="P23" s="357" t="s">
        <v>1533</v>
      </c>
      <c r="Q23" s="357">
        <v>1</v>
      </c>
      <c r="R23" s="357" t="s">
        <v>1668</v>
      </c>
      <c r="S23" s="359">
        <f>ROWS($Q$4:Q23)</f>
        <v>20</v>
      </c>
      <c r="T23" s="359" t="str">
        <f>IF('School Level Expenditures'!$B$2='School Tables'!L23,'School Tables'!S23,"")</f>
        <v/>
      </c>
      <c r="U23" s="359" t="str">
        <f>IFERROR(SMALL($T$4:$T$75,ROWS($T$4:T23)),"")</f>
        <v/>
      </c>
      <c r="V23" s="333" t="b">
        <f t="shared" si="1"/>
        <v>0</v>
      </c>
      <c r="W23" s="357">
        <v>175</v>
      </c>
      <c r="X23" s="357" t="s">
        <v>1045</v>
      </c>
      <c r="Y23" s="357" t="s">
        <v>1047</v>
      </c>
      <c r="Z23" s="357">
        <v>22050</v>
      </c>
      <c r="AA23" s="357" t="s">
        <v>1534</v>
      </c>
      <c r="AB23" s="357">
        <v>61</v>
      </c>
      <c r="AC23" s="357" t="s">
        <v>1724</v>
      </c>
      <c r="AD23" s="359">
        <f>ROWS($AC$4:AC23)</f>
        <v>20</v>
      </c>
      <c r="AE23" s="359" t="str">
        <f>IF('School Level Expenditures'!$B$2='School Tables'!W23,'School Tables'!AD23,"")</f>
        <v/>
      </c>
      <c r="AF23" s="359" t="str">
        <f>IFERROR(SMALL(AE23:$AE$100,ROWS($AE$4:AE23)),"")</f>
        <v/>
      </c>
      <c r="AG23" s="333" t="b">
        <f t="shared" si="2"/>
        <v>0</v>
      </c>
      <c r="AH23">
        <v>79</v>
      </c>
      <c r="AI23">
        <v>79</v>
      </c>
      <c r="AJ23" t="s">
        <v>955</v>
      </c>
      <c r="AK23">
        <v>15</v>
      </c>
      <c r="AL23" t="s">
        <v>1671</v>
      </c>
    </row>
    <row r="24" spans="1:38" ht="38.25" x14ac:dyDescent="0.2">
      <c r="A24" s="357">
        <v>486</v>
      </c>
      <c r="B24" s="357" t="s">
        <v>1410</v>
      </c>
      <c r="C24" s="357" t="s">
        <v>1412</v>
      </c>
      <c r="D24" s="357">
        <v>22135</v>
      </c>
      <c r="E24" s="357" t="s">
        <v>61</v>
      </c>
      <c r="F24" s="357">
        <v>80</v>
      </c>
      <c r="G24" s="357" t="s">
        <v>1677</v>
      </c>
      <c r="H24" s="359">
        <f>ROWS($G$4:G24)</f>
        <v>21</v>
      </c>
      <c r="I24" s="359" t="str">
        <f>IF('School Level Expenditures'!$B$2=A24,'School Tables'!H24,"")</f>
        <v/>
      </c>
      <c r="J24" s="359" t="str">
        <f>IFERROR(SMALL($I$4:$I$325,ROWS($I$4:I24)),"")</f>
        <v/>
      </c>
      <c r="K24" s="333" t="b">
        <f t="shared" si="0"/>
        <v>0</v>
      </c>
      <c r="L24" s="357">
        <v>223</v>
      </c>
      <c r="M24" s="357" t="s">
        <v>1085</v>
      </c>
      <c r="N24" s="357" t="s">
        <v>1086</v>
      </c>
      <c r="O24" s="357">
        <v>22750</v>
      </c>
      <c r="P24" s="357" t="s">
        <v>1533</v>
      </c>
      <c r="Q24" s="357">
        <v>55</v>
      </c>
      <c r="R24" s="357" t="s">
        <v>1721</v>
      </c>
      <c r="S24" s="359">
        <f>ROWS($Q$4:Q24)</f>
        <v>21</v>
      </c>
      <c r="T24" s="359" t="str">
        <f>IF('School Level Expenditures'!$B$2='School Tables'!L24,'School Tables'!S24,"")</f>
        <v/>
      </c>
      <c r="U24" s="359" t="str">
        <f>IFERROR(SMALL($T$4:$T$75,ROWS($T$4:T24)),"")</f>
        <v/>
      </c>
      <c r="V24" s="333" t="b">
        <f t="shared" si="1"/>
        <v>0</v>
      </c>
      <c r="W24" s="357">
        <v>185</v>
      </c>
      <c r="X24" s="357" t="s">
        <v>1049</v>
      </c>
      <c r="Y24" s="357" t="s">
        <v>1051</v>
      </c>
      <c r="Z24" s="357">
        <v>20660</v>
      </c>
      <c r="AA24" s="357" t="s">
        <v>1534</v>
      </c>
      <c r="AB24" s="357">
        <v>18</v>
      </c>
      <c r="AC24" s="357" t="s">
        <v>1708</v>
      </c>
      <c r="AD24" s="359">
        <f>ROWS($AC$4:AC24)</f>
        <v>21</v>
      </c>
      <c r="AE24" s="359" t="str">
        <f>IF('School Level Expenditures'!$B$2='School Tables'!W24,'School Tables'!AD24,"")</f>
        <v/>
      </c>
      <c r="AF24" s="359" t="str">
        <f>IFERROR(SMALL(AE24:$AE$100,ROWS($AE$4:AE24)),"")</f>
        <v/>
      </c>
      <c r="AG24" s="333" t="b">
        <f t="shared" si="2"/>
        <v>0</v>
      </c>
      <c r="AH24">
        <v>91</v>
      </c>
      <c r="AI24">
        <v>91</v>
      </c>
      <c r="AJ24" t="s">
        <v>1774</v>
      </c>
      <c r="AK24">
        <v>9</v>
      </c>
      <c r="AL24" t="s">
        <v>1694</v>
      </c>
    </row>
    <row r="25" spans="1:38" ht="51" x14ac:dyDescent="0.2">
      <c r="A25" s="357">
        <v>51</v>
      </c>
      <c r="B25" s="357" t="s">
        <v>940</v>
      </c>
      <c r="C25" s="357" t="s">
        <v>1597</v>
      </c>
      <c r="D25" s="357">
        <v>27035</v>
      </c>
      <c r="E25" s="357" t="s">
        <v>61</v>
      </c>
      <c r="F25" s="357">
        <v>3</v>
      </c>
      <c r="G25" s="357" t="s">
        <v>1678</v>
      </c>
      <c r="H25" s="359">
        <f>ROWS($G$4:G25)</f>
        <v>22</v>
      </c>
      <c r="I25" s="359" t="str">
        <f>IF('School Level Expenditures'!$B$2=A25,'School Tables'!H25,"")</f>
        <v/>
      </c>
      <c r="J25" s="359" t="str">
        <f>IFERROR(SMALL($I$4:$I$325,ROWS($I$4:I25)),"")</f>
        <v/>
      </c>
      <c r="K25" s="333" t="b">
        <f t="shared" si="0"/>
        <v>0</v>
      </c>
      <c r="L25" s="357">
        <v>238</v>
      </c>
      <c r="M25" s="357" t="s">
        <v>1097</v>
      </c>
      <c r="N25" s="357" t="s">
        <v>1100</v>
      </c>
      <c r="O25" s="357">
        <v>26875</v>
      </c>
      <c r="P25" s="357" t="s">
        <v>1533</v>
      </c>
      <c r="Q25" s="357">
        <v>23</v>
      </c>
      <c r="R25" s="357" t="s">
        <v>1676</v>
      </c>
      <c r="S25" s="359">
        <f>ROWS($Q$4:Q25)</f>
        <v>22</v>
      </c>
      <c r="T25" s="359" t="str">
        <f>IF('School Level Expenditures'!$B$2='School Tables'!L25,'School Tables'!S25,"")</f>
        <v/>
      </c>
      <c r="U25" s="359" t="str">
        <f>IFERROR(SMALL($T$4:$T$75,ROWS($T$4:T25)),"")</f>
        <v/>
      </c>
      <c r="V25" s="333" t="b">
        <f t="shared" si="1"/>
        <v>0</v>
      </c>
      <c r="W25" s="357">
        <v>750</v>
      </c>
      <c r="X25" s="357" t="s">
        <v>1711</v>
      </c>
      <c r="Y25" s="357" t="s">
        <v>1765</v>
      </c>
      <c r="Z25" s="357">
        <v>29239</v>
      </c>
      <c r="AA25" s="357" t="s">
        <v>1534</v>
      </c>
      <c r="AB25" s="357">
        <v>450</v>
      </c>
      <c r="AC25" s="357" t="s">
        <v>1713</v>
      </c>
      <c r="AD25" s="359">
        <f>ROWS($AC$4:AC25)</f>
        <v>22</v>
      </c>
      <c r="AE25" s="359" t="str">
        <f>IF('School Level Expenditures'!$B$2='School Tables'!W25,'School Tables'!AD25,"")</f>
        <v/>
      </c>
      <c r="AF25" s="359" t="str">
        <f>IFERROR(SMALL(AE25:$AE$100,ROWS($AE$4:AE25)),"")</f>
        <v/>
      </c>
      <c r="AG25" s="333" t="b">
        <f t="shared" si="2"/>
        <v>0</v>
      </c>
      <c r="AH25">
        <v>93</v>
      </c>
      <c r="AI25">
        <v>93</v>
      </c>
      <c r="AJ25" t="s">
        <v>957</v>
      </c>
      <c r="AK25">
        <v>82</v>
      </c>
      <c r="AL25" t="s">
        <v>1690</v>
      </c>
    </row>
    <row r="26" spans="1:38" ht="51" x14ac:dyDescent="0.2">
      <c r="A26" s="357">
        <v>233</v>
      </c>
      <c r="B26" s="357" t="s">
        <v>1093</v>
      </c>
      <c r="C26" s="357" t="s">
        <v>1094</v>
      </c>
      <c r="D26" s="357">
        <v>20830</v>
      </c>
      <c r="E26" s="357" t="s">
        <v>61</v>
      </c>
      <c r="F26" s="357">
        <v>70</v>
      </c>
      <c r="G26" s="357" t="s">
        <v>1679</v>
      </c>
      <c r="H26" s="359">
        <f>ROWS($G$4:G26)</f>
        <v>23</v>
      </c>
      <c r="I26" s="359" t="str">
        <f>IF('School Level Expenditures'!$B$2=A26,'School Tables'!H26,"")</f>
        <v/>
      </c>
      <c r="J26" s="359" t="str">
        <f>IFERROR(SMALL($I$4:$I$325,ROWS($I$4:I26)),"")</f>
        <v/>
      </c>
      <c r="K26" s="333" t="b">
        <f t="shared" si="0"/>
        <v>0</v>
      </c>
      <c r="L26" s="357">
        <v>335</v>
      </c>
      <c r="M26" s="357" t="s">
        <v>906</v>
      </c>
      <c r="N26" s="357" t="s">
        <v>1607</v>
      </c>
      <c r="O26" s="357">
        <v>27595</v>
      </c>
      <c r="P26" s="357" t="s">
        <v>1533</v>
      </c>
      <c r="Q26" s="357">
        <v>37</v>
      </c>
      <c r="R26" s="357" t="s">
        <v>1672</v>
      </c>
      <c r="S26" s="359">
        <f>ROWS($Q$4:Q26)</f>
        <v>23</v>
      </c>
      <c r="T26" s="359" t="str">
        <f>IF('School Level Expenditures'!$B$2='School Tables'!L26,'School Tables'!S26,"")</f>
        <v/>
      </c>
      <c r="U26" s="359" t="str">
        <f>IFERROR(SMALL($T$4:$T$75,ROWS($T$4:T26)),"")</f>
        <v/>
      </c>
      <c r="V26" s="333" t="b">
        <f t="shared" si="1"/>
        <v>0</v>
      </c>
      <c r="W26" s="357">
        <v>191</v>
      </c>
      <c r="X26" s="357" t="s">
        <v>1057</v>
      </c>
      <c r="Y26" s="357" t="s">
        <v>1058</v>
      </c>
      <c r="Z26" s="357">
        <v>21240</v>
      </c>
      <c r="AA26" s="357" t="s">
        <v>1534</v>
      </c>
      <c r="AB26" s="357">
        <v>73</v>
      </c>
      <c r="AC26" s="357" t="s">
        <v>1714</v>
      </c>
      <c r="AD26" s="359">
        <f>ROWS($AC$4:AC26)</f>
        <v>23</v>
      </c>
      <c r="AE26" s="359" t="str">
        <f>IF('School Level Expenditures'!$B$2='School Tables'!W26,'School Tables'!AD26,"")</f>
        <v/>
      </c>
      <c r="AF26" s="359" t="str">
        <f>IFERROR(SMALL(AE26:$AE$100,ROWS($AE$4:AE26)),"")</f>
        <v/>
      </c>
      <c r="AG26" s="333" t="b">
        <f t="shared" si="2"/>
        <v>0</v>
      </c>
      <c r="AH26">
        <v>95</v>
      </c>
      <c r="AI26">
        <v>95</v>
      </c>
      <c r="AJ26" t="s">
        <v>959</v>
      </c>
      <c r="AK26">
        <v>29</v>
      </c>
      <c r="AL26" t="s">
        <v>1691</v>
      </c>
    </row>
    <row r="27" spans="1:38" ht="51" x14ac:dyDescent="0.2">
      <c r="A27" s="357">
        <v>53</v>
      </c>
      <c r="B27" s="357" t="s">
        <v>943</v>
      </c>
      <c r="C27" s="357" t="s">
        <v>944</v>
      </c>
      <c r="D27" s="357">
        <v>21400</v>
      </c>
      <c r="E27" s="357" t="s">
        <v>61</v>
      </c>
      <c r="F27" s="357">
        <v>35</v>
      </c>
      <c r="G27" s="357" t="s">
        <v>1680</v>
      </c>
      <c r="H27" s="359">
        <f>ROWS($G$4:G27)</f>
        <v>24</v>
      </c>
      <c r="I27" s="359" t="str">
        <f>IF('School Level Expenditures'!$B$2=A27,'School Tables'!H27,"")</f>
        <v/>
      </c>
      <c r="J27" s="359" t="str">
        <f>IFERROR(SMALL($I$4:$I$325,ROWS($I$4:I27)),"")</f>
        <v/>
      </c>
      <c r="K27" s="333" t="b">
        <f t="shared" si="0"/>
        <v>0</v>
      </c>
      <c r="L27" s="357">
        <v>251</v>
      </c>
      <c r="M27" s="357" t="s">
        <v>1105</v>
      </c>
      <c r="N27" s="357" t="s">
        <v>1108</v>
      </c>
      <c r="O27" s="357">
        <v>20960</v>
      </c>
      <c r="P27" s="357" t="s">
        <v>1533</v>
      </c>
      <c r="Q27" s="357">
        <v>34</v>
      </c>
      <c r="R27" s="357" t="s">
        <v>1727</v>
      </c>
      <c r="S27" s="359">
        <f>ROWS($Q$4:Q27)</f>
        <v>24</v>
      </c>
      <c r="T27" s="359" t="str">
        <f>IF('School Level Expenditures'!$B$2='School Tables'!L27,'School Tables'!S27,"")</f>
        <v/>
      </c>
      <c r="U27" s="359" t="str">
        <f>IFERROR(SMALL($T$4:$T$75,ROWS($T$4:T27)),"")</f>
        <v/>
      </c>
      <c r="V27" s="333" t="b">
        <f t="shared" si="1"/>
        <v>0</v>
      </c>
      <c r="W27" s="357">
        <v>199</v>
      </c>
      <c r="X27" s="357" t="s">
        <v>1063</v>
      </c>
      <c r="Y27" s="357" t="s">
        <v>1067</v>
      </c>
      <c r="Z27" s="357">
        <v>20700</v>
      </c>
      <c r="AA27" s="357" t="s">
        <v>1534</v>
      </c>
      <c r="AB27" s="357">
        <v>19</v>
      </c>
      <c r="AC27" s="357" t="s">
        <v>1675</v>
      </c>
      <c r="AD27" s="359">
        <f>ROWS($AC$4:AC27)</f>
        <v>24</v>
      </c>
      <c r="AE27" s="359" t="str">
        <f>IF('School Level Expenditures'!$B$2='School Tables'!W27,'School Tables'!AD27,"")</f>
        <v/>
      </c>
      <c r="AF27" s="359" t="str">
        <f>IFERROR(SMALL(AE27:$AE$100,ROWS($AE$4:AE27)),"")</f>
        <v/>
      </c>
      <c r="AG27" s="333" t="b">
        <f t="shared" si="2"/>
        <v>0</v>
      </c>
      <c r="AH27">
        <v>99</v>
      </c>
      <c r="AI27">
        <v>99</v>
      </c>
      <c r="AJ27" t="s">
        <v>961</v>
      </c>
      <c r="AK27">
        <v>53</v>
      </c>
      <c r="AL27" t="s">
        <v>1664</v>
      </c>
    </row>
    <row r="28" spans="1:38" ht="51" x14ac:dyDescent="0.2">
      <c r="A28" s="357">
        <v>371</v>
      </c>
      <c r="B28" s="357" t="s">
        <v>1283</v>
      </c>
      <c r="C28" s="357" t="s">
        <v>1290</v>
      </c>
      <c r="D28" s="357">
        <v>21865</v>
      </c>
      <c r="E28" s="357" t="s">
        <v>61</v>
      </c>
      <c r="F28" s="357">
        <v>42</v>
      </c>
      <c r="G28" s="357" t="s">
        <v>1666</v>
      </c>
      <c r="H28" s="359">
        <f>ROWS($G$4:G28)</f>
        <v>25</v>
      </c>
      <c r="I28" s="359" t="str">
        <f>IF('School Level Expenditures'!$B$2=A28,'School Tables'!H28,"")</f>
        <v/>
      </c>
      <c r="J28" s="359" t="str">
        <f>IFERROR(SMALL($I$4:$I$325,ROWS($I$4:I28)),"")</f>
        <v/>
      </c>
      <c r="K28" s="333" t="b">
        <f t="shared" si="0"/>
        <v>0</v>
      </c>
      <c r="L28" s="357">
        <v>335</v>
      </c>
      <c r="M28" s="357" t="s">
        <v>906</v>
      </c>
      <c r="N28" s="357" t="s">
        <v>1212</v>
      </c>
      <c r="O28" s="357">
        <v>21520</v>
      </c>
      <c r="P28" s="357" t="s">
        <v>1533</v>
      </c>
      <c r="Q28" s="357">
        <v>37</v>
      </c>
      <c r="R28" s="357" t="s">
        <v>1672</v>
      </c>
      <c r="S28" s="359">
        <f>ROWS($Q$4:Q28)</f>
        <v>25</v>
      </c>
      <c r="T28" s="359" t="str">
        <f>IF('School Level Expenditures'!$B$2='School Tables'!L28,'School Tables'!S28,"")</f>
        <v/>
      </c>
      <c r="U28" s="359" t="str">
        <f>IFERROR(SMALL($T$4:$T$75,ROWS($T$4:T28)),"")</f>
        <v/>
      </c>
      <c r="V28" s="333" t="b">
        <f t="shared" si="1"/>
        <v>0</v>
      </c>
      <c r="W28" s="357">
        <v>203</v>
      </c>
      <c r="X28" s="357" t="s">
        <v>1068</v>
      </c>
      <c r="Y28" s="357" t="s">
        <v>1070</v>
      </c>
      <c r="Z28" s="357">
        <v>20750</v>
      </c>
      <c r="AA28" s="357" t="s">
        <v>1534</v>
      </c>
      <c r="AB28" s="357">
        <v>20</v>
      </c>
      <c r="AC28" s="357" t="s">
        <v>1703</v>
      </c>
      <c r="AD28" s="359">
        <f>ROWS($AC$4:AC28)</f>
        <v>25</v>
      </c>
      <c r="AE28" s="359" t="str">
        <f>IF('School Level Expenditures'!$B$2='School Tables'!W28,'School Tables'!AD28,"")</f>
        <v/>
      </c>
      <c r="AF28" s="359" t="str">
        <f>IFERROR(SMALL(AE28:$AE$100,ROWS($AE$4:AE28)),"")</f>
        <v/>
      </c>
      <c r="AG28" s="333" t="b">
        <f t="shared" si="2"/>
        <v>0</v>
      </c>
      <c r="AH28">
        <v>101</v>
      </c>
      <c r="AI28">
        <v>101</v>
      </c>
      <c r="AJ28" t="s">
        <v>963</v>
      </c>
      <c r="AK28">
        <v>6</v>
      </c>
      <c r="AL28" t="s">
        <v>1681</v>
      </c>
    </row>
    <row r="29" spans="1:38" ht="51" x14ac:dyDescent="0.2">
      <c r="A29" s="357">
        <v>371</v>
      </c>
      <c r="B29" s="357" t="s">
        <v>1283</v>
      </c>
      <c r="C29" s="357" t="s">
        <v>1294</v>
      </c>
      <c r="D29" s="357">
        <v>21895</v>
      </c>
      <c r="E29" s="357" t="s">
        <v>61</v>
      </c>
      <c r="F29" s="357">
        <v>42</v>
      </c>
      <c r="G29" s="357" t="s">
        <v>1666</v>
      </c>
      <c r="H29" s="359">
        <f>ROWS($G$4:G29)</f>
        <v>26</v>
      </c>
      <c r="I29" s="359" t="str">
        <f>IF('School Level Expenditures'!$B$2=A29,'School Tables'!H29,"")</f>
        <v/>
      </c>
      <c r="J29" s="359" t="str">
        <f>IFERROR(SMALL($I$4:$I$325,ROWS($I$4:I29)),"")</f>
        <v/>
      </c>
      <c r="K29" s="333" t="b">
        <f t="shared" si="0"/>
        <v>0</v>
      </c>
      <c r="L29" s="357">
        <v>255</v>
      </c>
      <c r="M29" s="357" t="s">
        <v>1109</v>
      </c>
      <c r="N29" s="357" t="s">
        <v>1112</v>
      </c>
      <c r="O29" s="357">
        <v>26985</v>
      </c>
      <c r="P29" s="357" t="s">
        <v>1533</v>
      </c>
      <c r="Q29" s="357">
        <v>92</v>
      </c>
      <c r="R29" s="357" t="s">
        <v>1728</v>
      </c>
      <c r="S29" s="359">
        <f>ROWS($Q$4:Q29)</f>
        <v>26</v>
      </c>
      <c r="T29" s="359" t="str">
        <f>IF('School Level Expenditures'!$B$2='School Tables'!L29,'School Tables'!S29,"")</f>
        <v/>
      </c>
      <c r="U29" s="359" t="str">
        <f>IFERROR(SMALL($T$4:$T$75,ROWS($T$4:T29)),"")</f>
        <v/>
      </c>
      <c r="V29" s="333" t="b">
        <f t="shared" si="1"/>
        <v>0</v>
      </c>
      <c r="W29" s="357">
        <v>702</v>
      </c>
      <c r="X29" s="357" t="s">
        <v>1491</v>
      </c>
      <c r="Y29" s="357" t="s">
        <v>1491</v>
      </c>
      <c r="Z29" s="357">
        <v>29153</v>
      </c>
      <c r="AA29" s="357" t="s">
        <v>1534</v>
      </c>
      <c r="AB29" s="357">
        <v>426</v>
      </c>
      <c r="AC29" s="357" t="s">
        <v>1491</v>
      </c>
      <c r="AD29" s="359">
        <f>ROWS($AC$4:AC29)</f>
        <v>26</v>
      </c>
      <c r="AE29" s="359" t="str">
        <f>IF('School Level Expenditures'!$B$2='School Tables'!W29,'School Tables'!AD29,"")</f>
        <v/>
      </c>
      <c r="AF29" s="359" t="str">
        <f>IFERROR(SMALL(AE29:$AE$100,ROWS($AE$4:AE29)),"")</f>
        <v/>
      </c>
      <c r="AG29" s="333" t="b">
        <f t="shared" si="2"/>
        <v>0</v>
      </c>
      <c r="AH29">
        <v>103</v>
      </c>
      <c r="AI29">
        <v>103</v>
      </c>
      <c r="AJ29" t="s">
        <v>1775</v>
      </c>
      <c r="AK29">
        <v>7</v>
      </c>
      <c r="AL29" t="s">
        <v>1693</v>
      </c>
    </row>
    <row r="30" spans="1:38" ht="51" x14ac:dyDescent="0.2">
      <c r="A30" s="357">
        <v>101</v>
      </c>
      <c r="B30" s="357" t="s">
        <v>963</v>
      </c>
      <c r="C30" s="357" t="s">
        <v>966</v>
      </c>
      <c r="D30" s="357">
        <v>20145</v>
      </c>
      <c r="E30" s="357" t="s">
        <v>61</v>
      </c>
      <c r="F30" s="357">
        <v>6</v>
      </c>
      <c r="G30" s="357" t="s">
        <v>1681</v>
      </c>
      <c r="H30" s="359">
        <f>ROWS($G$4:G30)</f>
        <v>27</v>
      </c>
      <c r="I30" s="359" t="str">
        <f>IF('School Level Expenditures'!$B$2=A30,'School Tables'!H30,"")</f>
        <v/>
      </c>
      <c r="J30" s="359" t="str">
        <f>IFERROR(SMALL($I$4:$I$325,ROWS($I$4:I30)),"")</f>
        <v/>
      </c>
      <c r="K30" s="333" t="b">
        <f t="shared" si="0"/>
        <v>0</v>
      </c>
      <c r="L30" s="357">
        <v>260</v>
      </c>
      <c r="M30" s="357" t="s">
        <v>1118</v>
      </c>
      <c r="N30" s="357" t="s">
        <v>1119</v>
      </c>
      <c r="O30" s="357">
        <v>21805</v>
      </c>
      <c r="P30" s="357" t="s">
        <v>1533</v>
      </c>
      <c r="Q30" s="357">
        <v>41</v>
      </c>
      <c r="R30" s="357" t="s">
        <v>1686</v>
      </c>
      <c r="S30" s="359">
        <f>ROWS($Q$4:Q30)</f>
        <v>27</v>
      </c>
      <c r="T30" s="359" t="str">
        <f>IF('School Level Expenditures'!$B$2='School Tables'!L30,'School Tables'!S30,"")</f>
        <v/>
      </c>
      <c r="U30" s="359" t="str">
        <f>IFERROR(SMALL($T$4:$T$75,ROWS($T$4:T30)),"")</f>
        <v/>
      </c>
      <c r="V30" s="333" t="b">
        <f t="shared" si="1"/>
        <v>0</v>
      </c>
      <c r="W30" s="357">
        <v>709</v>
      </c>
      <c r="X30" s="357" t="s">
        <v>1502</v>
      </c>
      <c r="Y30" s="357" t="s">
        <v>1503</v>
      </c>
      <c r="Z30" s="357">
        <v>28445</v>
      </c>
      <c r="AA30" s="357" t="s">
        <v>1534</v>
      </c>
      <c r="AB30" s="357">
        <v>404</v>
      </c>
      <c r="AC30" s="357" t="s">
        <v>1502</v>
      </c>
      <c r="AD30" s="359">
        <f>ROWS($AC$4:AC30)</f>
        <v>27</v>
      </c>
      <c r="AE30" s="359" t="str">
        <f>IF('School Level Expenditures'!$B$2='School Tables'!W30,'School Tables'!AD30,"")</f>
        <v/>
      </c>
      <c r="AF30" s="359" t="str">
        <f>IFERROR(SMALL(AE30:$AE$100,ROWS($AE$4:AE30)),"")</f>
        <v/>
      </c>
      <c r="AG30" s="333" t="b">
        <f t="shared" si="2"/>
        <v>0</v>
      </c>
      <c r="AH30" s="360">
        <v>707</v>
      </c>
      <c r="AI30" s="360">
        <v>707</v>
      </c>
      <c r="AJ30" s="360" t="s">
        <v>1498</v>
      </c>
      <c r="AK30" s="360">
        <v>405</v>
      </c>
      <c r="AL30" s="360" t="s">
        <v>1498</v>
      </c>
    </row>
    <row r="31" spans="1:38" ht="38.25" x14ac:dyDescent="0.2">
      <c r="A31" s="357">
        <v>352</v>
      </c>
      <c r="B31" s="357" t="s">
        <v>1250</v>
      </c>
      <c r="C31" s="357" t="s">
        <v>1252</v>
      </c>
      <c r="D31" s="357">
        <v>22155</v>
      </c>
      <c r="E31" s="357" t="s">
        <v>61</v>
      </c>
      <c r="F31" s="357">
        <v>46</v>
      </c>
      <c r="G31" s="357" t="s">
        <v>1667</v>
      </c>
      <c r="H31" s="359">
        <f>ROWS($G$4:G31)</f>
        <v>28</v>
      </c>
      <c r="I31" s="359" t="str">
        <f>IF('School Level Expenditures'!$B$2=A31,'School Tables'!H31,"")</f>
        <v/>
      </c>
      <c r="J31" s="359" t="str">
        <f>IFERROR(SMALL($I$4:$I$325,ROWS($I$4:I31)),"")</f>
        <v/>
      </c>
      <c r="K31" s="333" t="b">
        <f t="shared" si="0"/>
        <v>0</v>
      </c>
      <c r="L31" s="357">
        <v>263</v>
      </c>
      <c r="M31" s="357" t="s">
        <v>1125</v>
      </c>
      <c r="N31" s="357" t="s">
        <v>1126</v>
      </c>
      <c r="O31" s="357">
        <v>27000</v>
      </c>
      <c r="P31" s="357" t="s">
        <v>1533</v>
      </c>
      <c r="Q31" s="357">
        <v>66</v>
      </c>
      <c r="R31" s="357" t="s">
        <v>1723</v>
      </c>
      <c r="S31" s="359">
        <f>ROWS($Q$4:Q31)</f>
        <v>28</v>
      </c>
      <c r="T31" s="359" t="str">
        <f>IF('School Level Expenditures'!$B$2='School Tables'!L31,'School Tables'!S31,"")</f>
        <v/>
      </c>
      <c r="U31" s="359" t="str">
        <f>IFERROR(SMALL($T$4:$T$75,ROWS($T$4:T31)),"")</f>
        <v/>
      </c>
      <c r="V31" s="333" t="b">
        <f t="shared" si="1"/>
        <v>0</v>
      </c>
      <c r="W31" s="357">
        <v>407</v>
      </c>
      <c r="X31" s="357" t="s">
        <v>1327</v>
      </c>
      <c r="Y31" s="357" t="s">
        <v>1328</v>
      </c>
      <c r="Z31" s="357">
        <v>22900</v>
      </c>
      <c r="AA31" s="357" t="s">
        <v>1534</v>
      </c>
      <c r="AB31" s="357">
        <v>58</v>
      </c>
      <c r="AC31" s="357" t="s">
        <v>1720</v>
      </c>
      <c r="AD31" s="359">
        <f>ROWS($AC$4:AC31)</f>
        <v>28</v>
      </c>
      <c r="AE31" s="359" t="str">
        <f>IF('School Level Expenditures'!$B$2='School Tables'!W31,'School Tables'!AD31,"")</f>
        <v/>
      </c>
      <c r="AF31" s="359" t="str">
        <f>IFERROR(SMALL(AE31:$AE$100,ROWS($AE$4:AE31)),"")</f>
        <v/>
      </c>
      <c r="AG31" s="333" t="b">
        <f t="shared" ref="AG31:AG67" si="3">Y32=Y33</f>
        <v>0</v>
      </c>
      <c r="AH31">
        <v>105</v>
      </c>
      <c r="AI31">
        <v>105</v>
      </c>
      <c r="AJ31" t="s">
        <v>968</v>
      </c>
      <c r="AK31">
        <v>7</v>
      </c>
      <c r="AL31" t="s">
        <v>1693</v>
      </c>
    </row>
    <row r="32" spans="1:38" ht="38.25" x14ac:dyDescent="0.2">
      <c r="A32" s="357">
        <v>57</v>
      </c>
      <c r="B32" s="357" t="s">
        <v>945</v>
      </c>
      <c r="C32" s="357" t="s">
        <v>947</v>
      </c>
      <c r="D32" s="357">
        <v>20680</v>
      </c>
      <c r="E32" s="357" t="s">
        <v>61</v>
      </c>
      <c r="F32" s="357">
        <v>67</v>
      </c>
      <c r="G32" s="357" t="s">
        <v>1682</v>
      </c>
      <c r="H32" s="359">
        <f>ROWS($G$4:G32)</f>
        <v>29</v>
      </c>
      <c r="I32" s="359" t="str">
        <f>IF('School Level Expenditures'!$B$2=A32,'School Tables'!H32,"")</f>
        <v/>
      </c>
      <c r="J32" s="359" t="str">
        <f>IFERROR(SMALL($I$4:$I$325,ROWS($I$4:I32)),"")</f>
        <v/>
      </c>
      <c r="K32" s="333" t="b">
        <f t="shared" si="0"/>
        <v>0</v>
      </c>
      <c r="L32" s="357">
        <v>267</v>
      </c>
      <c r="M32" s="357" t="s">
        <v>1130</v>
      </c>
      <c r="N32" s="357" t="s">
        <v>1133</v>
      </c>
      <c r="O32" s="357">
        <v>21060</v>
      </c>
      <c r="P32" s="357" t="s">
        <v>1533</v>
      </c>
      <c r="Q32" s="357">
        <v>81</v>
      </c>
      <c r="R32" s="357" t="s">
        <v>1700</v>
      </c>
      <c r="S32" s="359">
        <f>ROWS($Q$4:Q32)</f>
        <v>29</v>
      </c>
      <c r="T32" s="359" t="str">
        <f>IF('School Level Expenditures'!$B$2='School Tables'!L32,'School Tables'!S32,"")</f>
        <v/>
      </c>
      <c r="U32" s="359" t="str">
        <f>IFERROR(SMALL($T$4:$T$75,ROWS($T$4:T32)),"")</f>
        <v/>
      </c>
      <c r="V32" s="333" t="b">
        <f t="shared" si="1"/>
        <v>0</v>
      </c>
      <c r="W32" s="357">
        <v>142</v>
      </c>
      <c r="X32" s="357" t="s">
        <v>1014</v>
      </c>
      <c r="Y32" s="357" t="s">
        <v>1015</v>
      </c>
      <c r="Z32" s="357">
        <v>20820</v>
      </c>
      <c r="AA32" s="357" t="s">
        <v>1534</v>
      </c>
      <c r="AB32" s="357">
        <v>70</v>
      </c>
      <c r="AC32" s="357" t="s">
        <v>1679</v>
      </c>
      <c r="AD32" s="359">
        <f>ROWS($AC$4:AC32)</f>
        <v>29</v>
      </c>
      <c r="AE32" s="359" t="str">
        <f>IF('School Level Expenditures'!$B$2='School Tables'!W32,'School Tables'!AD32,"")</f>
        <v/>
      </c>
      <c r="AF32" s="359" t="str">
        <f>IFERROR(SMALL(AE32:$AE$100,ROWS($AE$4:AE32)),"")</f>
        <v/>
      </c>
      <c r="AG32" s="333" t="b">
        <f t="shared" si="3"/>
        <v>0</v>
      </c>
      <c r="AH32">
        <v>107</v>
      </c>
      <c r="AI32">
        <v>107</v>
      </c>
      <c r="AJ32" t="s">
        <v>1776</v>
      </c>
      <c r="AK32">
        <v>7</v>
      </c>
      <c r="AL32" t="s">
        <v>1693</v>
      </c>
    </row>
    <row r="33" spans="1:38" ht="63.75" x14ac:dyDescent="0.2">
      <c r="A33" s="357">
        <v>388</v>
      </c>
      <c r="B33" s="357" t="s">
        <v>1537</v>
      </c>
      <c r="C33" s="357" t="s">
        <v>1309</v>
      </c>
      <c r="D33" s="357">
        <v>27685</v>
      </c>
      <c r="E33" s="357" t="s">
        <v>61</v>
      </c>
      <c r="F33" s="357">
        <v>4</v>
      </c>
      <c r="G33" s="357" t="s">
        <v>1683</v>
      </c>
      <c r="H33" s="359">
        <f>ROWS($G$4:G33)</f>
        <v>30</v>
      </c>
      <c r="I33" s="359" t="str">
        <f>IF('School Level Expenditures'!$B$2=A33,'School Tables'!H33,"")</f>
        <v/>
      </c>
      <c r="J33" s="359" t="str">
        <f>IFERROR(SMALL($I$4:$I$325,ROWS($I$4:I33)),"")</f>
        <v/>
      </c>
      <c r="K33" s="333" t="b">
        <f t="shared" si="0"/>
        <v>0</v>
      </c>
      <c r="L33" s="357">
        <v>453</v>
      </c>
      <c r="M33" s="357" t="s">
        <v>1372</v>
      </c>
      <c r="N33" s="357" t="s">
        <v>1375</v>
      </c>
      <c r="O33" s="357">
        <v>26525</v>
      </c>
      <c r="P33" s="357" t="s">
        <v>1533</v>
      </c>
      <c r="Q33" s="357">
        <v>33</v>
      </c>
      <c r="R33" s="357" t="s">
        <v>1734</v>
      </c>
      <c r="S33" s="359">
        <f>ROWS($Q$4:Q33)</f>
        <v>30</v>
      </c>
      <c r="T33" s="359" t="str">
        <f>IF('School Level Expenditures'!$B$2='School Tables'!L33,'School Tables'!S33,"")</f>
        <v/>
      </c>
      <c r="U33" s="359" t="str">
        <f>IFERROR(SMALL($T$4:$T$75,ROWS($T$4:T33)),"")</f>
        <v/>
      </c>
      <c r="V33" s="333" t="b">
        <f t="shared" si="1"/>
        <v>0</v>
      </c>
      <c r="W33" s="357">
        <v>251</v>
      </c>
      <c r="X33" s="357" t="s">
        <v>1105</v>
      </c>
      <c r="Y33" s="357" t="s">
        <v>1106</v>
      </c>
      <c r="Z33" s="357">
        <v>20950</v>
      </c>
      <c r="AA33" s="357" t="s">
        <v>1534</v>
      </c>
      <c r="AB33" s="357">
        <v>34</v>
      </c>
      <c r="AC33" s="357" t="s">
        <v>1727</v>
      </c>
      <c r="AD33" s="359">
        <f>ROWS($AC$4:AC33)</f>
        <v>30</v>
      </c>
      <c r="AE33" s="359" t="str">
        <f>IF('School Level Expenditures'!$B$2='School Tables'!W33,'School Tables'!AD33,"")</f>
        <v/>
      </c>
      <c r="AF33" s="359" t="str">
        <f>IFERROR(SMALL(AE33:$AE$100,ROWS($AE$4:AE33)),"")</f>
        <v/>
      </c>
      <c r="AG33" s="333" t="b">
        <f t="shared" si="3"/>
        <v>0</v>
      </c>
      <c r="AH33" s="360">
        <v>743</v>
      </c>
      <c r="AI33" s="360">
        <v>743</v>
      </c>
      <c r="AJ33" s="360" t="s">
        <v>1529</v>
      </c>
      <c r="AK33" s="360">
        <v>429</v>
      </c>
      <c r="AL33" s="360" t="s">
        <v>1529</v>
      </c>
    </row>
    <row r="34" spans="1:38" ht="51" x14ac:dyDescent="0.2">
      <c r="A34" s="357">
        <v>388</v>
      </c>
      <c r="B34" s="357" t="s">
        <v>1537</v>
      </c>
      <c r="C34" s="357" t="s">
        <v>1312</v>
      </c>
      <c r="D34" s="357">
        <v>20090</v>
      </c>
      <c r="E34" s="357" t="s">
        <v>61</v>
      </c>
      <c r="F34" s="357">
        <v>4</v>
      </c>
      <c r="G34" s="357" t="s">
        <v>1683</v>
      </c>
      <c r="H34" s="359">
        <f>ROWS($G$4:G34)</f>
        <v>31</v>
      </c>
      <c r="I34" s="359" t="str">
        <f>IF('School Level Expenditures'!$B$2=A34,'School Tables'!H34,"")</f>
        <v/>
      </c>
      <c r="J34" s="359" t="str">
        <f>IFERROR(SMALL($I$4:$I$325,ROWS($I$4:I34)),"")</f>
        <v/>
      </c>
      <c r="K34" s="333" t="b">
        <f t="shared" si="0"/>
        <v>0</v>
      </c>
      <c r="L34" s="357">
        <v>274</v>
      </c>
      <c r="M34" s="357" t="s">
        <v>1143</v>
      </c>
      <c r="N34" s="357" t="s">
        <v>1147</v>
      </c>
      <c r="O34" s="357">
        <v>22280</v>
      </c>
      <c r="P34" s="357" t="s">
        <v>1533</v>
      </c>
      <c r="Q34" s="357">
        <v>47</v>
      </c>
      <c r="R34" s="357" t="s">
        <v>1730</v>
      </c>
      <c r="S34" s="359">
        <f>ROWS($Q$4:Q34)</f>
        <v>31</v>
      </c>
      <c r="T34" s="359" t="str">
        <f>IF('School Level Expenditures'!$B$2='School Tables'!L34,'School Tables'!S34,"")</f>
        <v/>
      </c>
      <c r="U34" s="359" t="str">
        <f>IFERROR(SMALL($T$4:$T$75,ROWS($T$4:T34)),"")</f>
        <v/>
      </c>
      <c r="V34" s="333" t="b">
        <f t="shared" si="1"/>
        <v>0</v>
      </c>
      <c r="W34" s="357">
        <v>255</v>
      </c>
      <c r="X34" s="357" t="s">
        <v>1109</v>
      </c>
      <c r="Y34" s="357" t="s">
        <v>1110</v>
      </c>
      <c r="Z34" s="357">
        <v>21675</v>
      </c>
      <c r="AA34" s="357" t="s">
        <v>1534</v>
      </c>
      <c r="AB34" s="357">
        <v>92</v>
      </c>
      <c r="AC34" s="357" t="s">
        <v>1728</v>
      </c>
      <c r="AD34" s="359">
        <f>ROWS($AC$4:AC34)</f>
        <v>31</v>
      </c>
      <c r="AE34" s="359" t="str">
        <f>IF('School Level Expenditures'!$B$2='School Tables'!W34,'School Tables'!AD34,"")</f>
        <v/>
      </c>
      <c r="AF34" s="359" t="str">
        <f>IFERROR(SMALL(AE34:$AE$100,ROWS($AE$4:AE34)),"")</f>
        <v/>
      </c>
      <c r="AG34" s="333" t="b">
        <f t="shared" si="3"/>
        <v>0</v>
      </c>
      <c r="AH34">
        <v>111</v>
      </c>
      <c r="AI34">
        <v>111</v>
      </c>
      <c r="AJ34" t="s">
        <v>969</v>
      </c>
      <c r="AK34">
        <v>8</v>
      </c>
      <c r="AL34" t="s">
        <v>1661</v>
      </c>
    </row>
    <row r="35" spans="1:38" ht="51" x14ac:dyDescent="0.2">
      <c r="A35" s="357">
        <v>371</v>
      </c>
      <c r="B35" s="357" t="s">
        <v>1283</v>
      </c>
      <c r="C35" s="357" t="s">
        <v>1296</v>
      </c>
      <c r="D35" s="357">
        <v>21925</v>
      </c>
      <c r="E35" s="357" t="s">
        <v>61</v>
      </c>
      <c r="F35" s="357">
        <v>42</v>
      </c>
      <c r="G35" s="357" t="s">
        <v>1666</v>
      </c>
      <c r="H35" s="359">
        <f>ROWS($G$4:G35)</f>
        <v>32</v>
      </c>
      <c r="I35" s="359" t="str">
        <f>IF('School Level Expenditures'!$B$2=A35,'School Tables'!H35,"")</f>
        <v/>
      </c>
      <c r="J35" s="359" t="str">
        <f>IFERROR(SMALL($I$4:$I$325,ROWS($I$4:I35)),"")</f>
        <v/>
      </c>
      <c r="K35" s="333" t="b">
        <f t="shared" si="0"/>
        <v>0</v>
      </c>
      <c r="L35" s="357">
        <v>276</v>
      </c>
      <c r="M35" s="357" t="s">
        <v>1150</v>
      </c>
      <c r="N35" s="357" t="s">
        <v>1156</v>
      </c>
      <c r="O35" s="357">
        <v>26535</v>
      </c>
      <c r="P35" s="357" t="s">
        <v>1533</v>
      </c>
      <c r="Q35" s="357">
        <v>65</v>
      </c>
      <c r="R35" s="357" t="s">
        <v>1731</v>
      </c>
      <c r="S35" s="359">
        <f>ROWS($Q$4:Q35)</f>
        <v>32</v>
      </c>
      <c r="T35" s="359" t="str">
        <f>IF('School Level Expenditures'!$B$2='School Tables'!L35,'School Tables'!S35,"")</f>
        <v/>
      </c>
      <c r="U35" s="359" t="str">
        <f>IFERROR(SMALL($T$4:$T$75,ROWS($T$4:T35)),"")</f>
        <v/>
      </c>
      <c r="V35" s="333" t="b">
        <f t="shared" si="1"/>
        <v>0</v>
      </c>
      <c r="W35" s="357">
        <v>260</v>
      </c>
      <c r="X35" s="357" t="s">
        <v>1118</v>
      </c>
      <c r="Y35" s="357" t="s">
        <v>1120</v>
      </c>
      <c r="Z35" s="357">
        <v>21810</v>
      </c>
      <c r="AA35" s="357" t="s">
        <v>1534</v>
      </c>
      <c r="AB35" s="357">
        <v>41</v>
      </c>
      <c r="AC35" s="357" t="s">
        <v>1686</v>
      </c>
      <c r="AD35" s="359">
        <f>ROWS($AC$4:AC35)</f>
        <v>32</v>
      </c>
      <c r="AE35" s="359" t="str">
        <f>IF('School Level Expenditures'!$B$2='School Tables'!W35,'School Tables'!AD35,"")</f>
        <v/>
      </c>
      <c r="AF35" s="359" t="str">
        <f>IFERROR(SMALL(AE35:$AE$100,ROWS($AE$4:AE35)),"")</f>
        <v/>
      </c>
      <c r="AG35" s="333" t="b">
        <f t="shared" si="3"/>
        <v>0</v>
      </c>
      <c r="AH35">
        <v>112</v>
      </c>
      <c r="AI35">
        <v>0</v>
      </c>
      <c r="AJ35" t="s">
        <v>977</v>
      </c>
      <c r="AK35">
        <v>1</v>
      </c>
      <c r="AL35" t="s">
        <v>1668</v>
      </c>
    </row>
    <row r="36" spans="1:38" ht="38.25" x14ac:dyDescent="0.2">
      <c r="A36" s="357">
        <v>111</v>
      </c>
      <c r="B36" s="357" t="s">
        <v>969</v>
      </c>
      <c r="C36" s="357" t="s">
        <v>973</v>
      </c>
      <c r="D36" s="357">
        <v>20260</v>
      </c>
      <c r="E36" s="357" t="s">
        <v>61</v>
      </c>
      <c r="F36" s="357">
        <v>8</v>
      </c>
      <c r="G36" s="357" t="s">
        <v>1661</v>
      </c>
      <c r="H36" s="359">
        <f>ROWS($G$4:G36)</f>
        <v>33</v>
      </c>
      <c r="I36" s="359" t="str">
        <f>IF('School Level Expenditures'!$B$2=A36,'School Tables'!H36,"")</f>
        <v/>
      </c>
      <c r="J36" s="359" t="str">
        <f>IFERROR(SMALL($I$4:$I$325,ROWS($I$4:I36)),"")</f>
        <v/>
      </c>
      <c r="K36" s="333" t="b">
        <f t="shared" si="0"/>
        <v>0</v>
      </c>
      <c r="L36" s="357">
        <v>279</v>
      </c>
      <c r="M36" s="357" t="s">
        <v>1157</v>
      </c>
      <c r="N36" s="357" t="s">
        <v>1160</v>
      </c>
      <c r="O36" s="357">
        <v>21185</v>
      </c>
      <c r="P36" s="357" t="s">
        <v>1533</v>
      </c>
      <c r="Q36" s="357">
        <v>29</v>
      </c>
      <c r="R36" s="357" t="s">
        <v>1691</v>
      </c>
      <c r="S36" s="359">
        <f>ROWS($Q$4:Q36)</f>
        <v>33</v>
      </c>
      <c r="T36" s="359" t="str">
        <f>IF('School Level Expenditures'!$B$2='School Tables'!L36,'School Tables'!S36,"")</f>
        <v/>
      </c>
      <c r="U36" s="359" t="str">
        <f>IFERROR(SMALL($T$4:$T$75,ROWS($T$4:T36)),"")</f>
        <v/>
      </c>
      <c r="V36" s="333" t="b">
        <f t="shared" si="1"/>
        <v>0</v>
      </c>
      <c r="W36" s="357">
        <v>263</v>
      </c>
      <c r="X36" s="357" t="s">
        <v>1125</v>
      </c>
      <c r="Y36" s="357" t="s">
        <v>1128</v>
      </c>
      <c r="Z36" s="357">
        <v>20970</v>
      </c>
      <c r="AA36" s="357" t="s">
        <v>1534</v>
      </c>
      <c r="AB36" s="357">
        <v>66</v>
      </c>
      <c r="AC36" s="357" t="s">
        <v>1723</v>
      </c>
      <c r="AD36" s="359">
        <f>ROWS($AC$4:AC36)</f>
        <v>33</v>
      </c>
      <c r="AE36" s="359" t="str">
        <f>IF('School Level Expenditures'!$B$2='School Tables'!W36,'School Tables'!AD36,"")</f>
        <v/>
      </c>
      <c r="AF36" s="359" t="str">
        <f>IFERROR(SMALL(AE36:$AE$100,ROWS($AE$4:AE36)),"")</f>
        <v/>
      </c>
      <c r="AG36" s="333" t="b">
        <f t="shared" si="3"/>
        <v>0</v>
      </c>
      <c r="AH36">
        <v>113</v>
      </c>
      <c r="AI36">
        <v>113</v>
      </c>
      <c r="AJ36" t="s">
        <v>989</v>
      </c>
      <c r="AK36">
        <v>9</v>
      </c>
      <c r="AL36" t="s">
        <v>1694</v>
      </c>
    </row>
    <row r="37" spans="1:38" ht="51" x14ac:dyDescent="0.2">
      <c r="A37" s="357">
        <v>75</v>
      </c>
      <c r="B37" s="357" t="s">
        <v>953</v>
      </c>
      <c r="C37" s="357" t="s">
        <v>954</v>
      </c>
      <c r="D37" s="357">
        <v>22335</v>
      </c>
      <c r="E37" s="357" t="s">
        <v>61</v>
      </c>
      <c r="F37" s="357">
        <v>48</v>
      </c>
      <c r="G37" s="357" t="s">
        <v>1684</v>
      </c>
      <c r="H37" s="359">
        <f>ROWS($G$4:G37)</f>
        <v>34</v>
      </c>
      <c r="I37" s="359" t="str">
        <f>IF('School Level Expenditures'!$B$2=A37,'School Tables'!H37,"")</f>
        <v/>
      </c>
      <c r="J37" s="359" t="str">
        <f>IFERROR(SMALL($I$4:$I$325,ROWS($I$4:I37)),"")</f>
        <v/>
      </c>
      <c r="K37" s="333" t="b">
        <f t="shared" si="0"/>
        <v>0</v>
      </c>
      <c r="L37" s="357">
        <v>208</v>
      </c>
      <c r="M37" s="357" t="s">
        <v>1072</v>
      </c>
      <c r="N37" s="357" t="s">
        <v>1079</v>
      </c>
      <c r="O37" s="357">
        <v>22440</v>
      </c>
      <c r="P37" s="357" t="s">
        <v>1533</v>
      </c>
      <c r="Q37" s="357">
        <v>49</v>
      </c>
      <c r="R37" s="357" t="s">
        <v>1687</v>
      </c>
      <c r="S37" s="359">
        <f>ROWS($Q$4:Q37)</f>
        <v>34</v>
      </c>
      <c r="T37" s="359" t="str">
        <f>IF('School Level Expenditures'!$B$2='School Tables'!L37,'School Tables'!S37,"")</f>
        <v/>
      </c>
      <c r="U37" s="359" t="str">
        <f>IFERROR(SMALL($T$4:$T$75,ROWS($T$4:T37)),"")</f>
        <v/>
      </c>
      <c r="V37" s="333" t="b">
        <f t="shared" si="1"/>
        <v>0</v>
      </c>
      <c r="W37" s="357">
        <v>269</v>
      </c>
      <c r="X37" s="357" t="s">
        <v>1136</v>
      </c>
      <c r="Y37" s="357" t="s">
        <v>1139</v>
      </c>
      <c r="Z37" s="357">
        <v>20035</v>
      </c>
      <c r="AA37" s="357" t="s">
        <v>1534</v>
      </c>
      <c r="AB37" s="357">
        <v>2</v>
      </c>
      <c r="AC37" s="357" t="s">
        <v>1669</v>
      </c>
      <c r="AD37" s="359">
        <f>ROWS($AC$4:AC37)</f>
        <v>34</v>
      </c>
      <c r="AE37" s="359" t="str">
        <f>IF('School Level Expenditures'!$B$2='School Tables'!W37,'School Tables'!AD37,"")</f>
        <v/>
      </c>
      <c r="AF37" s="359" t="str">
        <f>IFERROR(SMALL(AE37:$AE$100,ROWS($AE$4:AE37)),"")</f>
        <v/>
      </c>
      <c r="AG37" s="333" t="b">
        <f t="shared" si="3"/>
        <v>0</v>
      </c>
      <c r="AH37">
        <v>114</v>
      </c>
      <c r="AI37">
        <v>0</v>
      </c>
      <c r="AJ37" t="s">
        <v>1777</v>
      </c>
      <c r="AK37">
        <v>98</v>
      </c>
      <c r="AL37" t="s">
        <v>1778</v>
      </c>
    </row>
    <row r="38" spans="1:38" ht="63.75" x14ac:dyDescent="0.2">
      <c r="A38" s="357">
        <v>343</v>
      </c>
      <c r="B38" s="357" t="s">
        <v>1236</v>
      </c>
      <c r="C38" s="357" t="s">
        <v>1238</v>
      </c>
      <c r="D38" s="357">
        <v>21315</v>
      </c>
      <c r="E38" s="357" t="s">
        <v>61</v>
      </c>
      <c r="F38" s="357">
        <v>62</v>
      </c>
      <c r="G38" s="357" t="s">
        <v>1685</v>
      </c>
      <c r="H38" s="359">
        <f>ROWS($G$4:G38)</f>
        <v>35</v>
      </c>
      <c r="I38" s="359" t="str">
        <f>IF('School Level Expenditures'!$B$2=A38,'School Tables'!H38,"")</f>
        <v/>
      </c>
      <c r="J38" s="359" t="str">
        <f>IFERROR(SMALL($I$4:$I$325,ROWS($I$4:I38)),"")</f>
        <v/>
      </c>
      <c r="K38" s="333" t="b">
        <f t="shared" si="0"/>
        <v>0</v>
      </c>
      <c r="L38" s="357">
        <v>708</v>
      </c>
      <c r="M38" s="357" t="s">
        <v>1499</v>
      </c>
      <c r="N38" s="357" t="s">
        <v>1500</v>
      </c>
      <c r="O38" s="357">
        <v>29191</v>
      </c>
      <c r="P38" s="357" t="s">
        <v>1533</v>
      </c>
      <c r="Q38" s="357">
        <v>432</v>
      </c>
      <c r="R38" s="357" t="s">
        <v>1499</v>
      </c>
      <c r="S38" s="359">
        <f>ROWS($Q$4:Q38)</f>
        <v>35</v>
      </c>
      <c r="T38" s="359" t="str">
        <f>IF('School Level Expenditures'!$B$2='School Tables'!L38,'School Tables'!S38,"")</f>
        <v/>
      </c>
      <c r="U38" s="359" t="str">
        <f>IFERROR(SMALL($T$4:$T$75,ROWS($T$4:T38)),"")</f>
        <v/>
      </c>
      <c r="V38" s="333" t="b">
        <f t="shared" si="1"/>
        <v>0</v>
      </c>
      <c r="W38" s="357">
        <v>275</v>
      </c>
      <c r="X38" s="357" t="s">
        <v>1148</v>
      </c>
      <c r="Y38" s="357" t="s">
        <v>1149</v>
      </c>
      <c r="Z38" s="357">
        <v>26380</v>
      </c>
      <c r="AA38" s="357" t="s">
        <v>1534</v>
      </c>
      <c r="AB38" s="357">
        <v>24</v>
      </c>
      <c r="AC38" s="357" t="s">
        <v>1688</v>
      </c>
      <c r="AD38" s="359">
        <f>ROWS($AC$4:AC38)</f>
        <v>35</v>
      </c>
      <c r="AE38" s="359" t="str">
        <f>IF('School Level Expenditures'!$B$2='School Tables'!W38,'School Tables'!AD38,"")</f>
        <v/>
      </c>
      <c r="AF38" s="359" t="str">
        <f>IFERROR(SMALL(AE38:$AE$100,ROWS($AE$4:AE38)),"")</f>
        <v/>
      </c>
      <c r="AG38" s="333" t="b">
        <f t="shared" si="3"/>
        <v>0</v>
      </c>
      <c r="AH38">
        <v>115</v>
      </c>
      <c r="AI38">
        <v>115</v>
      </c>
      <c r="AJ38" t="s">
        <v>994</v>
      </c>
      <c r="AK38">
        <v>100</v>
      </c>
      <c r="AL38" t="s">
        <v>1695</v>
      </c>
    </row>
    <row r="39" spans="1:38" ht="38.25" x14ac:dyDescent="0.2">
      <c r="A39" s="357">
        <v>486</v>
      </c>
      <c r="B39" s="357" t="s">
        <v>1410</v>
      </c>
      <c r="C39" s="357" t="s">
        <v>1411</v>
      </c>
      <c r="D39" s="357">
        <v>22165</v>
      </c>
      <c r="E39" s="357" t="s">
        <v>61</v>
      </c>
      <c r="F39" s="357">
        <v>80</v>
      </c>
      <c r="G39" s="357" t="s">
        <v>1677</v>
      </c>
      <c r="H39" s="359">
        <f>ROWS($G$4:G39)</f>
        <v>36</v>
      </c>
      <c r="I39" s="359" t="str">
        <f>IF('School Level Expenditures'!$B$2=A39,'School Tables'!H39,"")</f>
        <v/>
      </c>
      <c r="J39" s="359" t="str">
        <f>IFERROR(SMALL($I$4:$I$325,ROWS($I$4:I39)),"")</f>
        <v/>
      </c>
      <c r="K39" s="333" t="b">
        <f t="shared" si="0"/>
        <v>0</v>
      </c>
      <c r="L39" s="357">
        <v>285</v>
      </c>
      <c r="M39" s="357" t="s">
        <v>1166</v>
      </c>
      <c r="N39" s="357" t="s">
        <v>1169</v>
      </c>
      <c r="O39" s="357">
        <v>21275</v>
      </c>
      <c r="P39" s="357" t="s">
        <v>1533</v>
      </c>
      <c r="Q39" s="357">
        <v>30</v>
      </c>
      <c r="R39" s="357" t="s">
        <v>1705</v>
      </c>
      <c r="S39" s="359">
        <f>ROWS($Q$4:Q39)</f>
        <v>36</v>
      </c>
      <c r="T39" s="359" t="str">
        <f>IF('School Level Expenditures'!$B$2='School Tables'!L39,'School Tables'!S39,"")</f>
        <v/>
      </c>
      <c r="U39" s="359" t="str">
        <f>IFERROR(SMALL($T$4:$T$75,ROWS($T$4:T39)),"")</f>
        <v/>
      </c>
      <c r="V39" s="333" t="b">
        <f t="shared" si="1"/>
        <v>0</v>
      </c>
      <c r="W39" s="357">
        <v>276</v>
      </c>
      <c r="X39" s="357" t="s">
        <v>1150</v>
      </c>
      <c r="Y39" s="357" t="s">
        <v>1152</v>
      </c>
      <c r="Z39" s="357">
        <v>22015</v>
      </c>
      <c r="AA39" s="357" t="s">
        <v>1534</v>
      </c>
      <c r="AB39" s="357">
        <v>65</v>
      </c>
      <c r="AC39" s="357" t="s">
        <v>1731</v>
      </c>
      <c r="AD39" s="359">
        <f>ROWS($AC$4:AC39)</f>
        <v>36</v>
      </c>
      <c r="AE39" s="359" t="str">
        <f>IF('School Level Expenditures'!$B$2='School Tables'!W39,'School Tables'!AD39,"")</f>
        <v/>
      </c>
      <c r="AF39" s="359" t="str">
        <f>IFERROR(SMALL(AE39:$AE$100,ROWS($AE$4:AE39)),"")</f>
        <v/>
      </c>
      <c r="AG39" s="333" t="b">
        <f t="shared" si="3"/>
        <v>0</v>
      </c>
      <c r="AH39">
        <v>117</v>
      </c>
      <c r="AI39">
        <v>117</v>
      </c>
      <c r="AJ39" t="s">
        <v>996</v>
      </c>
      <c r="AK39">
        <v>99</v>
      </c>
      <c r="AL39" t="s">
        <v>1696</v>
      </c>
    </row>
    <row r="40" spans="1:38" ht="38.25" x14ac:dyDescent="0.2">
      <c r="A40" s="357">
        <v>71</v>
      </c>
      <c r="B40" s="357" t="s">
        <v>950</v>
      </c>
      <c r="C40" s="357" t="s">
        <v>951</v>
      </c>
      <c r="D40" s="357">
        <v>27765</v>
      </c>
      <c r="E40" s="357" t="s">
        <v>61</v>
      </c>
      <c r="F40" s="357">
        <v>41</v>
      </c>
      <c r="G40" s="357" t="s">
        <v>1686</v>
      </c>
      <c r="H40" s="359">
        <f>ROWS($G$4:G40)</f>
        <v>37</v>
      </c>
      <c r="I40" s="359" t="str">
        <f>IF('School Level Expenditures'!$B$2=A40,'School Tables'!H40,"")</f>
        <v/>
      </c>
      <c r="J40" s="359" t="str">
        <f>IFERROR(SMALL($I$4:$I$325,ROWS($I$4:I40)),"")</f>
        <v/>
      </c>
      <c r="K40" s="333" t="b">
        <f t="shared" si="0"/>
        <v>0</v>
      </c>
      <c r="L40" s="357">
        <v>295</v>
      </c>
      <c r="M40" s="357" t="s">
        <v>1176</v>
      </c>
      <c r="N40" s="357" t="s">
        <v>1180</v>
      </c>
      <c r="O40" s="357">
        <v>21370</v>
      </c>
      <c r="P40" s="357" t="s">
        <v>1533</v>
      </c>
      <c r="Q40" s="357">
        <v>88</v>
      </c>
      <c r="R40" s="357" t="s">
        <v>1722</v>
      </c>
      <c r="S40" s="359">
        <f>ROWS($Q$4:Q40)</f>
        <v>37</v>
      </c>
      <c r="T40" s="359" t="str">
        <f>IF('School Level Expenditures'!$B$2='School Tables'!L40,'School Tables'!S40,"")</f>
        <v/>
      </c>
      <c r="U40" s="359" t="str">
        <f>IFERROR(SMALL($T$4:$T$75,ROWS($T$4:T40)),"")</f>
        <v/>
      </c>
      <c r="V40" s="333" t="b">
        <f t="shared" si="1"/>
        <v>0</v>
      </c>
      <c r="W40" s="357">
        <v>279</v>
      </c>
      <c r="X40" s="357" t="s">
        <v>1157</v>
      </c>
      <c r="Y40" s="357" t="s">
        <v>1162</v>
      </c>
      <c r="Z40" s="357">
        <v>21195</v>
      </c>
      <c r="AA40" s="357" t="s">
        <v>1534</v>
      </c>
      <c r="AB40" s="357">
        <v>29</v>
      </c>
      <c r="AC40" s="357" t="s">
        <v>1691</v>
      </c>
      <c r="AD40" s="359">
        <f>ROWS($AC$4:AC40)</f>
        <v>37</v>
      </c>
      <c r="AE40" s="359" t="str">
        <f>IF('School Level Expenditures'!$B$2='School Tables'!W40,'School Tables'!AD40,"")</f>
        <v/>
      </c>
      <c r="AF40" s="359" t="str">
        <f>IFERROR(SMALL(AE40:$AE$100,ROWS($AE$4:AE40)),"")</f>
        <v/>
      </c>
      <c r="AG40" s="333" t="b">
        <f t="shared" si="3"/>
        <v>0</v>
      </c>
      <c r="AH40" s="360">
        <v>723</v>
      </c>
      <c r="AI40" s="360">
        <v>723</v>
      </c>
      <c r="AJ40" s="360" t="s">
        <v>1509</v>
      </c>
      <c r="AK40" s="360">
        <v>410</v>
      </c>
      <c r="AL40" s="360" t="s">
        <v>1509</v>
      </c>
    </row>
    <row r="41" spans="1:38" ht="51" x14ac:dyDescent="0.2">
      <c r="A41" s="357">
        <v>208</v>
      </c>
      <c r="B41" s="357" t="s">
        <v>1072</v>
      </c>
      <c r="C41" s="357" t="s">
        <v>1078</v>
      </c>
      <c r="D41" s="357">
        <v>22430</v>
      </c>
      <c r="E41" s="357" t="s">
        <v>61</v>
      </c>
      <c r="F41" s="357">
        <v>49</v>
      </c>
      <c r="G41" s="357" t="s">
        <v>1687</v>
      </c>
      <c r="H41" s="359">
        <f>ROWS($G$4:G41)</f>
        <v>38</v>
      </c>
      <c r="I41" s="359" t="str">
        <f>IF('School Level Expenditures'!$B$2=A41,'School Tables'!H41,"")</f>
        <v/>
      </c>
      <c r="J41" s="359" t="str">
        <f>IFERROR(SMALL($I$4:$I$325,ROWS($I$4:I41)),"")</f>
        <v/>
      </c>
      <c r="K41" s="333" t="b">
        <f t="shared" si="0"/>
        <v>0</v>
      </c>
      <c r="L41" s="357">
        <v>305</v>
      </c>
      <c r="M41" s="357" t="s">
        <v>1183</v>
      </c>
      <c r="N41" s="357" t="s">
        <v>1184</v>
      </c>
      <c r="O41" s="357">
        <v>23105</v>
      </c>
      <c r="P41" s="357" t="s">
        <v>1533</v>
      </c>
      <c r="Q41" s="357">
        <v>68</v>
      </c>
      <c r="R41" s="357" t="s">
        <v>1738</v>
      </c>
      <c r="S41" s="359">
        <f>ROWS($Q$4:Q41)</f>
        <v>38</v>
      </c>
      <c r="T41" s="359" t="str">
        <f>IF('School Level Expenditures'!$B$2='School Tables'!L41,'School Tables'!S41,"")</f>
        <v/>
      </c>
      <c r="U41" s="359" t="str">
        <f>IFERROR(SMALL($T$4:$T$75,ROWS($T$4:T41)),"")</f>
        <v/>
      </c>
      <c r="V41" s="333" t="b">
        <f t="shared" si="1"/>
        <v>0</v>
      </c>
      <c r="W41" s="357">
        <v>113</v>
      </c>
      <c r="X41" s="357" t="s">
        <v>989</v>
      </c>
      <c r="Y41" s="357" t="s">
        <v>993</v>
      </c>
      <c r="Z41" s="357">
        <v>20345</v>
      </c>
      <c r="AA41" s="357" t="s">
        <v>1534</v>
      </c>
      <c r="AB41" s="357">
        <v>9</v>
      </c>
      <c r="AC41" s="357" t="s">
        <v>1694</v>
      </c>
      <c r="AD41" s="359">
        <f>ROWS($AC$4:AC41)</f>
        <v>38</v>
      </c>
      <c r="AE41" s="359" t="str">
        <f>IF('School Level Expenditures'!$B$2='School Tables'!W41,'School Tables'!AD41,"")</f>
        <v/>
      </c>
      <c r="AF41" s="359" t="str">
        <f>IFERROR(SMALL(AE41:$AE$100,ROWS($AE$4:AE41)),"")</f>
        <v/>
      </c>
      <c r="AG41" s="333" t="b">
        <f t="shared" si="3"/>
        <v>0</v>
      </c>
      <c r="AH41">
        <v>127</v>
      </c>
      <c r="AI41">
        <v>127</v>
      </c>
      <c r="AJ41" t="s">
        <v>998</v>
      </c>
      <c r="AK41">
        <v>53</v>
      </c>
      <c r="AL41" t="s">
        <v>1664</v>
      </c>
    </row>
    <row r="42" spans="1:38" ht="51" x14ac:dyDescent="0.2">
      <c r="A42" s="357">
        <v>555</v>
      </c>
      <c r="B42" s="357" t="s">
        <v>1461</v>
      </c>
      <c r="C42" s="357" t="s">
        <v>1462</v>
      </c>
      <c r="D42" s="357">
        <v>26810</v>
      </c>
      <c r="E42" s="357" t="s">
        <v>61</v>
      </c>
      <c r="F42" s="357">
        <v>24</v>
      </c>
      <c r="G42" s="357" t="s">
        <v>1688</v>
      </c>
      <c r="H42" s="359">
        <f>ROWS($G$4:G42)</f>
        <v>39</v>
      </c>
      <c r="I42" s="359" t="str">
        <f>IF('School Level Expenditures'!$B$2=A42,'School Tables'!H42,"")</f>
        <v/>
      </c>
      <c r="J42" s="359" t="str">
        <f>IFERROR(SMALL($I$4:$I$325,ROWS($I$4:I42)),"")</f>
        <v/>
      </c>
      <c r="K42" s="333" t="b">
        <f t="shared" si="0"/>
        <v>0</v>
      </c>
      <c r="L42" s="357">
        <v>306</v>
      </c>
      <c r="M42" s="357" t="s">
        <v>1187</v>
      </c>
      <c r="N42" s="357" t="s">
        <v>1189</v>
      </c>
      <c r="O42" s="357">
        <v>23095</v>
      </c>
      <c r="P42" s="357" t="s">
        <v>1533</v>
      </c>
      <c r="Q42" s="357">
        <v>35</v>
      </c>
      <c r="R42" s="357" t="s">
        <v>1680</v>
      </c>
      <c r="S42" s="359">
        <f>ROWS($Q$4:Q42)</f>
        <v>39</v>
      </c>
      <c r="T42" s="359" t="str">
        <f>IF('School Level Expenditures'!$B$2='School Tables'!L42,'School Tables'!S42,"")</f>
        <v/>
      </c>
      <c r="U42" s="359" t="str">
        <f>IFERROR(SMALL($T$4:$T$75,ROWS($T$4:T42)),"")</f>
        <v/>
      </c>
      <c r="V42" s="333" t="b">
        <f t="shared" si="1"/>
        <v>0</v>
      </c>
      <c r="W42" s="357">
        <v>208</v>
      </c>
      <c r="X42" s="357" t="s">
        <v>1072</v>
      </c>
      <c r="Y42" s="357" t="s">
        <v>1077</v>
      </c>
      <c r="Z42" s="357">
        <v>22425</v>
      </c>
      <c r="AA42" s="357" t="s">
        <v>1534</v>
      </c>
      <c r="AB42" s="357">
        <v>49</v>
      </c>
      <c r="AC42" s="357" t="s">
        <v>1687</v>
      </c>
      <c r="AD42" s="359">
        <f>ROWS($AC$4:AC42)</f>
        <v>39</v>
      </c>
      <c r="AE42" s="359" t="str">
        <f>IF('School Level Expenditures'!$B$2='School Tables'!W42,'School Tables'!AD42,"")</f>
        <v/>
      </c>
      <c r="AF42" s="359" t="str">
        <f>IFERROR(SMALL(AE42:$AE$100,ROWS($AE$4:AE42)),"")</f>
        <v/>
      </c>
      <c r="AG42" s="333" t="b">
        <f t="shared" si="3"/>
        <v>0</v>
      </c>
      <c r="AH42">
        <v>131</v>
      </c>
      <c r="AI42">
        <v>131</v>
      </c>
      <c r="AJ42" t="s">
        <v>1000</v>
      </c>
      <c r="AK42">
        <v>10</v>
      </c>
      <c r="AL42" t="s">
        <v>1699</v>
      </c>
    </row>
    <row r="43" spans="1:38" ht="51" x14ac:dyDescent="0.2">
      <c r="A43" s="357">
        <v>461</v>
      </c>
      <c r="B43" s="357" t="s">
        <v>1376</v>
      </c>
      <c r="C43" s="357" t="s">
        <v>1382</v>
      </c>
      <c r="D43" s="357">
        <v>22695</v>
      </c>
      <c r="E43" s="357" t="s">
        <v>61</v>
      </c>
      <c r="F43" s="357">
        <v>54</v>
      </c>
      <c r="G43" s="357" t="s">
        <v>1689</v>
      </c>
      <c r="H43" s="359">
        <f>ROWS($G$4:G43)</f>
        <v>40</v>
      </c>
      <c r="I43" s="359" t="str">
        <f>IF('School Level Expenditures'!$B$2=A43,'School Tables'!H43,"")</f>
        <v/>
      </c>
      <c r="J43" s="359" t="str">
        <f>IFERROR(SMALL($I$4:$I$325,ROWS($I$4:I43)),"")</f>
        <v/>
      </c>
      <c r="K43" s="333" t="b">
        <f t="shared" si="0"/>
        <v>0</v>
      </c>
      <c r="L43" s="357">
        <v>315</v>
      </c>
      <c r="M43" s="357" t="s">
        <v>1191</v>
      </c>
      <c r="N43" s="357" t="s">
        <v>1194</v>
      </c>
      <c r="O43" s="357">
        <v>26640</v>
      </c>
      <c r="P43" s="357" t="s">
        <v>1533</v>
      </c>
      <c r="Q43" s="357">
        <v>27</v>
      </c>
      <c r="R43" s="357" t="s">
        <v>1719</v>
      </c>
      <c r="S43" s="359">
        <f>ROWS($Q$4:Q43)</f>
        <v>40</v>
      </c>
      <c r="T43" s="359" t="str">
        <f>IF('School Level Expenditures'!$B$2='School Tables'!L43,'School Tables'!S43,"")</f>
        <v/>
      </c>
      <c r="U43" s="359" t="str">
        <f>IFERROR(SMALL($T$4:$T$75,ROWS($T$4:T43)),"")</f>
        <v/>
      </c>
      <c r="V43" s="333" t="b">
        <f t="shared" si="1"/>
        <v>0</v>
      </c>
      <c r="W43" s="357">
        <v>708</v>
      </c>
      <c r="X43" s="357" t="s">
        <v>1499</v>
      </c>
      <c r="Y43" s="357" t="s">
        <v>1501</v>
      </c>
      <c r="Z43" s="357">
        <v>29192</v>
      </c>
      <c r="AA43" s="357" t="s">
        <v>1534</v>
      </c>
      <c r="AB43" s="357">
        <v>432</v>
      </c>
      <c r="AC43" s="357" t="s">
        <v>1499</v>
      </c>
      <c r="AD43" s="359">
        <f>ROWS($AC$4:AC43)</f>
        <v>40</v>
      </c>
      <c r="AE43" s="359" t="str">
        <f>IF('School Level Expenditures'!$B$2='School Tables'!W43,'School Tables'!AD43,"")</f>
        <v/>
      </c>
      <c r="AF43" s="359" t="str">
        <f>IFERROR(SMALL(AE43:$AE$100,ROWS($AE$4:AE43)),"")</f>
        <v/>
      </c>
      <c r="AG43" s="333" t="b">
        <f t="shared" si="3"/>
        <v>0</v>
      </c>
      <c r="AH43">
        <v>141</v>
      </c>
      <c r="AI43">
        <v>141</v>
      </c>
      <c r="AJ43" t="s">
        <v>1008</v>
      </c>
      <c r="AK43">
        <v>11</v>
      </c>
      <c r="AL43" t="s">
        <v>1710</v>
      </c>
    </row>
    <row r="44" spans="1:38" ht="38.25" x14ac:dyDescent="0.2">
      <c r="A44" s="357">
        <v>174</v>
      </c>
      <c r="B44" s="357" t="s">
        <v>1033</v>
      </c>
      <c r="C44" s="357" t="s">
        <v>1037</v>
      </c>
      <c r="D44" s="357">
        <v>22975</v>
      </c>
      <c r="E44" s="357" t="s">
        <v>61</v>
      </c>
      <c r="F44" s="357">
        <v>60</v>
      </c>
      <c r="G44" s="357" t="s">
        <v>1662</v>
      </c>
      <c r="H44" s="359">
        <f>ROWS($G$4:G44)</f>
        <v>41</v>
      </c>
      <c r="I44" s="359" t="str">
        <f>IF('School Level Expenditures'!$B$2=A44,'School Tables'!H44,"")</f>
        <v/>
      </c>
      <c r="J44" s="359" t="str">
        <f>IFERROR(SMALL($I$4:$I$325,ROWS($I$4:I44)),"")</f>
        <v/>
      </c>
      <c r="K44" s="333" t="b">
        <f t="shared" si="0"/>
        <v>0</v>
      </c>
      <c r="L44" s="357">
        <v>319</v>
      </c>
      <c r="M44" s="357" t="s">
        <v>1199</v>
      </c>
      <c r="N44" s="357" t="s">
        <v>1203</v>
      </c>
      <c r="O44" s="357">
        <v>20480</v>
      </c>
      <c r="P44" s="357" t="s">
        <v>1533</v>
      </c>
      <c r="Q44" s="357">
        <v>12</v>
      </c>
      <c r="R44" s="357" t="s">
        <v>1743</v>
      </c>
      <c r="S44" s="359">
        <f>ROWS($Q$4:Q44)</f>
        <v>41</v>
      </c>
      <c r="T44" s="359" t="str">
        <f>IF('School Level Expenditures'!$B$2='School Tables'!L44,'School Tables'!S44,"")</f>
        <v/>
      </c>
      <c r="U44" s="359" t="str">
        <f>IFERROR(SMALL($T$4:$T$75,ROWS($T$4:T44)),"")</f>
        <v/>
      </c>
      <c r="V44" s="333" t="b">
        <f t="shared" si="1"/>
        <v>0</v>
      </c>
      <c r="W44" s="357">
        <v>285</v>
      </c>
      <c r="X44" s="357" t="s">
        <v>1166</v>
      </c>
      <c r="Y44" s="357" t="s">
        <v>1167</v>
      </c>
      <c r="Z44" s="357">
        <v>21255</v>
      </c>
      <c r="AA44" s="357" t="s">
        <v>1534</v>
      </c>
      <c r="AB44" s="357">
        <v>30</v>
      </c>
      <c r="AC44" s="357" t="s">
        <v>1705</v>
      </c>
      <c r="AD44" s="359">
        <f>ROWS($AC$4:AC44)</f>
        <v>41</v>
      </c>
      <c r="AE44" s="359" t="str">
        <f>IF('School Level Expenditures'!$B$2='School Tables'!W44,'School Tables'!AD44,"")</f>
        <v/>
      </c>
      <c r="AF44" s="359" t="str">
        <f>IFERROR(SMALL(AE44:$AE$100,ROWS($AE$4:AE44)),"")</f>
        <v/>
      </c>
      <c r="AG44" s="333" t="b">
        <f t="shared" si="3"/>
        <v>0</v>
      </c>
      <c r="AH44">
        <v>142</v>
      </c>
      <c r="AI44">
        <v>0</v>
      </c>
      <c r="AJ44" t="s">
        <v>1014</v>
      </c>
      <c r="AK44">
        <v>70</v>
      </c>
      <c r="AL44" t="s">
        <v>1679</v>
      </c>
    </row>
    <row r="45" spans="1:38" ht="38.25" x14ac:dyDescent="0.2">
      <c r="A45" s="357">
        <v>174</v>
      </c>
      <c r="B45" s="357" t="s">
        <v>1033</v>
      </c>
      <c r="C45" s="357" t="s">
        <v>1039</v>
      </c>
      <c r="D45" s="357">
        <v>22985</v>
      </c>
      <c r="E45" s="357" t="s">
        <v>61</v>
      </c>
      <c r="F45" s="357">
        <v>60</v>
      </c>
      <c r="G45" s="357" t="s">
        <v>1662</v>
      </c>
      <c r="H45" s="359">
        <f>ROWS($G$4:G45)</f>
        <v>42</v>
      </c>
      <c r="I45" s="359" t="str">
        <f>IF('School Level Expenditures'!$B$2=A45,'School Tables'!H45,"")</f>
        <v/>
      </c>
      <c r="J45" s="359" t="str">
        <f>IFERROR(SMALL($I$4:$I$325,ROWS($I$4:I45)),"")</f>
        <v/>
      </c>
      <c r="K45" s="333" t="b">
        <f t="shared" si="0"/>
        <v>0</v>
      </c>
      <c r="L45" s="357">
        <v>351</v>
      </c>
      <c r="M45" s="357" t="s">
        <v>1243</v>
      </c>
      <c r="N45" s="357" t="s">
        <v>1244</v>
      </c>
      <c r="O45" s="357">
        <v>28375</v>
      </c>
      <c r="P45" s="357" t="s">
        <v>1533</v>
      </c>
      <c r="Q45" s="357">
        <v>26</v>
      </c>
      <c r="R45" s="357" t="s">
        <v>1732</v>
      </c>
      <c r="S45" s="359">
        <f>ROWS($Q$4:Q45)</f>
        <v>42</v>
      </c>
      <c r="T45" s="359" t="str">
        <f>IF('School Level Expenditures'!$B$2='School Tables'!L45,'School Tables'!S45,"")</f>
        <v/>
      </c>
      <c r="U45" s="359" t="str">
        <f>IFERROR(SMALL($T$4:$T$75,ROWS($T$4:T45)),"")</f>
        <v/>
      </c>
      <c r="V45" s="333" t="b">
        <f t="shared" si="1"/>
        <v>0</v>
      </c>
      <c r="W45" s="357">
        <v>706</v>
      </c>
      <c r="X45" s="357" t="s">
        <v>1497</v>
      </c>
      <c r="Y45" s="357" t="s">
        <v>1497</v>
      </c>
      <c r="Z45" s="357">
        <v>29189</v>
      </c>
      <c r="AA45" s="357" t="s">
        <v>1534</v>
      </c>
      <c r="AB45" s="357">
        <v>431</v>
      </c>
      <c r="AC45" s="357" t="s">
        <v>1497</v>
      </c>
      <c r="AD45" s="359">
        <f>ROWS($AC$4:AC45)</f>
        <v>42</v>
      </c>
      <c r="AE45" s="359" t="str">
        <f>IF('School Level Expenditures'!$B$2='School Tables'!W45,'School Tables'!AD45,"")</f>
        <v/>
      </c>
      <c r="AF45" s="359" t="str">
        <f>IFERROR(SMALL(AE45:$AE$100,ROWS($AE$4:AE45)),"")</f>
        <v/>
      </c>
      <c r="AG45" s="333" t="b">
        <f t="shared" si="3"/>
        <v>0</v>
      </c>
      <c r="AH45">
        <v>147</v>
      </c>
      <c r="AI45">
        <v>147</v>
      </c>
      <c r="AJ45" t="s">
        <v>1779</v>
      </c>
      <c r="AK45">
        <v>20</v>
      </c>
      <c r="AL45" t="s">
        <v>1703</v>
      </c>
    </row>
    <row r="46" spans="1:38" ht="38.25" x14ac:dyDescent="0.2">
      <c r="A46" s="357">
        <v>371</v>
      </c>
      <c r="B46" s="357" t="s">
        <v>1283</v>
      </c>
      <c r="C46" s="357" t="s">
        <v>1297</v>
      </c>
      <c r="D46" s="357">
        <v>21930</v>
      </c>
      <c r="E46" s="357" t="s">
        <v>61</v>
      </c>
      <c r="F46" s="357">
        <v>42</v>
      </c>
      <c r="G46" s="357" t="s">
        <v>1666</v>
      </c>
      <c r="H46" s="359">
        <f>ROWS($G$4:G46)</f>
        <v>43</v>
      </c>
      <c r="I46" s="359" t="str">
        <f>IF('School Level Expenditures'!$B$2=A46,'School Tables'!H46,"")</f>
        <v/>
      </c>
      <c r="J46" s="359" t="str">
        <f>IFERROR(SMALL($I$4:$I$325,ROWS($I$4:I46)),"")</f>
        <v/>
      </c>
      <c r="K46" s="333" t="b">
        <f t="shared" si="0"/>
        <v>0</v>
      </c>
      <c r="L46" s="357">
        <v>352</v>
      </c>
      <c r="M46" s="357" t="s">
        <v>1250</v>
      </c>
      <c r="N46" s="357" t="s">
        <v>1251</v>
      </c>
      <c r="O46" s="357">
        <v>26585</v>
      </c>
      <c r="P46" s="357" t="s">
        <v>1533</v>
      </c>
      <c r="Q46" s="357">
        <v>46</v>
      </c>
      <c r="R46" s="357" t="s">
        <v>1667</v>
      </c>
      <c r="S46" s="359">
        <f>ROWS($Q$4:Q46)</f>
        <v>43</v>
      </c>
      <c r="T46" s="359" t="str">
        <f>IF('School Level Expenditures'!$B$2='School Tables'!L46,'School Tables'!S46,"")</f>
        <v/>
      </c>
      <c r="U46" s="359" t="str">
        <f>IFERROR(SMALL($T$4:$T$75,ROWS($T$4:T46)),"")</f>
        <v/>
      </c>
      <c r="V46" s="333" t="b">
        <f t="shared" si="1"/>
        <v>0</v>
      </c>
      <c r="W46" s="357">
        <v>295</v>
      </c>
      <c r="X46" s="357" t="s">
        <v>1176</v>
      </c>
      <c r="Y46" s="357" t="s">
        <v>1179</v>
      </c>
      <c r="Z46" s="357">
        <v>21360</v>
      </c>
      <c r="AA46" s="357" t="s">
        <v>1534</v>
      </c>
      <c r="AB46" s="357">
        <v>88</v>
      </c>
      <c r="AC46" s="357" t="s">
        <v>1722</v>
      </c>
      <c r="AD46" s="359">
        <f>ROWS($AC$4:AC46)</f>
        <v>43</v>
      </c>
      <c r="AE46" s="359" t="str">
        <f>IF('School Level Expenditures'!$B$2='School Tables'!W46,'School Tables'!AD46,"")</f>
        <v/>
      </c>
      <c r="AF46" s="359" t="str">
        <f>IFERROR(SMALL(AE46:$AE$100,ROWS($AE$4:AE46)),"")</f>
        <v/>
      </c>
      <c r="AG46" s="333" t="b">
        <f t="shared" si="3"/>
        <v>0</v>
      </c>
      <c r="AH46">
        <v>149</v>
      </c>
      <c r="AI46">
        <v>149</v>
      </c>
      <c r="AJ46" t="s">
        <v>1017</v>
      </c>
      <c r="AK46">
        <v>67</v>
      </c>
      <c r="AL46" t="s">
        <v>1682</v>
      </c>
    </row>
    <row r="47" spans="1:38" ht="38.25" x14ac:dyDescent="0.2">
      <c r="A47" s="357">
        <v>93</v>
      </c>
      <c r="B47" s="357" t="s">
        <v>957</v>
      </c>
      <c r="C47" s="357" t="s">
        <v>958</v>
      </c>
      <c r="D47" s="357">
        <v>20500</v>
      </c>
      <c r="E47" s="357" t="s">
        <v>61</v>
      </c>
      <c r="F47" s="357">
        <v>82</v>
      </c>
      <c r="G47" s="357" t="s">
        <v>1690</v>
      </c>
      <c r="H47" s="359">
        <f>ROWS($G$4:G47)</f>
        <v>44</v>
      </c>
      <c r="I47" s="359" t="str">
        <f>IF('School Level Expenditures'!$B$2=A47,'School Tables'!H47,"")</f>
        <v/>
      </c>
      <c r="J47" s="359" t="str">
        <f>IFERROR(SMALL($I$4:$I$325,ROWS($I$4:I47)),"")</f>
        <v/>
      </c>
      <c r="K47" s="333" t="b">
        <f t="shared" si="0"/>
        <v>0</v>
      </c>
      <c r="L47" s="357">
        <v>335</v>
      </c>
      <c r="M47" s="357" t="s">
        <v>906</v>
      </c>
      <c r="N47" s="357" t="s">
        <v>1213</v>
      </c>
      <c r="O47" s="357">
        <v>21525</v>
      </c>
      <c r="P47" s="357" t="s">
        <v>1533</v>
      </c>
      <c r="Q47" s="357">
        <v>37</v>
      </c>
      <c r="R47" s="357" t="s">
        <v>1672</v>
      </c>
      <c r="S47" s="359">
        <f>ROWS($Q$4:Q47)</f>
        <v>44</v>
      </c>
      <c r="T47" s="359" t="str">
        <f>IF('School Level Expenditures'!$B$2='School Tables'!L47,'School Tables'!S47,"")</f>
        <v/>
      </c>
      <c r="U47" s="359" t="str">
        <f>IFERROR(SMALL($T$4:$T$75,ROWS($T$4:T47)),"")</f>
        <v/>
      </c>
      <c r="V47" s="333" t="b">
        <f t="shared" si="1"/>
        <v>0</v>
      </c>
      <c r="W47" s="357">
        <v>719</v>
      </c>
      <c r="X47" s="357" t="s">
        <v>1507</v>
      </c>
      <c r="Y47" s="357" t="s">
        <v>1507</v>
      </c>
      <c r="Z47" s="357">
        <v>28565</v>
      </c>
      <c r="AA47" s="357" t="s">
        <v>1534</v>
      </c>
      <c r="AB47" s="357">
        <v>408</v>
      </c>
      <c r="AC47" s="357" t="s">
        <v>1507</v>
      </c>
      <c r="AD47" s="359">
        <f>ROWS($AC$4:AC47)</f>
        <v>44</v>
      </c>
      <c r="AE47" s="359" t="str">
        <f>IF('School Level Expenditures'!$B$2='School Tables'!W47,'School Tables'!AD47,"")</f>
        <v/>
      </c>
      <c r="AF47" s="359" t="str">
        <f>IFERROR(SMALL(AE47:$AE$100,ROWS($AE$4:AE47)),"")</f>
        <v/>
      </c>
      <c r="AG47" s="333" t="b">
        <f t="shared" si="3"/>
        <v>0</v>
      </c>
      <c r="AH47">
        <v>153</v>
      </c>
      <c r="AI47">
        <v>153</v>
      </c>
      <c r="AJ47" t="s">
        <v>1019</v>
      </c>
      <c r="AK47">
        <v>16</v>
      </c>
      <c r="AL47" t="s">
        <v>1702</v>
      </c>
    </row>
    <row r="48" spans="1:38" ht="38.25" x14ac:dyDescent="0.2">
      <c r="A48" s="357">
        <v>95</v>
      </c>
      <c r="B48" s="357" t="s">
        <v>959</v>
      </c>
      <c r="C48" s="357" t="s">
        <v>960</v>
      </c>
      <c r="D48" s="357">
        <v>21140</v>
      </c>
      <c r="E48" s="357" t="s">
        <v>61</v>
      </c>
      <c r="F48" s="357">
        <v>29</v>
      </c>
      <c r="G48" s="357" t="s">
        <v>1691</v>
      </c>
      <c r="H48" s="359">
        <f>ROWS($G$4:G48)</f>
        <v>45</v>
      </c>
      <c r="I48" s="359" t="str">
        <f>IF('School Level Expenditures'!$B$2=A48,'School Tables'!H48,"")</f>
        <v/>
      </c>
      <c r="J48" s="359" t="str">
        <f>IFERROR(SMALL($I$4:$I$325,ROWS($I$4:I48)),"")</f>
        <v/>
      </c>
      <c r="K48" s="333" t="b">
        <f t="shared" si="0"/>
        <v>0</v>
      </c>
      <c r="L48" s="357">
        <v>357</v>
      </c>
      <c r="M48" s="357" t="s">
        <v>1262</v>
      </c>
      <c r="N48" s="357" t="s">
        <v>1263</v>
      </c>
      <c r="O48" s="357">
        <v>21760</v>
      </c>
      <c r="P48" s="357" t="s">
        <v>1533</v>
      </c>
      <c r="Q48" s="357">
        <v>40</v>
      </c>
      <c r="R48" s="357" t="s">
        <v>1725</v>
      </c>
      <c r="S48" s="359">
        <f>ROWS($Q$4:Q48)</f>
        <v>45</v>
      </c>
      <c r="T48" s="359" t="str">
        <f>IF('School Level Expenditures'!$B$2='School Tables'!L48,'School Tables'!S48,"")</f>
        <v/>
      </c>
      <c r="U48" s="359" t="str">
        <f>IFERROR(SMALL($T$4:$T$75,ROWS($T$4:T48)),"")</f>
        <v/>
      </c>
      <c r="V48" s="333" t="b">
        <f t="shared" si="1"/>
        <v>0</v>
      </c>
      <c r="W48" s="357">
        <v>305</v>
      </c>
      <c r="X48" s="357" t="s">
        <v>1183</v>
      </c>
      <c r="Y48" s="357" t="s">
        <v>1185</v>
      </c>
      <c r="Z48" s="357">
        <v>23110</v>
      </c>
      <c r="AA48" s="357" t="s">
        <v>1534</v>
      </c>
      <c r="AB48" s="357">
        <v>68</v>
      </c>
      <c r="AC48" s="357" t="s">
        <v>1738</v>
      </c>
      <c r="AD48" s="359">
        <f>ROWS($AC$4:AC48)</f>
        <v>45</v>
      </c>
      <c r="AE48" s="359" t="str">
        <f>IF('School Level Expenditures'!$B$2='School Tables'!W48,'School Tables'!AD48,"")</f>
        <v/>
      </c>
      <c r="AF48" s="359" t="str">
        <f>IFERROR(SMALL(AE48:$AE$100,ROWS($AE$4:AE48)),"")</f>
        <v/>
      </c>
      <c r="AG48" s="333" t="b">
        <f t="shared" si="3"/>
        <v>0</v>
      </c>
      <c r="AH48">
        <v>159</v>
      </c>
      <c r="AI48">
        <v>159</v>
      </c>
      <c r="AJ48" t="s">
        <v>1780</v>
      </c>
      <c r="AK48">
        <v>9</v>
      </c>
      <c r="AL48" t="s">
        <v>1694</v>
      </c>
    </row>
    <row r="49" spans="1:38" ht="51" x14ac:dyDescent="0.2">
      <c r="A49" s="357">
        <v>99</v>
      </c>
      <c r="B49" s="357" t="s">
        <v>961</v>
      </c>
      <c r="C49" s="357" t="s">
        <v>962</v>
      </c>
      <c r="D49" s="357">
        <v>22590</v>
      </c>
      <c r="E49" s="357" t="s">
        <v>61</v>
      </c>
      <c r="F49" s="357">
        <v>53</v>
      </c>
      <c r="G49" s="357" t="s">
        <v>1664</v>
      </c>
      <c r="H49" s="359">
        <f>ROWS($G$4:G49)</f>
        <v>46</v>
      </c>
      <c r="I49" s="359" t="str">
        <f>IF('School Level Expenditures'!$B$2=A49,'School Tables'!H49,"")</f>
        <v/>
      </c>
      <c r="J49" s="359" t="str">
        <f>IFERROR(SMALL($I$4:$I$325,ROWS($I$4:I49)),"")</f>
        <v/>
      </c>
      <c r="K49" s="333" t="b">
        <f t="shared" si="0"/>
        <v>0</v>
      </c>
      <c r="L49" s="357">
        <v>363</v>
      </c>
      <c r="M49" s="357" t="s">
        <v>1271</v>
      </c>
      <c r="N49" s="357" t="s">
        <v>1272</v>
      </c>
      <c r="O49" s="357">
        <v>26980</v>
      </c>
      <c r="P49" s="357" t="s">
        <v>1533</v>
      </c>
      <c r="Q49" s="357">
        <v>93</v>
      </c>
      <c r="R49" s="357" t="s">
        <v>1697</v>
      </c>
      <c r="S49" s="359">
        <f>ROWS($Q$4:Q49)</f>
        <v>46</v>
      </c>
      <c r="T49" s="359" t="str">
        <f>IF('School Level Expenditures'!$B$2='School Tables'!L49,'School Tables'!S49,"")</f>
        <v/>
      </c>
      <c r="U49" s="359" t="str">
        <f>IFERROR(SMALL($T$4:$T$75,ROWS($T$4:T49)),"")</f>
        <v/>
      </c>
      <c r="V49" s="333" t="b">
        <f t="shared" si="1"/>
        <v>0</v>
      </c>
      <c r="W49" s="357">
        <v>306</v>
      </c>
      <c r="X49" s="357" t="s">
        <v>1187</v>
      </c>
      <c r="Y49" s="357" t="s">
        <v>1190</v>
      </c>
      <c r="Z49" s="357">
        <v>23100</v>
      </c>
      <c r="AA49" s="357" t="s">
        <v>1534</v>
      </c>
      <c r="AB49" s="357">
        <v>35</v>
      </c>
      <c r="AC49" s="357" t="s">
        <v>1680</v>
      </c>
      <c r="AD49" s="359">
        <f>ROWS($AC$4:AC49)</f>
        <v>46</v>
      </c>
      <c r="AE49" s="359" t="str">
        <f>IF('School Level Expenditures'!$B$2='School Tables'!W49,'School Tables'!AD49,"")</f>
        <v/>
      </c>
      <c r="AF49" s="359" t="str">
        <f>IFERROR(SMALL(AE49:$AE$100,ROWS($AE$4:AE49)),"")</f>
        <v/>
      </c>
      <c r="AG49" s="333" t="b">
        <f t="shared" si="3"/>
        <v>0</v>
      </c>
      <c r="AH49">
        <v>162</v>
      </c>
      <c r="AI49">
        <v>162</v>
      </c>
      <c r="AJ49" t="s">
        <v>1781</v>
      </c>
      <c r="AK49">
        <v>48</v>
      </c>
      <c r="AL49" t="s">
        <v>1684</v>
      </c>
    </row>
    <row r="50" spans="1:38" ht="38.25" x14ac:dyDescent="0.2">
      <c r="A50" s="357">
        <v>111</v>
      </c>
      <c r="B50" s="357" t="s">
        <v>969</v>
      </c>
      <c r="C50" s="357" t="s">
        <v>976</v>
      </c>
      <c r="D50" s="357">
        <v>20305</v>
      </c>
      <c r="E50" s="357" t="s">
        <v>61</v>
      </c>
      <c r="F50" s="357">
        <v>8</v>
      </c>
      <c r="G50" s="357" t="s">
        <v>1661</v>
      </c>
      <c r="H50" s="359">
        <f>ROWS($G$4:G50)</f>
        <v>47</v>
      </c>
      <c r="I50" s="359" t="str">
        <f>IF('School Level Expenditures'!$B$2=A50,'School Tables'!H50,"")</f>
        <v/>
      </c>
      <c r="J50" s="359" t="str">
        <f>IFERROR(SMALL($I$4:$I$325,ROWS($I$4:I50)),"")</f>
        <v/>
      </c>
      <c r="K50" s="333" t="b">
        <f t="shared" si="0"/>
        <v>0</v>
      </c>
      <c r="L50" s="357">
        <v>369</v>
      </c>
      <c r="M50" s="357" t="s">
        <v>1280</v>
      </c>
      <c r="N50" s="357" t="s">
        <v>1608</v>
      </c>
      <c r="O50" s="357">
        <v>26960</v>
      </c>
      <c r="P50" s="357" t="s">
        <v>1533</v>
      </c>
      <c r="Q50" s="357">
        <v>45</v>
      </c>
      <c r="R50" s="357" t="s">
        <v>1749</v>
      </c>
      <c r="S50" s="359">
        <f>ROWS($Q$4:Q50)</f>
        <v>47</v>
      </c>
      <c r="T50" s="359" t="str">
        <f>IF('School Level Expenditures'!$B$2='School Tables'!L50,'School Tables'!S50,"")</f>
        <v/>
      </c>
      <c r="U50" s="359" t="str">
        <f>IFERROR(SMALL($T$4:$T$75,ROWS($T$4:T50)),"")</f>
        <v/>
      </c>
      <c r="V50" s="333" t="b">
        <f t="shared" si="1"/>
        <v>0</v>
      </c>
      <c r="W50" s="357">
        <v>317</v>
      </c>
      <c r="X50" s="357" t="s">
        <v>1195</v>
      </c>
      <c r="Y50" s="357" t="s">
        <v>1197</v>
      </c>
      <c r="Z50" s="357">
        <v>21445</v>
      </c>
      <c r="AA50" s="357" t="s">
        <v>1534</v>
      </c>
      <c r="AB50" s="357">
        <v>84</v>
      </c>
      <c r="AC50" s="357" t="s">
        <v>1746</v>
      </c>
      <c r="AD50" s="359">
        <f>ROWS($AC$4:AC50)</f>
        <v>47</v>
      </c>
      <c r="AE50" s="359" t="str">
        <f>IF('School Level Expenditures'!$B$2='School Tables'!W50,'School Tables'!AD50,"")</f>
        <v/>
      </c>
      <c r="AF50" s="359" t="str">
        <f>IFERROR(SMALL(AE50:$AE$100,ROWS($AE$4:AE50)),"")</f>
        <v/>
      </c>
      <c r="AG50" s="333" t="b">
        <f t="shared" si="3"/>
        <v>0</v>
      </c>
      <c r="AH50">
        <v>165</v>
      </c>
      <c r="AI50">
        <v>165</v>
      </c>
      <c r="AJ50" t="s">
        <v>1021</v>
      </c>
      <c r="AK50">
        <v>14</v>
      </c>
      <c r="AL50" t="s">
        <v>1706</v>
      </c>
    </row>
    <row r="51" spans="1:38" ht="38.25" x14ac:dyDescent="0.2">
      <c r="A51" s="357">
        <v>101</v>
      </c>
      <c r="B51" s="357" t="s">
        <v>963</v>
      </c>
      <c r="C51" s="357" t="s">
        <v>1553</v>
      </c>
      <c r="D51" s="357">
        <v>29184</v>
      </c>
      <c r="E51" s="357" t="s">
        <v>1554</v>
      </c>
      <c r="F51" s="357">
        <v>6</v>
      </c>
      <c r="G51" s="357" t="s">
        <v>1681</v>
      </c>
      <c r="H51" s="359">
        <f>ROWS($G$4:G51)</f>
        <v>48</v>
      </c>
      <c r="I51" s="359" t="str">
        <f>IF('School Level Expenditures'!$B$2=A51,'School Tables'!H51,"")</f>
        <v/>
      </c>
      <c r="J51" s="359" t="str">
        <f>IFERROR(SMALL($I$4:$I$325,ROWS($I$4:I51)),"")</f>
        <v/>
      </c>
      <c r="K51" s="333" t="b">
        <f t="shared" si="0"/>
        <v>0</v>
      </c>
      <c r="L51" s="357">
        <v>199</v>
      </c>
      <c r="M51" s="357" t="s">
        <v>1063</v>
      </c>
      <c r="N51" s="357" t="s">
        <v>1064</v>
      </c>
      <c r="O51" s="357">
        <v>26820</v>
      </c>
      <c r="P51" s="357" t="s">
        <v>1533</v>
      </c>
      <c r="Q51" s="357">
        <v>19</v>
      </c>
      <c r="R51" s="357" t="s">
        <v>1675</v>
      </c>
      <c r="S51" s="359">
        <f>ROWS($Q$4:Q51)</f>
        <v>48</v>
      </c>
      <c r="T51" s="359" t="str">
        <f>IF('School Level Expenditures'!$B$2='School Tables'!L51,'School Tables'!S51,"")</f>
        <v/>
      </c>
      <c r="U51" s="359" t="str">
        <f>IFERROR(SMALL($T$4:$T$75,ROWS($T$4:T51)),"")</f>
        <v/>
      </c>
      <c r="V51" s="333" t="b">
        <f t="shared" si="1"/>
        <v>0</v>
      </c>
      <c r="W51" s="357">
        <v>319</v>
      </c>
      <c r="X51" s="357" t="s">
        <v>1199</v>
      </c>
      <c r="Y51" s="357" t="s">
        <v>1205</v>
      </c>
      <c r="Z51" s="357">
        <v>20490</v>
      </c>
      <c r="AA51" s="357" t="s">
        <v>1534</v>
      </c>
      <c r="AB51" s="357">
        <v>12</v>
      </c>
      <c r="AC51" s="357" t="s">
        <v>1743</v>
      </c>
      <c r="AD51" s="359">
        <f>ROWS($AC$4:AC51)</f>
        <v>48</v>
      </c>
      <c r="AE51" s="359" t="str">
        <f>IF('School Level Expenditures'!$B$2='School Tables'!W51,'School Tables'!AD51,"")</f>
        <v/>
      </c>
      <c r="AF51" s="359" t="str">
        <f>IFERROR(SMALL(AE51:$AE$100,ROWS($AE$4:AE51)),"")</f>
        <v/>
      </c>
      <c r="AG51" s="333" t="b">
        <f t="shared" si="3"/>
        <v>0</v>
      </c>
      <c r="AH51">
        <v>167</v>
      </c>
      <c r="AI51">
        <v>167</v>
      </c>
      <c r="AJ51" t="s">
        <v>1023</v>
      </c>
      <c r="AK51">
        <v>53</v>
      </c>
      <c r="AL51" t="s">
        <v>1664</v>
      </c>
    </row>
    <row r="52" spans="1:38" ht="63.75" x14ac:dyDescent="0.2">
      <c r="A52" s="357">
        <v>17</v>
      </c>
      <c r="B52" s="357" t="s">
        <v>915</v>
      </c>
      <c r="C52" s="357" t="s">
        <v>917</v>
      </c>
      <c r="D52" s="357">
        <v>21750</v>
      </c>
      <c r="E52" s="357" t="s">
        <v>61</v>
      </c>
      <c r="F52" s="357">
        <v>39</v>
      </c>
      <c r="G52" s="357" t="s">
        <v>1692</v>
      </c>
      <c r="H52" s="359">
        <f>ROWS($G$4:G52)</f>
        <v>49</v>
      </c>
      <c r="I52" s="359" t="str">
        <f>IF('School Level Expenditures'!$B$2=A52,'School Tables'!H52,"")</f>
        <v/>
      </c>
      <c r="J52" s="359" t="str">
        <f>IFERROR(SMALL($I$4:$I$325,ROWS($I$4:I52)),"")</f>
        <v/>
      </c>
      <c r="K52" s="333" t="b">
        <f t="shared" si="0"/>
        <v>0</v>
      </c>
      <c r="L52" s="357">
        <v>388</v>
      </c>
      <c r="M52" s="357" t="s">
        <v>1537</v>
      </c>
      <c r="N52" s="357" t="s">
        <v>1310</v>
      </c>
      <c r="O52" s="357">
        <v>26680</v>
      </c>
      <c r="P52" s="357" t="s">
        <v>1533</v>
      </c>
      <c r="Q52" s="357">
        <v>4</v>
      </c>
      <c r="R52" s="357" t="s">
        <v>1683</v>
      </c>
      <c r="S52" s="359">
        <f>ROWS($Q$4:Q52)</f>
        <v>49</v>
      </c>
      <c r="T52" s="359" t="str">
        <f>IF('School Level Expenditures'!$B$2='School Tables'!L52,'School Tables'!S52,"")</f>
        <v/>
      </c>
      <c r="U52" s="359" t="str">
        <f>IFERROR(SMALL($T$4:$T$75,ROWS($T$4:T52)),"")</f>
        <v/>
      </c>
      <c r="V52" s="333" t="b">
        <f t="shared" si="1"/>
        <v>0</v>
      </c>
      <c r="W52" s="357">
        <v>733</v>
      </c>
      <c r="X52" s="357" t="s">
        <v>1519</v>
      </c>
      <c r="Y52" s="357" t="s">
        <v>1520</v>
      </c>
      <c r="Z52" s="357">
        <v>29160</v>
      </c>
      <c r="AA52" s="357" t="s">
        <v>1534</v>
      </c>
      <c r="AB52" s="357">
        <v>418</v>
      </c>
      <c r="AC52" s="357" t="s">
        <v>1519</v>
      </c>
      <c r="AD52" s="359">
        <f>ROWS($AC$4:AC52)</f>
        <v>49</v>
      </c>
      <c r="AE52" s="359" t="str">
        <f>IF('School Level Expenditures'!$B$2='School Tables'!W52,'School Tables'!AD52,"")</f>
        <v/>
      </c>
      <c r="AF52" s="359" t="str">
        <f>IFERROR(SMALL(AE52:$AE$100,ROWS($AE$4:AE52)),"")</f>
        <v/>
      </c>
      <c r="AG52" s="333" t="b">
        <f t="shared" si="3"/>
        <v>0</v>
      </c>
      <c r="AH52">
        <v>171</v>
      </c>
      <c r="AI52">
        <v>171</v>
      </c>
      <c r="AJ52" t="s">
        <v>1025</v>
      </c>
      <c r="AK52">
        <v>20</v>
      </c>
      <c r="AL52" t="s">
        <v>1703</v>
      </c>
    </row>
    <row r="53" spans="1:38" ht="38.25" x14ac:dyDescent="0.2">
      <c r="A53" s="357">
        <v>105</v>
      </c>
      <c r="B53" s="357" t="s">
        <v>968</v>
      </c>
      <c r="C53" s="357" t="s">
        <v>1598</v>
      </c>
      <c r="D53" s="357">
        <v>20195</v>
      </c>
      <c r="E53" s="357" t="s">
        <v>61</v>
      </c>
      <c r="F53" s="357">
        <v>7</v>
      </c>
      <c r="G53" s="357" t="s">
        <v>1693</v>
      </c>
      <c r="H53" s="359">
        <f>ROWS($G$4:G53)</f>
        <v>50</v>
      </c>
      <c r="I53" s="359" t="str">
        <f>IF('School Level Expenditures'!$B$2=A53,'School Tables'!H53,"")</f>
        <v/>
      </c>
      <c r="J53" s="359" t="str">
        <f>IFERROR(SMALL($I$4:$I$325,ROWS($I$4:I53)),"")</f>
        <v/>
      </c>
      <c r="K53" s="333" t="b">
        <f t="shared" si="0"/>
        <v>0</v>
      </c>
      <c r="L53" s="357">
        <v>401</v>
      </c>
      <c r="M53" s="357" t="s">
        <v>1321</v>
      </c>
      <c r="N53" s="357" t="s">
        <v>1322</v>
      </c>
      <c r="O53" s="357">
        <v>26970</v>
      </c>
      <c r="P53" s="357" t="s">
        <v>1533</v>
      </c>
      <c r="Q53" s="357">
        <v>43</v>
      </c>
      <c r="R53" s="357" t="s">
        <v>1757</v>
      </c>
      <c r="S53" s="359">
        <f>ROWS($Q$4:Q53)</f>
        <v>50</v>
      </c>
      <c r="T53" s="359" t="str">
        <f>IF('School Level Expenditures'!$B$2='School Tables'!L53,'School Tables'!S53,"")</f>
        <v/>
      </c>
      <c r="U53" s="359" t="str">
        <f>IFERROR(SMALL($T$4:$T$75,ROWS($T$4:T53)),"")</f>
        <v/>
      </c>
      <c r="V53" s="333" t="b">
        <f t="shared" si="1"/>
        <v>0</v>
      </c>
      <c r="W53" s="357">
        <v>335</v>
      </c>
      <c r="X53" s="357" t="s">
        <v>906</v>
      </c>
      <c r="Y53" s="357" t="s">
        <v>1211</v>
      </c>
      <c r="Z53" s="357">
        <v>21510</v>
      </c>
      <c r="AA53" s="357" t="s">
        <v>1534</v>
      </c>
      <c r="AB53" s="357">
        <v>37</v>
      </c>
      <c r="AC53" s="357" t="s">
        <v>1672</v>
      </c>
      <c r="AD53" s="359">
        <f>ROWS($AC$4:AC53)</f>
        <v>50</v>
      </c>
      <c r="AE53" s="359" t="str">
        <f>IF('School Level Expenditures'!$B$2='School Tables'!W53,'School Tables'!AD53,"")</f>
        <v/>
      </c>
      <c r="AF53" s="359" t="str">
        <f>IFERROR(SMALL(AE53:$AE$100,ROWS($AE$4:AE53)),"")</f>
        <v/>
      </c>
      <c r="AG53" s="333" t="b">
        <f t="shared" si="3"/>
        <v>0</v>
      </c>
      <c r="AH53">
        <v>173</v>
      </c>
      <c r="AI53">
        <v>173</v>
      </c>
      <c r="AJ53" t="s">
        <v>1030</v>
      </c>
      <c r="AK53">
        <v>16</v>
      </c>
      <c r="AL53" t="s">
        <v>1702</v>
      </c>
    </row>
    <row r="54" spans="1:38" ht="63.75" x14ac:dyDescent="0.2">
      <c r="A54" s="357">
        <v>743</v>
      </c>
      <c r="B54" s="357" t="s">
        <v>1529</v>
      </c>
      <c r="C54" s="357" t="s">
        <v>1599</v>
      </c>
      <c r="D54" s="357">
        <v>29166</v>
      </c>
      <c r="E54" s="357" t="s">
        <v>61</v>
      </c>
      <c r="F54" s="357">
        <v>429</v>
      </c>
      <c r="G54" s="357" t="s">
        <v>1529</v>
      </c>
      <c r="H54" s="359">
        <f>ROWS($G$4:G54)</f>
        <v>51</v>
      </c>
      <c r="I54" s="359" t="str">
        <f>IF('School Level Expenditures'!$B$2=A54,'School Tables'!H54,"")</f>
        <v/>
      </c>
      <c r="J54" s="359" t="str">
        <f>IFERROR(SMALL($I$4:$I$325,ROWS($I$4:I54)),"")</f>
        <v/>
      </c>
      <c r="K54" s="333" t="b">
        <f t="shared" si="0"/>
        <v>0</v>
      </c>
      <c r="L54" s="357">
        <v>703</v>
      </c>
      <c r="M54" s="357" t="s">
        <v>1492</v>
      </c>
      <c r="N54" s="357" t="s">
        <v>1493</v>
      </c>
      <c r="O54" s="357">
        <v>28505</v>
      </c>
      <c r="P54" s="357" t="s">
        <v>1533</v>
      </c>
      <c r="Q54" s="357">
        <v>402</v>
      </c>
      <c r="R54" s="357" t="s">
        <v>1492</v>
      </c>
      <c r="S54" s="359">
        <f>ROWS($Q$4:Q54)</f>
        <v>51</v>
      </c>
      <c r="T54" s="359" t="str">
        <f>IF('School Level Expenditures'!$B$2='School Tables'!L54,'School Tables'!S54,"")</f>
        <v/>
      </c>
      <c r="U54" s="359" t="str">
        <f>IFERROR(SMALL($T$4:$T$75,ROWS($T$4:T54)),"")</f>
        <v/>
      </c>
      <c r="V54" s="333" t="b">
        <f t="shared" si="1"/>
        <v>0</v>
      </c>
      <c r="W54" s="357">
        <v>335</v>
      </c>
      <c r="X54" s="357" t="s">
        <v>906</v>
      </c>
      <c r="Y54" s="357" t="s">
        <v>1210</v>
      </c>
      <c r="Z54" s="357">
        <v>21505</v>
      </c>
      <c r="AA54" s="357" t="s">
        <v>1534</v>
      </c>
      <c r="AB54" s="357">
        <v>37</v>
      </c>
      <c r="AC54" s="357" t="s">
        <v>1672</v>
      </c>
      <c r="AD54" s="359">
        <f>ROWS($AC$4:AC54)</f>
        <v>51</v>
      </c>
      <c r="AE54" s="359" t="str">
        <f>IF('School Level Expenditures'!$B$2='School Tables'!W54,'School Tables'!AD54,"")</f>
        <v/>
      </c>
      <c r="AF54" s="359" t="str">
        <f>IFERROR(SMALL(AE54:$AE$100,ROWS($AE$4:AE54)),"")</f>
        <v/>
      </c>
      <c r="AG54" s="333" t="b">
        <f t="shared" si="3"/>
        <v>0</v>
      </c>
      <c r="AH54">
        <v>172</v>
      </c>
      <c r="AI54">
        <v>0</v>
      </c>
      <c r="AJ54" t="s">
        <v>1027</v>
      </c>
      <c r="AK54">
        <v>16</v>
      </c>
      <c r="AL54" t="s">
        <v>1702</v>
      </c>
    </row>
    <row r="55" spans="1:38" ht="51" x14ac:dyDescent="0.2">
      <c r="A55" s="357">
        <v>113</v>
      </c>
      <c r="B55" s="357" t="s">
        <v>989</v>
      </c>
      <c r="C55" s="357" t="s">
        <v>992</v>
      </c>
      <c r="D55" s="357">
        <v>20340</v>
      </c>
      <c r="E55" s="357" t="s">
        <v>61</v>
      </c>
      <c r="F55" s="357">
        <v>9</v>
      </c>
      <c r="G55" s="357" t="s">
        <v>1694</v>
      </c>
      <c r="H55" s="359">
        <f>ROWS($G$4:G55)</f>
        <v>52</v>
      </c>
      <c r="I55" s="359" t="str">
        <f>IF('School Level Expenditures'!$B$2=A55,'School Tables'!H55,"")</f>
        <v/>
      </c>
      <c r="J55" s="359" t="str">
        <f>IFERROR(SMALL($I$4:$I$325,ROWS($I$4:I55)),"")</f>
        <v/>
      </c>
      <c r="K55" s="333" t="b">
        <f t="shared" si="0"/>
        <v>0</v>
      </c>
      <c r="L55" s="357">
        <v>359</v>
      </c>
      <c r="M55" s="357" t="s">
        <v>1267</v>
      </c>
      <c r="N55" s="357" t="s">
        <v>1268</v>
      </c>
      <c r="O55" s="357">
        <v>26540</v>
      </c>
      <c r="P55" s="357" t="s">
        <v>1533</v>
      </c>
      <c r="Q55" s="357">
        <v>64</v>
      </c>
      <c r="R55" s="357" t="s">
        <v>1747</v>
      </c>
      <c r="S55" s="359">
        <f>ROWS($Q$4:Q55)</f>
        <v>52</v>
      </c>
      <c r="T55" s="359" t="str">
        <f>IF('School Level Expenditures'!$B$2='School Tables'!L55,'School Tables'!S55,"")</f>
        <v/>
      </c>
      <c r="U55" s="359" t="str">
        <f>IFERROR(SMALL($T$4:$T$75,ROWS($T$4:T55)),"")</f>
        <v/>
      </c>
      <c r="V55" s="333" t="b">
        <f t="shared" si="1"/>
        <v>0</v>
      </c>
      <c r="W55" s="357">
        <v>335</v>
      </c>
      <c r="X55" s="357" t="s">
        <v>906</v>
      </c>
      <c r="Y55" s="357" t="s">
        <v>1227</v>
      </c>
      <c r="Z55" s="357">
        <v>29085</v>
      </c>
      <c r="AA55" s="357" t="s">
        <v>1534</v>
      </c>
      <c r="AB55" s="357">
        <v>37</v>
      </c>
      <c r="AC55" s="357" t="s">
        <v>1672</v>
      </c>
      <c r="AD55" s="359">
        <f>ROWS($AC$4:AC55)</f>
        <v>52</v>
      </c>
      <c r="AE55" s="359" t="str">
        <f>IF('School Level Expenditures'!$B$2='School Tables'!W55,'School Tables'!AD55,"")</f>
        <v/>
      </c>
      <c r="AF55" s="359" t="str">
        <f>IFERROR(SMALL(AE55:$AE$100,ROWS($AE$4:AE55)),"")</f>
        <v/>
      </c>
      <c r="AG55" s="333" t="b">
        <f t="shared" si="3"/>
        <v>0</v>
      </c>
      <c r="AH55">
        <v>174</v>
      </c>
      <c r="AI55">
        <v>0</v>
      </c>
      <c r="AJ55" t="s">
        <v>1033</v>
      </c>
      <c r="AK55">
        <v>60</v>
      </c>
      <c r="AL55" t="s">
        <v>1662</v>
      </c>
    </row>
    <row r="56" spans="1:38" ht="38.25" x14ac:dyDescent="0.2">
      <c r="A56" s="357">
        <v>115</v>
      </c>
      <c r="B56" s="357" t="s">
        <v>994</v>
      </c>
      <c r="C56" s="357" t="s">
        <v>995</v>
      </c>
      <c r="D56" s="357">
        <v>20175</v>
      </c>
      <c r="E56" s="357" t="s">
        <v>61</v>
      </c>
      <c r="F56" s="357">
        <v>100</v>
      </c>
      <c r="G56" s="357" t="s">
        <v>1695</v>
      </c>
      <c r="H56" s="359">
        <f>ROWS($G$4:G56)</f>
        <v>53</v>
      </c>
      <c r="I56" s="359" t="str">
        <f>IF('School Level Expenditures'!$B$2=A56,'School Tables'!H56,"")</f>
        <v/>
      </c>
      <c r="J56" s="359" t="str">
        <f>IFERROR(SMALL($I$4:$I$325,ROWS($I$4:I56)),"")</f>
        <v/>
      </c>
      <c r="K56" s="333" t="b">
        <f t="shared" si="0"/>
        <v>0</v>
      </c>
      <c r="L56" s="357">
        <v>423</v>
      </c>
      <c r="M56" s="357" t="s">
        <v>1335</v>
      </c>
      <c r="N56" s="357" t="s">
        <v>1337</v>
      </c>
      <c r="O56" s="357">
        <v>22790</v>
      </c>
      <c r="P56" s="357" t="s">
        <v>1533</v>
      </c>
      <c r="Q56" s="357">
        <v>5</v>
      </c>
      <c r="R56" s="357" t="s">
        <v>1742</v>
      </c>
      <c r="S56" s="359">
        <f>ROWS($Q$4:Q56)</f>
        <v>53</v>
      </c>
      <c r="T56" s="359" t="str">
        <f>IF('School Level Expenditures'!$B$2='School Tables'!L56,'School Tables'!S56,"")</f>
        <v/>
      </c>
      <c r="U56" s="359" t="str">
        <f>IFERROR(SMALL($T$4:$T$75,ROWS($T$4:T56)),"")</f>
        <v/>
      </c>
      <c r="V56" s="333" t="b">
        <f t="shared" si="1"/>
        <v>0</v>
      </c>
      <c r="W56" s="357">
        <v>335</v>
      </c>
      <c r="X56" s="357" t="s">
        <v>906</v>
      </c>
      <c r="Y56" s="357" t="s">
        <v>1217</v>
      </c>
      <c r="Z56" s="357">
        <v>21555</v>
      </c>
      <c r="AA56" s="357" t="s">
        <v>1534</v>
      </c>
      <c r="AB56" s="357">
        <v>37</v>
      </c>
      <c r="AC56" s="357" t="s">
        <v>1672</v>
      </c>
      <c r="AD56" s="359">
        <f>ROWS($AC$4:AC56)</f>
        <v>53</v>
      </c>
      <c r="AE56" s="359" t="str">
        <f>IF('School Level Expenditures'!$B$2='School Tables'!W56,'School Tables'!AD56,"")</f>
        <v/>
      </c>
      <c r="AF56" s="359" t="str">
        <f>IFERROR(SMALL(AE56:$AE$100,ROWS($AE$4:AE56)),"")</f>
        <v/>
      </c>
      <c r="AG56" s="333" t="b">
        <f t="shared" si="3"/>
        <v>0</v>
      </c>
      <c r="AH56">
        <v>175</v>
      </c>
      <c r="AI56">
        <v>175</v>
      </c>
      <c r="AJ56" t="s">
        <v>1045</v>
      </c>
      <c r="AK56">
        <v>61</v>
      </c>
      <c r="AL56" t="s">
        <v>1724</v>
      </c>
    </row>
    <row r="57" spans="1:38" ht="51" x14ac:dyDescent="0.2">
      <c r="A57" s="357">
        <v>208</v>
      </c>
      <c r="B57" s="357" t="s">
        <v>1072</v>
      </c>
      <c r="C57" s="357" t="s">
        <v>1080</v>
      </c>
      <c r="D57" s="357">
        <v>27515</v>
      </c>
      <c r="E57" s="357" t="s">
        <v>61</v>
      </c>
      <c r="F57" s="357">
        <v>49</v>
      </c>
      <c r="G57" s="357" t="s">
        <v>1687</v>
      </c>
      <c r="H57" s="359">
        <f>ROWS($G$4:G57)</f>
        <v>54</v>
      </c>
      <c r="I57" s="359" t="str">
        <f>IF('School Level Expenditures'!$B$2=A57,'School Tables'!H57,"")</f>
        <v/>
      </c>
      <c r="J57" s="359" t="str">
        <f>IFERROR(SMALL($I$4:$I$325,ROWS($I$4:I57)),"")</f>
        <v/>
      </c>
      <c r="K57" s="333" t="b">
        <f t="shared" si="0"/>
        <v>0</v>
      </c>
      <c r="L57" s="357">
        <v>371</v>
      </c>
      <c r="M57" s="357" t="s">
        <v>1283</v>
      </c>
      <c r="N57" s="357" t="s">
        <v>1284</v>
      </c>
      <c r="O57" s="357">
        <v>21825</v>
      </c>
      <c r="P57" s="357" t="s">
        <v>1533</v>
      </c>
      <c r="Q57" s="357">
        <v>42</v>
      </c>
      <c r="R57" s="357" t="s">
        <v>1666</v>
      </c>
      <c r="S57" s="359">
        <f>ROWS($Q$4:Q57)</f>
        <v>54</v>
      </c>
      <c r="T57" s="359" t="str">
        <f>IF('School Level Expenditures'!$B$2='School Tables'!L57,'School Tables'!S57,"")</f>
        <v/>
      </c>
      <c r="U57" s="359" t="str">
        <f>IFERROR(SMALL($T$4:$T$75,ROWS($T$4:T57)),"")</f>
        <v/>
      </c>
      <c r="V57" s="333" t="b">
        <f t="shared" si="1"/>
        <v>0</v>
      </c>
      <c r="W57" s="357">
        <v>342</v>
      </c>
      <c r="X57" s="357" t="s">
        <v>1232</v>
      </c>
      <c r="Y57" s="357" t="s">
        <v>1234</v>
      </c>
      <c r="Z57" s="357">
        <v>23050</v>
      </c>
      <c r="AA57" s="357" t="s">
        <v>1534</v>
      </c>
      <c r="AB57" s="357">
        <v>87</v>
      </c>
      <c r="AC57" s="357" t="s">
        <v>1726</v>
      </c>
      <c r="AD57" s="359">
        <f>ROWS($AC$4:AC57)</f>
        <v>54</v>
      </c>
      <c r="AE57" s="359" t="str">
        <f>IF('School Level Expenditures'!$B$2='School Tables'!W57,'School Tables'!AD57,"")</f>
        <v/>
      </c>
      <c r="AF57" s="359" t="str">
        <f>IFERROR(SMALL(AE57:$AE$100,ROWS($AE$4:AE57)),"")</f>
        <v/>
      </c>
      <c r="AG57" s="333" t="b">
        <f t="shared" si="3"/>
        <v>0</v>
      </c>
      <c r="AH57">
        <v>185</v>
      </c>
      <c r="AI57">
        <v>185</v>
      </c>
      <c r="AJ57" t="s">
        <v>1049</v>
      </c>
      <c r="AK57">
        <v>18</v>
      </c>
      <c r="AL57" t="s">
        <v>1708</v>
      </c>
    </row>
    <row r="58" spans="1:38" ht="38.25" x14ac:dyDescent="0.2">
      <c r="A58" s="357">
        <v>117</v>
      </c>
      <c r="B58" s="357" t="s">
        <v>996</v>
      </c>
      <c r="C58" s="357" t="s">
        <v>997</v>
      </c>
      <c r="D58" s="357">
        <v>21960</v>
      </c>
      <c r="E58" s="357" t="s">
        <v>61</v>
      </c>
      <c r="F58" s="357">
        <v>99</v>
      </c>
      <c r="G58" s="357" t="s">
        <v>1696</v>
      </c>
      <c r="H58" s="359">
        <f>ROWS($G$4:G58)</f>
        <v>55</v>
      </c>
      <c r="I58" s="359" t="str">
        <f>IF('School Level Expenditures'!$B$2=A58,'School Tables'!H58,"")</f>
        <v/>
      </c>
      <c r="J58" s="359" t="str">
        <f>IFERROR(SMALL($I$4:$I$325,ROWS($I$4:I58)),"")</f>
        <v/>
      </c>
      <c r="K58" s="333" t="b">
        <f t="shared" si="0"/>
        <v>0</v>
      </c>
      <c r="L58" s="357">
        <v>439</v>
      </c>
      <c r="M58" s="357" t="s">
        <v>1355</v>
      </c>
      <c r="N58" s="357" t="s">
        <v>1357</v>
      </c>
      <c r="O58" s="357">
        <v>26550</v>
      </c>
      <c r="P58" s="357" t="s">
        <v>1533</v>
      </c>
      <c r="Q58" s="357">
        <v>51</v>
      </c>
      <c r="R58" s="357" t="s">
        <v>1755</v>
      </c>
      <c r="S58" s="359">
        <f>ROWS($Q$4:Q58)</f>
        <v>55</v>
      </c>
      <c r="T58" s="359" t="str">
        <f>IF('School Level Expenditures'!$B$2='School Tables'!L58,'School Tables'!S58,"")</f>
        <v/>
      </c>
      <c r="U58" s="359" t="str">
        <f>IFERROR(SMALL($T$4:$T$75,ROWS($T$4:T58)),"")</f>
        <v/>
      </c>
      <c r="V58" s="333" t="b">
        <f t="shared" si="1"/>
        <v>0</v>
      </c>
      <c r="W58" s="357">
        <v>343</v>
      </c>
      <c r="X58" s="357" t="s">
        <v>1236</v>
      </c>
      <c r="Y58" s="357" t="s">
        <v>1237</v>
      </c>
      <c r="Z58" s="357">
        <v>21305</v>
      </c>
      <c r="AA58" s="357" t="s">
        <v>1534</v>
      </c>
      <c r="AB58" s="357">
        <v>62</v>
      </c>
      <c r="AC58" s="357" t="s">
        <v>1685</v>
      </c>
      <c r="AD58" s="359">
        <f>ROWS($AC$4:AC58)</f>
        <v>55</v>
      </c>
      <c r="AE58" s="359" t="str">
        <f>IF('School Level Expenditures'!$B$2='School Tables'!W58,'School Tables'!AD58,"")</f>
        <v/>
      </c>
      <c r="AF58" s="359" t="str">
        <f>IFERROR(SMALL(AE58:$AE$100,ROWS($AE$4:AE58)),"")</f>
        <v/>
      </c>
      <c r="AG58" s="333" t="b">
        <f t="shared" si="3"/>
        <v>0</v>
      </c>
      <c r="AH58">
        <v>187</v>
      </c>
      <c r="AI58">
        <v>187</v>
      </c>
      <c r="AJ58" t="s">
        <v>1053</v>
      </c>
      <c r="AK58">
        <v>13</v>
      </c>
      <c r="AL58" t="s">
        <v>1709</v>
      </c>
    </row>
    <row r="59" spans="1:38" ht="38.25" x14ac:dyDescent="0.2">
      <c r="A59" s="357">
        <v>363</v>
      </c>
      <c r="B59" s="357" t="s">
        <v>1271</v>
      </c>
      <c r="C59" s="357" t="s">
        <v>1600</v>
      </c>
      <c r="D59" s="357">
        <v>21715</v>
      </c>
      <c r="E59" s="357" t="s">
        <v>61</v>
      </c>
      <c r="F59" s="357">
        <v>93</v>
      </c>
      <c r="G59" s="357" t="s">
        <v>1697</v>
      </c>
      <c r="H59" s="359">
        <f>ROWS($G$4:G59)</f>
        <v>56</v>
      </c>
      <c r="I59" s="359" t="str">
        <f>IF('School Level Expenditures'!$B$2=A59,'School Tables'!H59,"")</f>
        <v/>
      </c>
      <c r="J59" s="359" t="str">
        <f>IFERROR(SMALL($I$4:$I$325,ROWS($I$4:I59)),"")</f>
        <v/>
      </c>
      <c r="K59" s="333" t="b">
        <f t="shared" si="0"/>
        <v>0</v>
      </c>
      <c r="L59" s="357">
        <v>449</v>
      </c>
      <c r="M59" s="357" t="s">
        <v>1363</v>
      </c>
      <c r="N59" s="357" t="s">
        <v>1364</v>
      </c>
      <c r="O59" s="357">
        <v>22510</v>
      </c>
      <c r="P59" s="357" t="s">
        <v>1533</v>
      </c>
      <c r="Q59" s="357">
        <v>52</v>
      </c>
      <c r="R59" s="357" t="s">
        <v>1739</v>
      </c>
      <c r="S59" s="359">
        <f>ROWS($Q$4:Q59)</f>
        <v>56</v>
      </c>
      <c r="T59" s="359" t="str">
        <f>IF('School Level Expenditures'!$B$2='School Tables'!L59,'School Tables'!S59,"")</f>
        <v/>
      </c>
      <c r="U59" s="359" t="str">
        <f>IFERROR(SMALL($T$4:$T$75,ROWS($T$4:T59)),"")</f>
        <v/>
      </c>
      <c r="V59" s="333" t="b">
        <f t="shared" si="1"/>
        <v>0</v>
      </c>
      <c r="W59" s="357">
        <v>351</v>
      </c>
      <c r="X59" s="357" t="s">
        <v>1243</v>
      </c>
      <c r="Y59" s="357" t="s">
        <v>1249</v>
      </c>
      <c r="Z59" s="357">
        <v>21040</v>
      </c>
      <c r="AA59" s="357" t="s">
        <v>1534</v>
      </c>
      <c r="AB59" s="357">
        <v>26</v>
      </c>
      <c r="AC59" s="357" t="s">
        <v>1732</v>
      </c>
      <c r="AD59" s="359">
        <f>ROWS($AC$4:AC59)</f>
        <v>56</v>
      </c>
      <c r="AE59" s="359" t="str">
        <f>IF('School Level Expenditures'!$B$2='School Tables'!W59,'School Tables'!AD59,"")</f>
        <v/>
      </c>
      <c r="AF59" s="359" t="str">
        <f>IFERROR(SMALL(AE59:$AE$100,ROWS($AE$4:AE59)),"")</f>
        <v/>
      </c>
      <c r="AG59" s="333" t="b">
        <f t="shared" si="3"/>
        <v>0</v>
      </c>
      <c r="AH59">
        <v>189</v>
      </c>
      <c r="AI59">
        <v>189</v>
      </c>
      <c r="AJ59" t="s">
        <v>1055</v>
      </c>
      <c r="AK59">
        <v>83</v>
      </c>
      <c r="AL59" t="s">
        <v>1704</v>
      </c>
    </row>
    <row r="60" spans="1:38" ht="51" x14ac:dyDescent="0.2">
      <c r="A60" s="357">
        <v>388</v>
      </c>
      <c r="B60" s="357" t="s">
        <v>1537</v>
      </c>
      <c r="C60" s="357" t="s">
        <v>1313</v>
      </c>
      <c r="D60" s="357">
        <v>20095</v>
      </c>
      <c r="E60" s="357" t="s">
        <v>61</v>
      </c>
      <c r="F60" s="357">
        <v>4</v>
      </c>
      <c r="G60" s="357" t="s">
        <v>1683</v>
      </c>
      <c r="H60" s="359">
        <f>ROWS($G$4:G60)</f>
        <v>57</v>
      </c>
      <c r="I60" s="359" t="str">
        <f>IF('School Level Expenditures'!$B$2=A60,'School Tables'!H60,"")</f>
        <v/>
      </c>
      <c r="J60" s="359" t="str">
        <f>IFERROR(SMALL($I$4:$I$325,ROWS($I$4:I60)),"")</f>
        <v/>
      </c>
      <c r="K60" s="333" t="b">
        <f t="shared" si="0"/>
        <v>0</v>
      </c>
      <c r="L60" s="357">
        <v>450</v>
      </c>
      <c r="M60" s="357" t="s">
        <v>1369</v>
      </c>
      <c r="N60" s="357" t="s">
        <v>1371</v>
      </c>
      <c r="O60" s="357">
        <v>26990</v>
      </c>
      <c r="P60" s="357" t="s">
        <v>1533</v>
      </c>
      <c r="Q60" s="357">
        <v>35</v>
      </c>
      <c r="R60" s="357" t="s">
        <v>1680</v>
      </c>
      <c r="S60" s="359">
        <f>ROWS($Q$4:Q60)</f>
        <v>57</v>
      </c>
      <c r="T60" s="359" t="str">
        <f>IF('School Level Expenditures'!$B$2='School Tables'!L60,'School Tables'!S60,"")</f>
        <v/>
      </c>
      <c r="U60" s="359" t="str">
        <f>IFERROR(SMALL($T$4:$T$75,ROWS($T$4:T60)),"")</f>
        <v/>
      </c>
      <c r="V60" s="333" t="b">
        <f t="shared" si="1"/>
        <v>0</v>
      </c>
      <c r="W60" s="357">
        <v>352</v>
      </c>
      <c r="X60" s="357" t="s">
        <v>1250</v>
      </c>
      <c r="Y60" s="357" t="s">
        <v>1255</v>
      </c>
      <c r="Z60" s="357">
        <v>22195</v>
      </c>
      <c r="AA60" s="357" t="s">
        <v>1534</v>
      </c>
      <c r="AB60" s="357">
        <v>46</v>
      </c>
      <c r="AC60" s="357" t="s">
        <v>1667</v>
      </c>
      <c r="AD60" s="359">
        <f>ROWS($AC$4:AC60)</f>
        <v>57</v>
      </c>
      <c r="AE60" s="359" t="str">
        <f>IF('School Level Expenditures'!$B$2='School Tables'!W60,'School Tables'!AD60,"")</f>
        <v/>
      </c>
      <c r="AF60" s="359" t="str">
        <f>IFERROR(SMALL(AE60:$AE$100,ROWS($AE$4:AE60)),"")</f>
        <v/>
      </c>
      <c r="AG60" s="333" t="b">
        <f t="shared" si="3"/>
        <v>0</v>
      </c>
      <c r="AH60" s="360">
        <v>742</v>
      </c>
      <c r="AI60" s="360">
        <v>742</v>
      </c>
      <c r="AJ60" s="360" t="s">
        <v>1527</v>
      </c>
      <c r="AK60" s="360">
        <v>425</v>
      </c>
      <c r="AL60" s="360" t="s">
        <v>1527</v>
      </c>
    </row>
    <row r="61" spans="1:38" ht="51" x14ac:dyDescent="0.2">
      <c r="A61" s="357">
        <v>476</v>
      </c>
      <c r="B61" s="357" t="s">
        <v>1403</v>
      </c>
      <c r="C61" s="357" t="s">
        <v>1405</v>
      </c>
      <c r="D61" s="357">
        <v>20625</v>
      </c>
      <c r="E61" s="357" t="s">
        <v>61</v>
      </c>
      <c r="F61" s="357">
        <v>17</v>
      </c>
      <c r="G61" s="357" t="s">
        <v>1698</v>
      </c>
      <c r="H61" s="359">
        <f>ROWS($G$4:G61)</f>
        <v>58</v>
      </c>
      <c r="I61" s="359" t="str">
        <f>IF('School Level Expenditures'!$B$2=A61,'School Tables'!H61,"")</f>
        <v/>
      </c>
      <c r="J61" s="359" t="str">
        <f>IFERROR(SMALL($I$4:$I$325,ROWS($I$4:I61)),"")</f>
        <v/>
      </c>
      <c r="K61" s="333" t="b">
        <f t="shared" si="0"/>
        <v>0</v>
      </c>
      <c r="L61" s="357">
        <v>461</v>
      </c>
      <c r="M61" s="357" t="s">
        <v>1376</v>
      </c>
      <c r="N61" s="357" t="s">
        <v>1384</v>
      </c>
      <c r="O61" s="357">
        <v>22705</v>
      </c>
      <c r="P61" s="357" t="s">
        <v>1533</v>
      </c>
      <c r="Q61" s="357">
        <v>54</v>
      </c>
      <c r="R61" s="357" t="s">
        <v>1689</v>
      </c>
      <c r="S61" s="359">
        <f>ROWS($Q$4:Q61)</f>
        <v>58</v>
      </c>
      <c r="T61" s="359" t="str">
        <f>IF('School Level Expenditures'!$B$2='School Tables'!L61,'School Tables'!S61,"")</f>
        <v/>
      </c>
      <c r="U61" s="359" t="str">
        <f>IFERROR(SMALL($T$4:$T$75,ROWS($T$4:T61)),"")</f>
        <v/>
      </c>
      <c r="V61" s="333" t="b">
        <f t="shared" si="1"/>
        <v>0</v>
      </c>
      <c r="W61" s="357">
        <v>357</v>
      </c>
      <c r="X61" s="357" t="s">
        <v>1262</v>
      </c>
      <c r="Y61" s="357" t="s">
        <v>1264</v>
      </c>
      <c r="Z61" s="357">
        <v>21765</v>
      </c>
      <c r="AA61" s="357" t="s">
        <v>1534</v>
      </c>
      <c r="AB61" s="357">
        <v>40</v>
      </c>
      <c r="AC61" s="357" t="s">
        <v>1725</v>
      </c>
      <c r="AD61" s="359">
        <f>ROWS($AC$4:AC61)</f>
        <v>58</v>
      </c>
      <c r="AE61" s="359" t="str">
        <f>IF('School Level Expenditures'!$B$2='School Tables'!W61,'School Tables'!AD61,"")</f>
        <v/>
      </c>
      <c r="AF61" s="359" t="str">
        <f>IFERROR(SMALL(AE61:$AE$100,ROWS($AE$4:AE61)),"")</f>
        <v/>
      </c>
      <c r="AG61" s="333" t="b">
        <f t="shared" si="3"/>
        <v>0</v>
      </c>
      <c r="AH61" s="360">
        <v>750</v>
      </c>
      <c r="AI61" s="360">
        <v>750</v>
      </c>
      <c r="AJ61" s="360" t="s">
        <v>1711</v>
      </c>
      <c r="AK61" s="360">
        <v>450</v>
      </c>
      <c r="AL61" s="360" t="s">
        <v>1713</v>
      </c>
    </row>
    <row r="62" spans="1:38" ht="51" x14ac:dyDescent="0.2">
      <c r="A62" s="357">
        <v>534</v>
      </c>
      <c r="B62" s="357" t="s">
        <v>1443</v>
      </c>
      <c r="C62" s="357" t="s">
        <v>1446</v>
      </c>
      <c r="D62" s="357">
        <v>22745</v>
      </c>
      <c r="E62" s="357" t="s">
        <v>61</v>
      </c>
      <c r="F62" s="357">
        <v>106</v>
      </c>
      <c r="G62" s="357" t="s">
        <v>1670</v>
      </c>
      <c r="H62" s="359">
        <f>ROWS($G$4:G62)</f>
        <v>59</v>
      </c>
      <c r="I62" s="359" t="str">
        <f>IF('School Level Expenditures'!$B$2=A62,'School Tables'!H62,"")</f>
        <v/>
      </c>
      <c r="J62" s="359" t="str">
        <f>IFERROR(SMALL($I$4:$I$325,ROWS($I$4:I62)),"")</f>
        <v/>
      </c>
      <c r="K62" s="333" t="b">
        <f t="shared" si="0"/>
        <v>0</v>
      </c>
      <c r="L62" s="357">
        <v>41</v>
      </c>
      <c r="M62" s="357" t="s">
        <v>934</v>
      </c>
      <c r="N62" s="357" t="s">
        <v>939</v>
      </c>
      <c r="O62" s="357">
        <v>28560</v>
      </c>
      <c r="P62" s="357" t="s">
        <v>1533</v>
      </c>
      <c r="Q62" s="357">
        <v>25</v>
      </c>
      <c r="R62" s="357" t="s">
        <v>1744</v>
      </c>
      <c r="S62" s="359">
        <f>ROWS($Q$4:Q62)</f>
        <v>59</v>
      </c>
      <c r="T62" s="359" t="str">
        <f>IF('School Level Expenditures'!$B$2='School Tables'!L62,'School Tables'!S62,"")</f>
        <v/>
      </c>
      <c r="U62" s="359" t="str">
        <f>IFERROR(SMALL($T$4:$T$75,ROWS($T$4:T62)),"")</f>
        <v/>
      </c>
      <c r="V62" s="333" t="b">
        <f t="shared" si="1"/>
        <v>0</v>
      </c>
      <c r="W62" s="357">
        <v>363</v>
      </c>
      <c r="X62" s="357" t="s">
        <v>1271</v>
      </c>
      <c r="Y62" s="357" t="s">
        <v>1273</v>
      </c>
      <c r="Z62" s="357">
        <v>21700</v>
      </c>
      <c r="AA62" s="357" t="s">
        <v>1534</v>
      </c>
      <c r="AB62" s="357">
        <v>93</v>
      </c>
      <c r="AC62" s="357" t="s">
        <v>1697</v>
      </c>
      <c r="AD62" s="359">
        <f>ROWS($AC$4:AC62)</f>
        <v>59</v>
      </c>
      <c r="AE62" s="359" t="str">
        <f>IF('School Level Expenditures'!$B$2='School Tables'!W62,'School Tables'!AD62,"")</f>
        <v/>
      </c>
      <c r="AF62" s="359" t="str">
        <f>IFERROR(SMALL(AE62:$AE$100,ROWS($AE$4:AE62)),"")</f>
        <v/>
      </c>
      <c r="AG62" s="333" t="b">
        <f t="shared" si="3"/>
        <v>0</v>
      </c>
      <c r="AH62">
        <v>191</v>
      </c>
      <c r="AI62">
        <v>191</v>
      </c>
      <c r="AJ62" t="s">
        <v>1057</v>
      </c>
      <c r="AK62">
        <v>73</v>
      </c>
      <c r="AL62" t="s">
        <v>1714</v>
      </c>
    </row>
    <row r="63" spans="1:38" ht="38.25" x14ac:dyDescent="0.2">
      <c r="A63" s="357">
        <v>127</v>
      </c>
      <c r="B63" s="357" t="s">
        <v>998</v>
      </c>
      <c r="C63" s="357" t="s">
        <v>999</v>
      </c>
      <c r="D63" s="357">
        <v>22595</v>
      </c>
      <c r="E63" s="357" t="s">
        <v>61</v>
      </c>
      <c r="F63" s="357">
        <v>53</v>
      </c>
      <c r="G63" s="357" t="s">
        <v>1664</v>
      </c>
      <c r="H63" s="359">
        <f>ROWS($G$4:G63)</f>
        <v>60</v>
      </c>
      <c r="I63" s="359" t="str">
        <f>IF('School Level Expenditures'!$B$2=A63,'School Tables'!H63,"")</f>
        <v/>
      </c>
      <c r="J63" s="359" t="str">
        <f>IFERROR(SMALL($I$4:$I$325,ROWS($I$4:I63)),"")</f>
        <v/>
      </c>
      <c r="K63" s="333" t="b">
        <f t="shared" si="0"/>
        <v>0</v>
      </c>
      <c r="L63" s="357">
        <v>111</v>
      </c>
      <c r="M63" s="357" t="s">
        <v>969</v>
      </c>
      <c r="N63" s="357" t="s">
        <v>974</v>
      </c>
      <c r="O63" s="357">
        <v>20270</v>
      </c>
      <c r="P63" s="357" t="s">
        <v>1533</v>
      </c>
      <c r="Q63" s="357">
        <v>8</v>
      </c>
      <c r="R63" s="357" t="s">
        <v>1661</v>
      </c>
      <c r="S63" s="359">
        <f>ROWS($Q$4:Q63)</f>
        <v>60</v>
      </c>
      <c r="T63" s="359" t="str">
        <f>IF('School Level Expenditures'!$B$2='School Tables'!L63,'School Tables'!S63,"")</f>
        <v/>
      </c>
      <c r="U63" s="359" t="str">
        <f>IFERROR(SMALL($T$4:$T$75,ROWS($T$4:T63)),"")</f>
        <v/>
      </c>
      <c r="V63" s="333" t="b">
        <f t="shared" si="1"/>
        <v>0</v>
      </c>
      <c r="W63" s="357">
        <v>369</v>
      </c>
      <c r="X63" s="357" t="s">
        <v>1280</v>
      </c>
      <c r="Y63" s="357" t="s">
        <v>1282</v>
      </c>
      <c r="Z63" s="357">
        <v>22120</v>
      </c>
      <c r="AA63" s="357" t="s">
        <v>1534</v>
      </c>
      <c r="AB63" s="357">
        <v>45</v>
      </c>
      <c r="AC63" s="357" t="s">
        <v>1749</v>
      </c>
      <c r="AD63" s="359">
        <f>ROWS($AC$4:AC63)</f>
        <v>60</v>
      </c>
      <c r="AE63" s="359" t="str">
        <f>IF('School Level Expenditures'!$B$2='School Tables'!W63,'School Tables'!AD63,"")</f>
        <v/>
      </c>
      <c r="AF63" s="359" t="str">
        <f>IFERROR(SMALL(AE63:$AE$100,ROWS($AE$4:AE63)),"")</f>
        <v/>
      </c>
      <c r="AG63" s="333" t="b">
        <f t="shared" si="3"/>
        <v>0</v>
      </c>
      <c r="AH63">
        <v>195</v>
      </c>
      <c r="AI63">
        <v>195</v>
      </c>
      <c r="AJ63" t="s">
        <v>1061</v>
      </c>
      <c r="AK63">
        <v>79</v>
      </c>
      <c r="AL63" t="s">
        <v>1715</v>
      </c>
    </row>
    <row r="64" spans="1:38" ht="51" x14ac:dyDescent="0.2">
      <c r="A64" s="357">
        <v>131</v>
      </c>
      <c r="B64" s="357" t="s">
        <v>1000</v>
      </c>
      <c r="C64" s="357" t="s">
        <v>1555</v>
      </c>
      <c r="D64" s="357">
        <v>29156</v>
      </c>
      <c r="E64" s="357" t="s">
        <v>1554</v>
      </c>
      <c r="F64" s="357">
        <v>10</v>
      </c>
      <c r="G64" s="357" t="s">
        <v>1699</v>
      </c>
      <c r="H64" s="359">
        <f>ROWS($G$4:G64)</f>
        <v>61</v>
      </c>
      <c r="I64" s="359" t="str">
        <f>IF('School Level Expenditures'!$B$2=A64,'School Tables'!H64,"")</f>
        <v/>
      </c>
      <c r="J64" s="359" t="str">
        <f>IFERROR(SMALL($I$4:$I$325,ROWS($I$4:I64)),"")</f>
        <v/>
      </c>
      <c r="K64" s="333" t="b">
        <f t="shared" si="0"/>
        <v>0</v>
      </c>
      <c r="L64" s="357">
        <v>476</v>
      </c>
      <c r="M64" s="357" t="s">
        <v>1403</v>
      </c>
      <c r="N64" s="357" t="s">
        <v>1406</v>
      </c>
      <c r="O64" s="357">
        <v>20630</v>
      </c>
      <c r="P64" s="357" t="s">
        <v>1533</v>
      </c>
      <c r="Q64" s="357">
        <v>17</v>
      </c>
      <c r="R64" s="357" t="s">
        <v>1698</v>
      </c>
      <c r="S64" s="359">
        <f>ROWS($Q$4:Q64)</f>
        <v>61</v>
      </c>
      <c r="T64" s="359" t="str">
        <f>IF('School Level Expenditures'!$B$2='School Tables'!L64,'School Tables'!S64,"")</f>
        <v/>
      </c>
      <c r="U64" s="359" t="str">
        <f>IFERROR(SMALL($T$4:$T$75,ROWS($T$4:T64)),"")</f>
        <v/>
      </c>
      <c r="V64" s="333" t="b">
        <f t="shared" si="1"/>
        <v>0</v>
      </c>
      <c r="W64" s="357">
        <v>371</v>
      </c>
      <c r="X64" s="357" t="s">
        <v>1283</v>
      </c>
      <c r="Y64" s="357" t="s">
        <v>1300</v>
      </c>
      <c r="Z64" s="357">
        <v>27960</v>
      </c>
      <c r="AA64" s="357" t="s">
        <v>1534</v>
      </c>
      <c r="AB64" s="357">
        <v>42</v>
      </c>
      <c r="AC64" s="357" t="s">
        <v>1666</v>
      </c>
      <c r="AD64" s="359">
        <f>ROWS($AC$4:AC64)</f>
        <v>61</v>
      </c>
      <c r="AE64" s="359" t="str">
        <f>IF('School Level Expenditures'!$B$2='School Tables'!W64,'School Tables'!AD64,"")</f>
        <v/>
      </c>
      <c r="AF64" s="359" t="str">
        <f>IFERROR(SMALL(AE64:$AE$100,ROWS($AE$4:AE64)),"")</f>
        <v/>
      </c>
      <c r="AG64" s="333" t="b">
        <f t="shared" si="3"/>
        <v>0</v>
      </c>
      <c r="AH64">
        <v>199</v>
      </c>
      <c r="AI64">
        <v>199</v>
      </c>
      <c r="AJ64" t="s">
        <v>1063</v>
      </c>
      <c r="AK64">
        <v>19</v>
      </c>
      <c r="AL64" t="s">
        <v>1675</v>
      </c>
    </row>
    <row r="65" spans="1:38" ht="38.25" x14ac:dyDescent="0.2">
      <c r="A65" s="357">
        <v>131</v>
      </c>
      <c r="B65" s="357" t="s">
        <v>1000</v>
      </c>
      <c r="C65" s="357" t="s">
        <v>1004</v>
      </c>
      <c r="D65" s="357">
        <v>20380</v>
      </c>
      <c r="E65" s="357" t="s">
        <v>61</v>
      </c>
      <c r="F65" s="357">
        <v>10</v>
      </c>
      <c r="G65" s="357" t="s">
        <v>1699</v>
      </c>
      <c r="H65" s="359">
        <f>ROWS($G$4:G65)</f>
        <v>62</v>
      </c>
      <c r="I65" s="359" t="str">
        <f>IF('School Level Expenditures'!$B$2=A65,'School Tables'!H65,"")</f>
        <v/>
      </c>
      <c r="J65" s="359" t="str">
        <f>IFERROR(SMALL($I$4:$I$325,ROWS($I$4:I65)),"")</f>
        <v/>
      </c>
      <c r="K65" s="333" t="b">
        <f t="shared" si="0"/>
        <v>0</v>
      </c>
      <c r="L65" s="357">
        <v>491</v>
      </c>
      <c r="M65" s="357" t="s">
        <v>1415</v>
      </c>
      <c r="N65" s="357" t="s">
        <v>1416</v>
      </c>
      <c r="O65" s="357">
        <v>22830</v>
      </c>
      <c r="P65" s="357" t="s">
        <v>1533</v>
      </c>
      <c r="Q65" s="357">
        <v>56</v>
      </c>
      <c r="R65" s="357" t="s">
        <v>1729</v>
      </c>
      <c r="S65" s="359">
        <f>ROWS($Q$4:Q65)</f>
        <v>62</v>
      </c>
      <c r="T65" s="359" t="str">
        <f>IF('School Level Expenditures'!$B$2='School Tables'!L65,'School Tables'!S65,"")</f>
        <v/>
      </c>
      <c r="U65" s="359" t="str">
        <f>IFERROR(SMALL($T$4:$T$75,ROWS($T$4:T65)),"")</f>
        <v/>
      </c>
      <c r="V65" s="333" t="b">
        <f t="shared" si="1"/>
        <v>0</v>
      </c>
      <c r="W65" s="357">
        <v>371</v>
      </c>
      <c r="X65" s="357" t="s">
        <v>1283</v>
      </c>
      <c r="Y65" s="357" t="s">
        <v>1289</v>
      </c>
      <c r="Z65" s="357">
        <v>21860</v>
      </c>
      <c r="AA65" s="357" t="s">
        <v>1534</v>
      </c>
      <c r="AB65" s="357">
        <v>42</v>
      </c>
      <c r="AC65" s="357" t="s">
        <v>1666</v>
      </c>
      <c r="AD65" s="359">
        <f>ROWS($AC$4:AC65)</f>
        <v>62</v>
      </c>
      <c r="AE65" s="359" t="str">
        <f>IF('School Level Expenditures'!$B$2='School Tables'!W65,'School Tables'!AD65,"")</f>
        <v/>
      </c>
      <c r="AF65" s="359" t="str">
        <f>IFERROR(SMALL(AE65:$AE$100,ROWS($AE$4:AE65)),"")</f>
        <v/>
      </c>
      <c r="AG65" s="333" t="b">
        <f t="shared" si="3"/>
        <v>0</v>
      </c>
      <c r="AH65">
        <v>203</v>
      </c>
      <c r="AI65">
        <v>0</v>
      </c>
      <c r="AJ65" t="s">
        <v>1068</v>
      </c>
      <c r="AK65">
        <v>20</v>
      </c>
      <c r="AL65" t="s">
        <v>1703</v>
      </c>
    </row>
    <row r="66" spans="1:38" ht="38.25" x14ac:dyDescent="0.2">
      <c r="A66" s="357">
        <v>101</v>
      </c>
      <c r="B66" s="357" t="s">
        <v>963</v>
      </c>
      <c r="C66" s="357" t="s">
        <v>967</v>
      </c>
      <c r="D66" s="357">
        <v>20165</v>
      </c>
      <c r="E66" s="357" t="s">
        <v>61</v>
      </c>
      <c r="F66" s="357">
        <v>6</v>
      </c>
      <c r="G66" s="357" t="s">
        <v>1681</v>
      </c>
      <c r="H66" s="359">
        <f>ROWS($G$4:G66)</f>
        <v>63</v>
      </c>
      <c r="I66" s="359" t="str">
        <f>IF('School Level Expenditures'!$B$2=A66,'School Tables'!H66,"")</f>
        <v/>
      </c>
      <c r="J66" s="359" t="str">
        <f>IFERROR(SMALL($I$4:$I$325,ROWS($I$4:I66)),"")</f>
        <v/>
      </c>
      <c r="K66" s="333" t="b">
        <f t="shared" si="0"/>
        <v>0</v>
      </c>
      <c r="L66" s="357">
        <v>112</v>
      </c>
      <c r="M66" s="357" t="s">
        <v>977</v>
      </c>
      <c r="N66" s="357" t="s">
        <v>986</v>
      </c>
      <c r="O66" s="357">
        <v>22295</v>
      </c>
      <c r="P66" s="357" t="s">
        <v>1533</v>
      </c>
      <c r="Q66" s="357">
        <v>1</v>
      </c>
      <c r="R66" s="357" t="s">
        <v>1668</v>
      </c>
      <c r="S66" s="359">
        <f>ROWS($Q$4:Q66)</f>
        <v>63</v>
      </c>
      <c r="T66" s="359" t="str">
        <f>IF('School Level Expenditures'!$B$2='School Tables'!L66,'School Tables'!S66,"")</f>
        <v/>
      </c>
      <c r="U66" s="359" t="str">
        <f>IFERROR(SMALL($T$4:$T$75,ROWS($T$4:T66)),"")</f>
        <v/>
      </c>
      <c r="V66" s="333" t="b">
        <f t="shared" si="1"/>
        <v>0</v>
      </c>
      <c r="W66" s="357">
        <v>388</v>
      </c>
      <c r="X66" s="357" t="s">
        <v>1537</v>
      </c>
      <c r="Y66" s="357" t="s">
        <v>1311</v>
      </c>
      <c r="Z66" s="357">
        <v>20085</v>
      </c>
      <c r="AA66" s="357" t="s">
        <v>1534</v>
      </c>
      <c r="AB66" s="357">
        <v>4</v>
      </c>
      <c r="AC66" s="357" t="s">
        <v>1683</v>
      </c>
      <c r="AD66" s="359">
        <f>ROWS($AC$4:AC66)</f>
        <v>63</v>
      </c>
      <c r="AE66" s="359" t="str">
        <f>IF('School Level Expenditures'!$B$2='School Tables'!W66,'School Tables'!AD66,"")</f>
        <v/>
      </c>
      <c r="AF66" s="359" t="str">
        <f>IFERROR(SMALL(AE66:$AE$100,ROWS($AE$4:AE66)),"")</f>
        <v/>
      </c>
      <c r="AG66" s="333" t="b">
        <f t="shared" si="3"/>
        <v>0</v>
      </c>
      <c r="AH66">
        <v>204</v>
      </c>
      <c r="AI66">
        <v>203</v>
      </c>
      <c r="AJ66" t="s">
        <v>1782</v>
      </c>
      <c r="AK66">
        <v>102</v>
      </c>
      <c r="AL66" t="s">
        <v>1783</v>
      </c>
    </row>
    <row r="67" spans="1:38" ht="38.25" x14ac:dyDescent="0.2">
      <c r="A67" s="357">
        <v>363</v>
      </c>
      <c r="B67" s="357" t="s">
        <v>1271</v>
      </c>
      <c r="C67" s="357" t="s">
        <v>1275</v>
      </c>
      <c r="D67" s="357">
        <v>21665</v>
      </c>
      <c r="E67" s="357" t="s">
        <v>61</v>
      </c>
      <c r="F67" s="357">
        <v>93</v>
      </c>
      <c r="G67" s="357" t="s">
        <v>1697</v>
      </c>
      <c r="H67" s="359">
        <f>ROWS($G$4:G67)</f>
        <v>64</v>
      </c>
      <c r="I67" s="359" t="str">
        <f>IF('School Level Expenditures'!$B$2=A67,'School Tables'!H67,"")</f>
        <v/>
      </c>
      <c r="J67" s="359" t="str">
        <f>IFERROR(SMALL($I$4:$I$325,ROWS($I$4:I67)),"")</f>
        <v/>
      </c>
      <c r="K67" s="333" t="b">
        <f t="shared" si="0"/>
        <v>0</v>
      </c>
      <c r="L67" s="357">
        <v>335</v>
      </c>
      <c r="M67" s="357" t="s">
        <v>906</v>
      </c>
      <c r="N67" s="357" t="s">
        <v>1220</v>
      </c>
      <c r="O67" s="357">
        <v>21575</v>
      </c>
      <c r="P67" s="357" t="s">
        <v>1533</v>
      </c>
      <c r="Q67" s="357">
        <v>37</v>
      </c>
      <c r="R67" s="357" t="s">
        <v>1672</v>
      </c>
      <c r="S67" s="359">
        <f>ROWS($Q$4:Q67)</f>
        <v>64</v>
      </c>
      <c r="T67" s="359" t="str">
        <f>IF('School Level Expenditures'!$B$2='School Tables'!L67,'School Tables'!S67,"")</f>
        <v/>
      </c>
      <c r="U67" s="359" t="str">
        <f>IFERROR(SMALL($T$4:$T$75,ROWS($T$4:T67)),"")</f>
        <v/>
      </c>
      <c r="V67" s="333" t="b">
        <f t="shared" si="1"/>
        <v>0</v>
      </c>
      <c r="W67" s="357">
        <v>399</v>
      </c>
      <c r="X67" s="357" t="s">
        <v>1317</v>
      </c>
      <c r="Y67" s="357" t="s">
        <v>1319</v>
      </c>
      <c r="Z67" s="357">
        <v>23115</v>
      </c>
      <c r="AA67" s="357" t="s">
        <v>1534</v>
      </c>
      <c r="AB67" s="357">
        <v>31</v>
      </c>
      <c r="AC67" s="357" t="s">
        <v>1750</v>
      </c>
      <c r="AD67" s="359">
        <f>ROWS($AC$4:AC67)</f>
        <v>64</v>
      </c>
      <c r="AE67" s="359" t="str">
        <f>IF('School Level Expenditures'!$B$2='School Tables'!W67,'School Tables'!AD67,"")</f>
        <v/>
      </c>
      <c r="AF67" s="359" t="str">
        <f>IFERROR(SMALL(AE67:$AE$100,ROWS($AE$4:AE67)),"")</f>
        <v/>
      </c>
      <c r="AG67" s="333" t="b">
        <f t="shared" si="3"/>
        <v>0</v>
      </c>
      <c r="AH67">
        <v>208</v>
      </c>
      <c r="AI67">
        <v>0</v>
      </c>
      <c r="AJ67" t="s">
        <v>1072</v>
      </c>
      <c r="AK67">
        <v>49</v>
      </c>
      <c r="AL67" t="s">
        <v>1687</v>
      </c>
    </row>
    <row r="68" spans="1:38" ht="63.75" x14ac:dyDescent="0.2">
      <c r="A68" s="357">
        <v>267</v>
      </c>
      <c r="B68" s="357" t="s">
        <v>1130</v>
      </c>
      <c r="C68" s="357" t="s">
        <v>1131</v>
      </c>
      <c r="D68" s="357">
        <v>21045</v>
      </c>
      <c r="E68" s="357" t="s">
        <v>61</v>
      </c>
      <c r="F68" s="357">
        <v>81</v>
      </c>
      <c r="G68" s="357" t="s">
        <v>1700</v>
      </c>
      <c r="H68" s="359">
        <f>ROWS($G$4:G68)</f>
        <v>65</v>
      </c>
      <c r="I68" s="359" t="str">
        <f>IF('School Level Expenditures'!$B$2=A68,'School Tables'!H68,"")</f>
        <v/>
      </c>
      <c r="J68" s="359" t="str">
        <f>IFERROR(SMALL($I$4:$I$325,ROWS($I$4:I68)),"")</f>
        <v/>
      </c>
      <c r="K68" s="333" t="b">
        <f t="shared" si="0"/>
        <v>0</v>
      </c>
      <c r="L68" s="357">
        <v>515</v>
      </c>
      <c r="M68" s="357" t="s">
        <v>1436</v>
      </c>
      <c r="N68" s="357" t="s">
        <v>1538</v>
      </c>
      <c r="O68" s="357">
        <v>26965</v>
      </c>
      <c r="P68" s="357" t="s">
        <v>1533</v>
      </c>
      <c r="Q68" s="357">
        <v>85</v>
      </c>
      <c r="R68" s="357" t="s">
        <v>1762</v>
      </c>
      <c r="S68" s="359">
        <f>ROWS($Q$4:Q68)</f>
        <v>65</v>
      </c>
      <c r="T68" s="359" t="str">
        <f>IF('School Level Expenditures'!$B$2='School Tables'!L68,'School Tables'!S68,"")</f>
        <v/>
      </c>
      <c r="U68" s="359" t="str">
        <f>IFERROR(SMALL($T$4:$T$75,ROWS($T$4:T68)),"")</f>
        <v/>
      </c>
      <c r="V68" s="333" t="b">
        <f t="shared" si="1"/>
        <v>0</v>
      </c>
      <c r="W68" s="357">
        <v>401</v>
      </c>
      <c r="X68" s="357" t="s">
        <v>1321</v>
      </c>
      <c r="Y68" s="357" t="s">
        <v>1323</v>
      </c>
      <c r="Z68" s="357">
        <v>21985</v>
      </c>
      <c r="AA68" s="357" t="s">
        <v>1534</v>
      </c>
      <c r="AB68" s="357">
        <v>43</v>
      </c>
      <c r="AC68" s="357" t="s">
        <v>1757</v>
      </c>
      <c r="AD68" s="359">
        <f>ROWS($AC$4:AC68)</f>
        <v>65</v>
      </c>
      <c r="AE68" s="359" t="str">
        <f>IF('School Level Expenditures'!$B$2='School Tables'!W68,'School Tables'!AD68,"")</f>
        <v/>
      </c>
      <c r="AF68" s="359" t="str">
        <f>IFERROR(SMALL(AE68:$AE$100,ROWS($AE$4:AE68)),"")</f>
        <v/>
      </c>
      <c r="AG68" s="333" t="b">
        <f t="shared" ref="AG68:AG99" si="4">Y69=Y70</f>
        <v>0</v>
      </c>
      <c r="AH68" s="360">
        <v>702</v>
      </c>
      <c r="AI68" s="360">
        <v>702</v>
      </c>
      <c r="AJ68" s="360" t="s">
        <v>1491</v>
      </c>
      <c r="AK68" s="360">
        <v>426</v>
      </c>
      <c r="AL68" s="360" t="s">
        <v>1491</v>
      </c>
    </row>
    <row r="69" spans="1:38" ht="51" x14ac:dyDescent="0.2">
      <c r="A69" s="357">
        <v>473</v>
      </c>
      <c r="B69" s="357" t="s">
        <v>1395</v>
      </c>
      <c r="C69" s="357" t="s">
        <v>1402</v>
      </c>
      <c r="D69" s="357">
        <v>22895</v>
      </c>
      <c r="E69" s="357" t="s">
        <v>61</v>
      </c>
      <c r="F69" s="357">
        <v>57</v>
      </c>
      <c r="G69" s="357" t="s">
        <v>1701</v>
      </c>
      <c r="H69" s="359">
        <f>ROWS($G$4:G69)</f>
        <v>66</v>
      </c>
      <c r="I69" s="359" t="str">
        <f>IF('School Level Expenditures'!$B$2=A69,'School Tables'!H69,"")</f>
        <v/>
      </c>
      <c r="J69" s="359" t="str">
        <f>IFERROR(SMALL($I$4:$I$325,ROWS($I$4:I69)),"")</f>
        <v/>
      </c>
      <c r="K69" s="333" t="b">
        <f t="shared" ref="K69:K132" si="5">C69=C70</f>
        <v>0</v>
      </c>
      <c r="L69" s="357">
        <v>534</v>
      </c>
      <c r="M69" s="357" t="s">
        <v>1443</v>
      </c>
      <c r="N69" s="357" t="s">
        <v>1447</v>
      </c>
      <c r="O69" s="357">
        <v>22760</v>
      </c>
      <c r="P69" s="357" t="s">
        <v>1533</v>
      </c>
      <c r="Q69" s="357">
        <v>106</v>
      </c>
      <c r="R69" s="357" t="s">
        <v>1670</v>
      </c>
      <c r="S69" s="359">
        <f>ROWS($Q$4:Q69)</f>
        <v>66</v>
      </c>
      <c r="T69" s="359" t="str">
        <f>IF('School Level Expenditures'!$B$2='School Tables'!L69,'School Tables'!S69,"")</f>
        <v/>
      </c>
      <c r="U69" s="359" t="str">
        <f>IFERROR(SMALL($T$4:$T$75,ROWS($T$4:T69)),"")</f>
        <v/>
      </c>
      <c r="V69" s="333" t="b">
        <f t="shared" ref="V69:V75" si="6">N69=N70</f>
        <v>0</v>
      </c>
      <c r="W69" s="357">
        <v>740</v>
      </c>
      <c r="X69" s="357" t="s">
        <v>1523</v>
      </c>
      <c r="Y69" s="357" t="s">
        <v>1523</v>
      </c>
      <c r="Z69" s="357">
        <v>29105</v>
      </c>
      <c r="AA69" s="357" t="s">
        <v>1534</v>
      </c>
      <c r="AB69" s="357">
        <v>422</v>
      </c>
      <c r="AC69" s="357" t="s">
        <v>1523</v>
      </c>
      <c r="AD69" s="359">
        <f>ROWS($AC$4:AC69)</f>
        <v>66</v>
      </c>
      <c r="AE69" s="359" t="str">
        <f>IF('School Level Expenditures'!$B$2='School Tables'!W69,'School Tables'!AD69,"")</f>
        <v/>
      </c>
      <c r="AF69" s="359" t="str">
        <f>IFERROR(SMALL(AE69:$AE$100,ROWS($AE$4:AE69)),"")</f>
        <v/>
      </c>
      <c r="AG69" s="333" t="b">
        <f t="shared" si="4"/>
        <v>0</v>
      </c>
      <c r="AH69">
        <v>211</v>
      </c>
      <c r="AI69">
        <v>211</v>
      </c>
      <c r="AJ69" t="s">
        <v>1081</v>
      </c>
      <c r="AK69">
        <v>75</v>
      </c>
      <c r="AL69" t="s">
        <v>1717</v>
      </c>
    </row>
    <row r="70" spans="1:38" ht="38.25" x14ac:dyDescent="0.2">
      <c r="A70" s="357">
        <v>371</v>
      </c>
      <c r="B70" s="357" t="s">
        <v>1283</v>
      </c>
      <c r="C70" s="357" t="s">
        <v>1285</v>
      </c>
      <c r="D70" s="357">
        <v>21835</v>
      </c>
      <c r="E70" s="357" t="s">
        <v>61</v>
      </c>
      <c r="F70" s="357">
        <v>42</v>
      </c>
      <c r="G70" s="357" t="s">
        <v>1666</v>
      </c>
      <c r="H70" s="359">
        <f>ROWS($G$4:G70)</f>
        <v>67</v>
      </c>
      <c r="I70" s="359" t="str">
        <f>IF('School Level Expenditures'!$B$2=A70,'School Tables'!H70,"")</f>
        <v/>
      </c>
      <c r="J70" s="359" t="str">
        <f>IFERROR(SMALL($I$4:$I$325,ROWS($I$4:I70)),"")</f>
        <v/>
      </c>
      <c r="K70" s="333" t="b">
        <f t="shared" si="5"/>
        <v>0</v>
      </c>
      <c r="L70" s="357">
        <v>555</v>
      </c>
      <c r="M70" s="357" t="s">
        <v>1461</v>
      </c>
      <c r="N70" s="357" t="s">
        <v>1463</v>
      </c>
      <c r="O70" s="357">
        <v>20720</v>
      </c>
      <c r="P70" s="357" t="s">
        <v>1533</v>
      </c>
      <c r="Q70" s="357">
        <v>24</v>
      </c>
      <c r="R70" s="357" t="s">
        <v>1688</v>
      </c>
      <c r="S70" s="359">
        <f>ROWS($Q$4:Q70)</f>
        <v>67</v>
      </c>
      <c r="T70" s="359" t="str">
        <f>IF('School Level Expenditures'!$B$2='School Tables'!L70,'School Tables'!S70,"")</f>
        <v/>
      </c>
      <c r="U70" s="359" t="str">
        <f>IFERROR(SMALL($T$4:$T$75,ROWS($T$4:T70)),"")</f>
        <v/>
      </c>
      <c r="V70" s="333" t="b">
        <f t="shared" si="6"/>
        <v>0</v>
      </c>
      <c r="W70" s="357">
        <v>703</v>
      </c>
      <c r="X70" s="357" t="s">
        <v>1492</v>
      </c>
      <c r="Y70" s="357" t="s">
        <v>1494</v>
      </c>
      <c r="Z70" s="357">
        <v>28395</v>
      </c>
      <c r="AA70" s="357" t="s">
        <v>1534</v>
      </c>
      <c r="AB70" s="357">
        <v>402</v>
      </c>
      <c r="AC70" s="357" t="s">
        <v>1492</v>
      </c>
      <c r="AD70" s="359">
        <f>ROWS($AC$4:AC70)</f>
        <v>67</v>
      </c>
      <c r="AE70" s="359" t="str">
        <f>IF('School Level Expenditures'!$B$2='School Tables'!W70,'School Tables'!AD70,"")</f>
        <v/>
      </c>
      <c r="AF70" s="359" t="str">
        <f>IFERROR(SMALL(AE70:$AE$100,ROWS($AE$4:AE70)),"")</f>
        <v/>
      </c>
      <c r="AG70" s="333" t="b">
        <f t="shared" si="4"/>
        <v>0</v>
      </c>
      <c r="AH70" s="360">
        <v>709</v>
      </c>
      <c r="AI70" s="360">
        <v>709</v>
      </c>
      <c r="AJ70" s="360" t="s">
        <v>1502</v>
      </c>
      <c r="AK70" s="360">
        <v>404</v>
      </c>
      <c r="AL70" s="360" t="s">
        <v>1502</v>
      </c>
    </row>
    <row r="71" spans="1:38" ht="51" x14ac:dyDescent="0.2">
      <c r="A71" s="357">
        <v>112</v>
      </c>
      <c r="B71" s="357" t="s">
        <v>977</v>
      </c>
      <c r="C71" s="357" t="s">
        <v>981</v>
      </c>
      <c r="D71" s="357">
        <v>22230</v>
      </c>
      <c r="E71" s="357" t="s">
        <v>61</v>
      </c>
      <c r="F71" s="357">
        <v>1</v>
      </c>
      <c r="G71" s="357" t="s">
        <v>1668</v>
      </c>
      <c r="H71" s="359">
        <f>ROWS($G$4:G71)</f>
        <v>68</v>
      </c>
      <c r="I71" s="359" t="str">
        <f>IF('School Level Expenditures'!$B$2=A71,'School Tables'!H71,"")</f>
        <v/>
      </c>
      <c r="J71" s="359" t="str">
        <f>IFERROR(SMALL($I$4:$I$325,ROWS($I$4:I71)),"")</f>
        <v/>
      </c>
      <c r="K71" s="333" t="b">
        <f t="shared" si="5"/>
        <v>0</v>
      </c>
      <c r="L71" s="357">
        <v>131</v>
      </c>
      <c r="M71" s="357" t="s">
        <v>1000</v>
      </c>
      <c r="N71" s="357" t="s">
        <v>1001</v>
      </c>
      <c r="O71" s="357">
        <v>27065</v>
      </c>
      <c r="P71" s="357" t="s">
        <v>1533</v>
      </c>
      <c r="Q71" s="357">
        <v>10</v>
      </c>
      <c r="R71" s="357" t="s">
        <v>1699</v>
      </c>
      <c r="S71" s="359">
        <f>ROWS($Q$4:Q71)</f>
        <v>68</v>
      </c>
      <c r="T71" s="359" t="str">
        <f>IF('School Level Expenditures'!$B$2='School Tables'!L71,'School Tables'!S71,"")</f>
        <v/>
      </c>
      <c r="U71" s="359" t="str">
        <f>IFERROR(SMALL($T$4:$T$75,ROWS($T$4:T71)),"")</f>
        <v/>
      </c>
      <c r="V71" s="333" t="b">
        <f t="shared" si="6"/>
        <v>0</v>
      </c>
      <c r="W71" s="357">
        <v>359</v>
      </c>
      <c r="X71" s="357" t="s">
        <v>1267</v>
      </c>
      <c r="Y71" s="357" t="s">
        <v>1269</v>
      </c>
      <c r="Z71" s="357">
        <v>22070</v>
      </c>
      <c r="AA71" s="357" t="s">
        <v>1534</v>
      </c>
      <c r="AB71" s="357">
        <v>64</v>
      </c>
      <c r="AC71" s="357" t="s">
        <v>1747</v>
      </c>
      <c r="AD71" s="359">
        <f>ROWS($AC$4:AC71)</f>
        <v>68</v>
      </c>
      <c r="AE71" s="359" t="str">
        <f>IF('School Level Expenditures'!$B$2='School Tables'!W71,'School Tables'!AD71,"")</f>
        <v/>
      </c>
      <c r="AF71" s="359" t="str">
        <f>IFERROR(SMALL(AE71:$AE$100,ROWS($AE$4:AE71)),"")</f>
        <v/>
      </c>
      <c r="AG71" s="333" t="b">
        <f t="shared" si="4"/>
        <v>0</v>
      </c>
      <c r="AH71">
        <v>215</v>
      </c>
      <c r="AI71">
        <v>215</v>
      </c>
      <c r="AJ71" t="s">
        <v>1083</v>
      </c>
      <c r="AK71">
        <v>50</v>
      </c>
      <c r="AL71" t="s">
        <v>1718</v>
      </c>
    </row>
    <row r="72" spans="1:38" ht="51" x14ac:dyDescent="0.2">
      <c r="A72" s="357">
        <v>149</v>
      </c>
      <c r="B72" s="357" t="s">
        <v>1017</v>
      </c>
      <c r="C72" s="357" t="s">
        <v>1018</v>
      </c>
      <c r="D72" s="357">
        <v>20685</v>
      </c>
      <c r="E72" s="357" t="s">
        <v>61</v>
      </c>
      <c r="F72" s="357">
        <v>67</v>
      </c>
      <c r="G72" s="357" t="s">
        <v>1682</v>
      </c>
      <c r="H72" s="359">
        <f>ROWS($G$4:G72)</f>
        <v>69</v>
      </c>
      <c r="I72" s="359" t="str">
        <f>IF('School Level Expenditures'!$B$2=A72,'School Tables'!H72,"")</f>
        <v/>
      </c>
      <c r="J72" s="359" t="str">
        <f>IFERROR(SMALL($I$4:$I$325,ROWS($I$4:I72)),"")</f>
        <v/>
      </c>
      <c r="K72" s="333" t="b">
        <f t="shared" si="5"/>
        <v>0</v>
      </c>
      <c r="L72" s="357">
        <v>572</v>
      </c>
      <c r="M72" s="357" t="s">
        <v>1472</v>
      </c>
      <c r="N72" s="357" t="s">
        <v>1476</v>
      </c>
      <c r="O72" s="357">
        <v>26955</v>
      </c>
      <c r="P72" s="357" t="s">
        <v>1533</v>
      </c>
      <c r="Q72" s="357">
        <v>63</v>
      </c>
      <c r="R72" s="357" t="s">
        <v>1707</v>
      </c>
      <c r="S72" s="359">
        <f>ROWS($Q$4:Q72)</f>
        <v>69</v>
      </c>
      <c r="T72" s="359" t="str">
        <f>IF('School Level Expenditures'!$B$2='School Tables'!L72,'School Tables'!S72,"")</f>
        <v/>
      </c>
      <c r="U72" s="359" t="str">
        <f>IFERROR(SMALL($T$4:$T$75,ROWS($T$4:T72)),"")</f>
        <v/>
      </c>
      <c r="V72" s="333" t="b">
        <f t="shared" si="6"/>
        <v>0</v>
      </c>
      <c r="W72" s="357">
        <v>423</v>
      </c>
      <c r="X72" s="357" t="s">
        <v>1335</v>
      </c>
      <c r="Y72" s="357" t="s">
        <v>1338</v>
      </c>
      <c r="Z72" s="357">
        <v>22800</v>
      </c>
      <c r="AA72" s="357" t="s">
        <v>1534</v>
      </c>
      <c r="AB72" s="357">
        <v>5</v>
      </c>
      <c r="AC72" s="357" t="s">
        <v>1742</v>
      </c>
      <c r="AD72" s="359">
        <f>ROWS($AC$4:AC72)</f>
        <v>69</v>
      </c>
      <c r="AE72" s="359" t="str">
        <f>IF('School Level Expenditures'!$B$2='School Tables'!W72,'School Tables'!AD72,"")</f>
        <v/>
      </c>
      <c r="AF72" s="359" t="str">
        <f>IFERROR(SMALL(AE72:$AE$100,ROWS($AE$4:AE72)),"")</f>
        <v/>
      </c>
      <c r="AG72" s="333" t="b">
        <f t="shared" si="4"/>
        <v>0</v>
      </c>
      <c r="AH72">
        <v>222</v>
      </c>
      <c r="AI72">
        <v>222</v>
      </c>
      <c r="AJ72" t="s">
        <v>1784</v>
      </c>
      <c r="AK72">
        <v>97</v>
      </c>
      <c r="AL72" t="s">
        <v>1785</v>
      </c>
    </row>
    <row r="73" spans="1:38" ht="38.25" x14ac:dyDescent="0.2">
      <c r="A73" s="357">
        <v>33</v>
      </c>
      <c r="B73" s="357" t="s">
        <v>926</v>
      </c>
      <c r="C73" s="357" t="s">
        <v>929</v>
      </c>
      <c r="D73" s="357">
        <v>29010</v>
      </c>
      <c r="E73" s="357" t="s">
        <v>61</v>
      </c>
      <c r="F73" s="357">
        <v>74</v>
      </c>
      <c r="G73" s="357" t="s">
        <v>1674</v>
      </c>
      <c r="H73" s="359">
        <f>ROWS($G$4:G73)</f>
        <v>70</v>
      </c>
      <c r="I73" s="359" t="str">
        <f>IF('School Level Expenditures'!$B$2=A73,'School Tables'!H73,"")</f>
        <v/>
      </c>
      <c r="J73" s="359" t="str">
        <f>IFERROR(SMALL($I$4:$I$325,ROWS($I$4:I73)),"")</f>
        <v/>
      </c>
      <c r="K73" s="333" t="b">
        <f t="shared" si="5"/>
        <v>0</v>
      </c>
      <c r="L73" s="357">
        <v>575</v>
      </c>
      <c r="M73" s="357" t="s">
        <v>1478</v>
      </c>
      <c r="N73" s="357" t="s">
        <v>1479</v>
      </c>
      <c r="O73" s="357">
        <v>21125</v>
      </c>
      <c r="P73" s="357" t="s">
        <v>1533</v>
      </c>
      <c r="Q73" s="357">
        <v>95</v>
      </c>
      <c r="R73" s="357" t="s">
        <v>1716</v>
      </c>
      <c r="S73" s="359">
        <f>ROWS($Q$4:Q73)</f>
        <v>70</v>
      </c>
      <c r="T73" s="359" t="str">
        <f>IF('School Level Expenditures'!$B$2='School Tables'!L73,'School Tables'!S73,"")</f>
        <v/>
      </c>
      <c r="U73" s="359" t="str">
        <f>IFERROR(SMALL($T$4:$T$75,ROWS($T$4:T73)),"")</f>
        <v/>
      </c>
      <c r="V73" s="333" t="b">
        <f t="shared" si="6"/>
        <v>0</v>
      </c>
      <c r="W73" s="357">
        <v>425</v>
      </c>
      <c r="X73" s="357" t="s">
        <v>1340</v>
      </c>
      <c r="Y73" s="357" t="s">
        <v>1342</v>
      </c>
      <c r="Z73" s="357">
        <v>21105</v>
      </c>
      <c r="AA73" s="357" t="s">
        <v>1534</v>
      </c>
      <c r="AB73" s="357">
        <v>28</v>
      </c>
      <c r="AC73" s="357" t="s">
        <v>1754</v>
      </c>
      <c r="AD73" s="359">
        <f>ROWS($AC$4:AC73)</f>
        <v>70</v>
      </c>
      <c r="AE73" s="359" t="str">
        <f>IF('School Level Expenditures'!$B$2='School Tables'!W73,'School Tables'!AD73,"")</f>
        <v/>
      </c>
      <c r="AF73" s="359" t="str">
        <f>IFERROR(SMALL(AE73:$AE$100,ROWS($AE$4:AE73)),"")</f>
        <v/>
      </c>
      <c r="AG73" s="333" t="b">
        <f t="shared" si="4"/>
        <v>0</v>
      </c>
      <c r="AH73">
        <v>223</v>
      </c>
      <c r="AI73">
        <v>223</v>
      </c>
      <c r="AJ73" t="s">
        <v>1085</v>
      </c>
      <c r="AK73">
        <v>55</v>
      </c>
      <c r="AL73" t="s">
        <v>1721</v>
      </c>
    </row>
    <row r="74" spans="1:38" ht="51" x14ac:dyDescent="0.2">
      <c r="A74" s="357">
        <v>131</v>
      </c>
      <c r="B74" s="357" t="s">
        <v>1000</v>
      </c>
      <c r="C74" s="357" t="s">
        <v>1003</v>
      </c>
      <c r="D74" s="357">
        <v>20370</v>
      </c>
      <c r="E74" s="357" t="s">
        <v>61</v>
      </c>
      <c r="F74" s="357">
        <v>10</v>
      </c>
      <c r="G74" s="357" t="s">
        <v>1699</v>
      </c>
      <c r="H74" s="359">
        <f>ROWS($G$4:G74)</f>
        <v>71</v>
      </c>
      <c r="I74" s="359" t="str">
        <f>IF('School Level Expenditures'!$B$2=A74,'School Tables'!H74,"")</f>
        <v/>
      </c>
      <c r="J74" s="359" t="str">
        <f>IFERROR(SMALL($I$4:$I$325,ROWS($I$4:I74)),"")</f>
        <v/>
      </c>
      <c r="K74" s="333" t="b">
        <f t="shared" si="5"/>
        <v>0</v>
      </c>
      <c r="L74" s="357">
        <v>582</v>
      </c>
      <c r="M74" s="357" t="s">
        <v>1485</v>
      </c>
      <c r="N74" s="357" t="s">
        <v>1489</v>
      </c>
      <c r="O74" s="357">
        <v>22955</v>
      </c>
      <c r="P74" s="357" t="s">
        <v>1533</v>
      </c>
      <c r="Q74" s="357">
        <v>59</v>
      </c>
      <c r="R74" s="357" t="s">
        <v>1760</v>
      </c>
      <c r="S74" s="359">
        <f>ROWS($Q$4:Q74)</f>
        <v>71</v>
      </c>
      <c r="T74" s="359" t="str">
        <f>IF('School Level Expenditures'!$B$2='School Tables'!L74,'School Tables'!S74,"")</f>
        <v/>
      </c>
      <c r="U74" s="359" t="str">
        <f>IFERROR(SMALL($T$4:$T$75,ROWS($T$4:T74)),"")</f>
        <v/>
      </c>
      <c r="V74" s="333" t="b">
        <f t="shared" si="6"/>
        <v>0</v>
      </c>
      <c r="W74" s="357">
        <v>427</v>
      </c>
      <c r="X74" s="357" t="s">
        <v>1344</v>
      </c>
      <c r="Y74" s="357" t="s">
        <v>1346</v>
      </c>
      <c r="Z74" s="357">
        <v>22620</v>
      </c>
      <c r="AA74" s="357" t="s">
        <v>1534</v>
      </c>
      <c r="AB74" s="357">
        <v>53</v>
      </c>
      <c r="AC74" s="357" t="s">
        <v>1664</v>
      </c>
      <c r="AD74" s="359">
        <f>ROWS($AC$4:AC74)</f>
        <v>71</v>
      </c>
      <c r="AE74" s="359" t="str">
        <f>IF('School Level Expenditures'!$B$2='School Tables'!W74,'School Tables'!AD74,"")</f>
        <v/>
      </c>
      <c r="AF74" s="359" t="str">
        <f>IFERROR(SMALL(AE74:$AE$100,ROWS($AE$4:AE74)),"")</f>
        <v/>
      </c>
      <c r="AG74" s="333" t="b">
        <f t="shared" si="4"/>
        <v>0</v>
      </c>
      <c r="AH74">
        <v>225</v>
      </c>
      <c r="AI74">
        <v>225</v>
      </c>
      <c r="AJ74" t="s">
        <v>1088</v>
      </c>
      <c r="AK74">
        <v>90</v>
      </c>
      <c r="AL74" t="s">
        <v>1663</v>
      </c>
    </row>
    <row r="75" spans="1:38" ht="25.5" x14ac:dyDescent="0.2">
      <c r="A75" s="357">
        <v>153</v>
      </c>
      <c r="B75" s="357" t="s">
        <v>1019</v>
      </c>
      <c r="C75" s="357" t="s">
        <v>1020</v>
      </c>
      <c r="D75" s="357">
        <v>20565</v>
      </c>
      <c r="E75" s="357" t="s">
        <v>61</v>
      </c>
      <c r="F75" s="357">
        <v>16</v>
      </c>
      <c r="G75" s="357" t="s">
        <v>1702</v>
      </c>
      <c r="H75" s="359">
        <f>ROWS($G$4:G75)</f>
        <v>72</v>
      </c>
      <c r="I75" s="359" t="str">
        <f>IF('School Level Expenditures'!$B$2=A75,'School Tables'!H75,"")</f>
        <v/>
      </c>
      <c r="J75" s="359" t="str">
        <f>IFERROR(SMALL($I$4:$I$325,ROWS($I$4:I75)),"")</f>
        <v/>
      </c>
      <c r="K75" s="333" t="b">
        <f t="shared" si="5"/>
        <v>0</v>
      </c>
      <c r="L75" s="357">
        <v>473</v>
      </c>
      <c r="M75" s="357" t="s">
        <v>1395</v>
      </c>
      <c r="N75" s="357" t="s">
        <v>1396</v>
      </c>
      <c r="O75" s="357">
        <v>22850</v>
      </c>
      <c r="P75" s="357" t="s">
        <v>1533</v>
      </c>
      <c r="Q75" s="357">
        <v>57</v>
      </c>
      <c r="R75" s="357" t="s">
        <v>1701</v>
      </c>
      <c r="S75" s="359">
        <f>ROWS($Q$4:Q75)</f>
        <v>72</v>
      </c>
      <c r="T75" s="359" t="str">
        <f>IF('School Level Expenditures'!$B$2='School Tables'!L75,'School Tables'!S75,"")</f>
        <v/>
      </c>
      <c r="U75" s="359" t="str">
        <f>IFERROR(SMALL($T$4:$T$75,ROWS($T$4:T75)),"")</f>
        <v/>
      </c>
      <c r="V75" s="333" t="b">
        <f t="shared" si="6"/>
        <v>0</v>
      </c>
      <c r="W75" s="357">
        <v>999</v>
      </c>
      <c r="X75" s="357" t="s">
        <v>1766</v>
      </c>
      <c r="Y75" s="357" t="s">
        <v>1766</v>
      </c>
      <c r="Z75" s="357">
        <v>20395</v>
      </c>
      <c r="AA75" s="357" t="s">
        <v>1534</v>
      </c>
      <c r="AB75" s="357">
        <v>202</v>
      </c>
      <c r="AC75" s="357" t="s">
        <v>1766</v>
      </c>
      <c r="AD75" s="359">
        <f>ROWS($AC$4:AC75)</f>
        <v>72</v>
      </c>
      <c r="AE75" s="359" t="str">
        <f>IF('School Level Expenditures'!$B$2='School Tables'!W75,'School Tables'!AD75,"")</f>
        <v/>
      </c>
      <c r="AF75" s="359" t="str">
        <f>IFERROR(SMALL(AE75:$AE$100,ROWS($AE$4:AE75)),"")</f>
        <v/>
      </c>
      <c r="AG75" s="333" t="b">
        <f t="shared" si="4"/>
        <v>0</v>
      </c>
      <c r="AH75">
        <v>227</v>
      </c>
      <c r="AI75">
        <v>227</v>
      </c>
      <c r="AJ75" t="s">
        <v>1091</v>
      </c>
      <c r="AK75">
        <v>21</v>
      </c>
      <c r="AL75" t="s">
        <v>1737</v>
      </c>
    </row>
    <row r="76" spans="1:38" ht="25.5" x14ac:dyDescent="0.2">
      <c r="A76" s="357">
        <v>461</v>
      </c>
      <c r="B76" s="357" t="s">
        <v>1376</v>
      </c>
      <c r="C76" s="357" t="s">
        <v>1377</v>
      </c>
      <c r="D76" s="357">
        <v>22650</v>
      </c>
      <c r="E76" s="357" t="s">
        <v>61</v>
      </c>
      <c r="F76" s="357">
        <v>54</v>
      </c>
      <c r="G76" s="357" t="s">
        <v>1689</v>
      </c>
      <c r="H76" s="359">
        <f>ROWS($G$4:G76)</f>
        <v>73</v>
      </c>
      <c r="I76" s="359" t="str">
        <f>IF('School Level Expenditures'!$B$2=A76,'School Tables'!H76,"")</f>
        <v/>
      </c>
      <c r="J76" s="359" t="str">
        <f>IFERROR(SMALL($I$4:$I$325,ROWS($I$4:I76)),"")</f>
        <v/>
      </c>
      <c r="K76" s="333" t="b">
        <f t="shared" si="5"/>
        <v>0</v>
      </c>
      <c r="L76" s="334"/>
      <c r="M76" s="334"/>
      <c r="N76" s="334"/>
      <c r="O76" s="287"/>
      <c r="P76" s="334"/>
      <c r="Q76" s="334"/>
      <c r="R76" s="334"/>
      <c r="S76" s="334"/>
      <c r="T76" s="334"/>
      <c r="U76" s="334"/>
      <c r="V76" s="334"/>
      <c r="W76" s="357">
        <v>437</v>
      </c>
      <c r="X76" s="357" t="s">
        <v>1352</v>
      </c>
      <c r="Y76" s="357" t="s">
        <v>1354</v>
      </c>
      <c r="Z76" s="357">
        <v>26500</v>
      </c>
      <c r="AA76" s="357" t="s">
        <v>1534</v>
      </c>
      <c r="AB76" s="357">
        <v>7</v>
      </c>
      <c r="AC76" s="357" t="s">
        <v>1693</v>
      </c>
      <c r="AD76" s="359">
        <f>ROWS($AC$4:AC76)</f>
        <v>73</v>
      </c>
      <c r="AE76" s="359" t="str">
        <f>IF('School Level Expenditures'!$B$2='School Tables'!W76,'School Tables'!AD76,"")</f>
        <v/>
      </c>
      <c r="AF76" s="359" t="str">
        <f>IFERROR(SMALL(AE76:$AE$100,ROWS($AE$4:AE76)),"")</f>
        <v/>
      </c>
      <c r="AG76" s="333" t="b">
        <f t="shared" si="4"/>
        <v>0</v>
      </c>
      <c r="AH76">
        <v>233</v>
      </c>
      <c r="AI76">
        <v>233</v>
      </c>
      <c r="AJ76" t="s">
        <v>1093</v>
      </c>
      <c r="AK76">
        <v>70</v>
      </c>
      <c r="AL76" t="s">
        <v>1679</v>
      </c>
    </row>
    <row r="77" spans="1:38" ht="25.5" x14ac:dyDescent="0.2">
      <c r="A77" s="357">
        <v>203</v>
      </c>
      <c r="B77" s="357" t="s">
        <v>1068</v>
      </c>
      <c r="C77" s="357" t="s">
        <v>1069</v>
      </c>
      <c r="D77" s="357">
        <v>20745</v>
      </c>
      <c r="E77" s="357" t="s">
        <v>61</v>
      </c>
      <c r="F77" s="357">
        <v>20</v>
      </c>
      <c r="G77" s="357" t="s">
        <v>1703</v>
      </c>
      <c r="H77" s="359">
        <f>ROWS($G$4:G77)</f>
        <v>74</v>
      </c>
      <c r="I77" s="359" t="str">
        <f>IF('School Level Expenditures'!$B$2=A77,'School Tables'!H77,"")</f>
        <v/>
      </c>
      <c r="J77" s="359" t="str">
        <f>IFERROR(SMALL($I$4:$I$325,ROWS($I$4:I77)),"")</f>
        <v/>
      </c>
      <c r="K77" s="333" t="b">
        <f t="shared" si="5"/>
        <v>0</v>
      </c>
      <c r="L77" s="333"/>
      <c r="M77" s="333"/>
      <c r="N77" s="333"/>
      <c r="O77" s="287"/>
      <c r="P77" s="334"/>
      <c r="Q77" s="334"/>
      <c r="R77" s="334"/>
      <c r="S77" s="334"/>
      <c r="T77" s="334"/>
      <c r="U77" s="334"/>
      <c r="V77" s="334"/>
      <c r="W77" s="357">
        <v>439</v>
      </c>
      <c r="X77" s="357" t="s">
        <v>1355</v>
      </c>
      <c r="Y77" s="357" t="s">
        <v>1358</v>
      </c>
      <c r="Z77" s="357">
        <v>22500</v>
      </c>
      <c r="AA77" s="357" t="s">
        <v>1534</v>
      </c>
      <c r="AB77" s="357">
        <v>51</v>
      </c>
      <c r="AC77" s="357" t="s">
        <v>1755</v>
      </c>
      <c r="AD77" s="359">
        <f>ROWS($AC$4:AC77)</f>
        <v>74</v>
      </c>
      <c r="AE77" s="359" t="str">
        <f>IF('School Level Expenditures'!$B$2='School Tables'!W77,'School Tables'!AD77,"")</f>
        <v/>
      </c>
      <c r="AF77" s="359" t="str">
        <f>IFERROR(SMALL(AE77:$AE$100,ROWS($AE$4:AE77)),"")</f>
        <v/>
      </c>
      <c r="AG77" s="333" t="b">
        <f t="shared" si="4"/>
        <v>0</v>
      </c>
      <c r="AH77">
        <v>235</v>
      </c>
      <c r="AI77">
        <v>235</v>
      </c>
      <c r="AJ77" t="s">
        <v>1095</v>
      </c>
      <c r="AK77">
        <v>29</v>
      </c>
      <c r="AL77" t="s">
        <v>1691</v>
      </c>
    </row>
    <row r="78" spans="1:38" ht="51" x14ac:dyDescent="0.2">
      <c r="A78" s="357">
        <v>208</v>
      </c>
      <c r="B78" s="357" t="s">
        <v>1072</v>
      </c>
      <c r="C78" s="357" t="s">
        <v>1073</v>
      </c>
      <c r="D78" s="357">
        <v>22395</v>
      </c>
      <c r="E78" s="357" t="s">
        <v>61</v>
      </c>
      <c r="F78" s="357">
        <v>49</v>
      </c>
      <c r="G78" s="357" t="s">
        <v>1687</v>
      </c>
      <c r="H78" s="359">
        <f>ROWS($G$4:G78)</f>
        <v>75</v>
      </c>
      <c r="I78" s="359" t="str">
        <f>IF('School Level Expenditures'!$B$2=A78,'School Tables'!H78,"")</f>
        <v/>
      </c>
      <c r="J78" s="359" t="str">
        <f>IFERROR(SMALL($I$4:$I$325,ROWS($I$4:I78)),"")</f>
        <v/>
      </c>
      <c r="K78" s="333" t="b">
        <f t="shared" si="5"/>
        <v>0</v>
      </c>
      <c r="L78" s="332"/>
      <c r="M78" s="332"/>
      <c r="N78" s="332"/>
      <c r="O78" s="287"/>
      <c r="P78" s="333"/>
      <c r="Q78" s="333"/>
      <c r="R78" s="333"/>
      <c r="S78" s="333"/>
      <c r="T78" s="333"/>
      <c r="U78" s="333"/>
      <c r="V78" s="333"/>
      <c r="W78" s="357">
        <v>428</v>
      </c>
      <c r="X78" s="357" t="s">
        <v>1348</v>
      </c>
      <c r="Y78" s="357" t="s">
        <v>1349</v>
      </c>
      <c r="Z78" s="357">
        <v>22350</v>
      </c>
      <c r="AA78" s="357" t="s">
        <v>1534</v>
      </c>
      <c r="AB78" s="357">
        <v>48</v>
      </c>
      <c r="AC78" s="357" t="s">
        <v>1684</v>
      </c>
      <c r="AD78" s="359">
        <f>ROWS($AC$4:AC78)</f>
        <v>75</v>
      </c>
      <c r="AE78" s="359" t="str">
        <f>IF('School Level Expenditures'!$B$2='School Tables'!W78,'School Tables'!AD78,"")</f>
        <v/>
      </c>
      <c r="AF78" s="359" t="str">
        <f>IFERROR(SMALL(AE78:$AE$100,ROWS($AE$4:AE78)),"")</f>
        <v/>
      </c>
      <c r="AG78" s="333" t="b">
        <f t="shared" si="4"/>
        <v>0</v>
      </c>
      <c r="AH78">
        <v>236</v>
      </c>
      <c r="AI78">
        <v>236</v>
      </c>
      <c r="AJ78" t="s">
        <v>1786</v>
      </c>
      <c r="AK78">
        <v>9</v>
      </c>
      <c r="AL78" t="s">
        <v>1694</v>
      </c>
    </row>
    <row r="79" spans="1:38" ht="25.5" x14ac:dyDescent="0.2">
      <c r="A79" s="357">
        <v>189</v>
      </c>
      <c r="B79" s="357" t="s">
        <v>1055</v>
      </c>
      <c r="C79" s="357" t="s">
        <v>1056</v>
      </c>
      <c r="D79" s="357">
        <v>20525</v>
      </c>
      <c r="E79" s="357" t="s">
        <v>61</v>
      </c>
      <c r="F79" s="357">
        <v>83</v>
      </c>
      <c r="G79" s="357" t="s">
        <v>1704</v>
      </c>
      <c r="H79" s="359">
        <f>ROWS($G$4:G79)</f>
        <v>76</v>
      </c>
      <c r="I79" s="359">
        <f>IF('School Level Expenditures'!$B$2=A79,'School Tables'!H79,"")</f>
        <v>76</v>
      </c>
      <c r="J79" s="359" t="str">
        <f>IFERROR(SMALL($I$4:$I$325,ROWS($I$4:I79)),"")</f>
        <v/>
      </c>
      <c r="K79" s="333" t="b">
        <f t="shared" si="5"/>
        <v>0</v>
      </c>
      <c r="L79" s="332"/>
      <c r="M79" s="332"/>
      <c r="N79" s="332"/>
      <c r="O79" s="287"/>
      <c r="P79" s="334"/>
      <c r="Q79" s="334"/>
      <c r="R79" s="334"/>
      <c r="S79" s="334"/>
      <c r="T79" s="334"/>
      <c r="U79" s="334"/>
      <c r="V79" s="334"/>
      <c r="W79" s="357">
        <v>449</v>
      </c>
      <c r="X79" s="357" t="s">
        <v>1363</v>
      </c>
      <c r="Y79" s="357" t="s">
        <v>1368</v>
      </c>
      <c r="Z79" s="357">
        <v>22565</v>
      </c>
      <c r="AA79" s="357" t="s">
        <v>1534</v>
      </c>
      <c r="AB79" s="357">
        <v>52</v>
      </c>
      <c r="AC79" s="357" t="s">
        <v>1739</v>
      </c>
      <c r="AD79" s="359">
        <f>ROWS($AC$4:AC79)</f>
        <v>76</v>
      </c>
      <c r="AE79" s="359" t="str">
        <f>IF('School Level Expenditures'!$B$2='School Tables'!W79,'School Tables'!AD79,"")</f>
        <v/>
      </c>
      <c r="AF79" s="359" t="str">
        <f>IFERROR(SMALL(AE79:$AE$100,ROWS($AE$4:AE79)),"")</f>
        <v/>
      </c>
      <c r="AG79" s="333" t="b">
        <f t="shared" si="4"/>
        <v>0</v>
      </c>
      <c r="AH79">
        <v>238</v>
      </c>
      <c r="AI79">
        <v>238</v>
      </c>
      <c r="AJ79" t="s">
        <v>1097</v>
      </c>
      <c r="AK79">
        <v>23</v>
      </c>
      <c r="AL79" t="s">
        <v>1676</v>
      </c>
    </row>
    <row r="80" spans="1:38" ht="25.5" x14ac:dyDescent="0.2">
      <c r="A80" s="357">
        <v>285</v>
      </c>
      <c r="B80" s="357" t="s">
        <v>1166</v>
      </c>
      <c r="C80" s="357" t="s">
        <v>1171</v>
      </c>
      <c r="D80" s="357">
        <v>21290</v>
      </c>
      <c r="E80" s="357" t="s">
        <v>61</v>
      </c>
      <c r="F80" s="357">
        <v>30</v>
      </c>
      <c r="G80" s="357" t="s">
        <v>1705</v>
      </c>
      <c r="H80" s="359">
        <f>ROWS($G$4:G80)</f>
        <v>77</v>
      </c>
      <c r="I80" s="359" t="str">
        <f>IF('School Level Expenditures'!$B$2=A80,'School Tables'!H80,"")</f>
        <v/>
      </c>
      <c r="J80" s="359" t="str">
        <f>IFERROR(SMALL($I$4:$I$325,ROWS($I$4:I80)),"")</f>
        <v/>
      </c>
      <c r="K80" s="333" t="b">
        <f t="shared" si="5"/>
        <v>0</v>
      </c>
      <c r="L80" s="332"/>
      <c r="M80" s="332"/>
      <c r="N80" s="332"/>
      <c r="O80" s="287"/>
      <c r="P80" s="334"/>
      <c r="Q80" s="334"/>
      <c r="R80" s="334"/>
      <c r="S80" s="334"/>
      <c r="T80" s="334"/>
      <c r="U80" s="334"/>
      <c r="V80" s="334"/>
      <c r="W80" s="357">
        <v>450</v>
      </c>
      <c r="X80" s="357" t="s">
        <v>1369</v>
      </c>
      <c r="Y80" s="357" t="s">
        <v>1370</v>
      </c>
      <c r="Z80" s="357">
        <v>21395</v>
      </c>
      <c r="AA80" s="357" t="s">
        <v>1534</v>
      </c>
      <c r="AB80" s="357">
        <v>35</v>
      </c>
      <c r="AC80" s="357" t="s">
        <v>1680</v>
      </c>
      <c r="AD80" s="359">
        <f>ROWS($AC$4:AC80)</f>
        <v>77</v>
      </c>
      <c r="AE80" s="359" t="str">
        <f>IF('School Level Expenditures'!$B$2='School Tables'!W80,'School Tables'!AD80,"")</f>
        <v/>
      </c>
      <c r="AF80" s="359" t="str">
        <f>IFERROR(SMALL(AE80:$AE$100,ROWS($AE$4:AE80)),"")</f>
        <v/>
      </c>
      <c r="AG80" s="333" t="b">
        <f t="shared" si="4"/>
        <v>0</v>
      </c>
      <c r="AH80">
        <v>245</v>
      </c>
      <c r="AI80">
        <v>245</v>
      </c>
      <c r="AJ80" t="s">
        <v>1101</v>
      </c>
      <c r="AK80">
        <v>24</v>
      </c>
      <c r="AL80" t="s">
        <v>1688</v>
      </c>
    </row>
    <row r="81" spans="1:38" ht="38.25" x14ac:dyDescent="0.2">
      <c r="A81" s="357">
        <v>343</v>
      </c>
      <c r="B81" s="357" t="s">
        <v>1236</v>
      </c>
      <c r="C81" s="357" t="s">
        <v>1239</v>
      </c>
      <c r="D81" s="357">
        <v>21325</v>
      </c>
      <c r="E81" s="357" t="s">
        <v>61</v>
      </c>
      <c r="F81" s="357">
        <v>62</v>
      </c>
      <c r="G81" s="357" t="s">
        <v>1685</v>
      </c>
      <c r="H81" s="359">
        <f>ROWS($G$4:G81)</f>
        <v>78</v>
      </c>
      <c r="I81" s="359" t="str">
        <f>IF('School Level Expenditures'!$B$2=A81,'School Tables'!H81,"")</f>
        <v/>
      </c>
      <c r="J81" s="359" t="str">
        <f>IFERROR(SMALL($I$4:$I$325,ROWS($I$4:I81)),"")</f>
        <v/>
      </c>
      <c r="K81" s="333" t="b">
        <f t="shared" si="5"/>
        <v>0</v>
      </c>
      <c r="L81" s="332"/>
      <c r="M81" s="332"/>
      <c r="N81" s="332"/>
      <c r="O81" s="287"/>
      <c r="P81" s="333"/>
      <c r="Q81" s="333"/>
      <c r="R81" s="333"/>
      <c r="S81" s="333"/>
      <c r="T81" s="333"/>
      <c r="U81" s="333"/>
      <c r="V81" s="333"/>
      <c r="W81" s="357">
        <v>970</v>
      </c>
      <c r="X81" s="357" t="s">
        <v>1623</v>
      </c>
      <c r="Y81" s="357" t="s">
        <v>1624</v>
      </c>
      <c r="Z81" s="357">
        <v>28215</v>
      </c>
      <c r="AA81" s="357" t="s">
        <v>1534</v>
      </c>
      <c r="AB81" s="357">
        <v>301</v>
      </c>
      <c r="AC81" s="357" t="s">
        <v>1623</v>
      </c>
      <c r="AD81" s="359">
        <f>ROWS($AC$4:AC81)</f>
        <v>78</v>
      </c>
      <c r="AE81" s="359" t="str">
        <f>IF('School Level Expenditures'!$B$2='School Tables'!W81,'School Tables'!AD81,"")</f>
        <v/>
      </c>
      <c r="AF81" s="359" t="str">
        <f>IFERROR(SMALL(AE81:$AE$100,ROWS($AE$4:AE81)),"")</f>
        <v/>
      </c>
      <c r="AG81" s="333" t="b">
        <f t="shared" si="4"/>
        <v>0</v>
      </c>
      <c r="AH81">
        <v>247</v>
      </c>
      <c r="AI81">
        <v>247</v>
      </c>
      <c r="AJ81" t="s">
        <v>1103</v>
      </c>
      <c r="AK81">
        <v>103</v>
      </c>
      <c r="AL81" t="s">
        <v>1733</v>
      </c>
    </row>
    <row r="82" spans="1:38" ht="25.5" x14ac:dyDescent="0.2">
      <c r="A82" s="357">
        <v>165</v>
      </c>
      <c r="B82" s="357" t="s">
        <v>1021</v>
      </c>
      <c r="C82" s="357" t="s">
        <v>1022</v>
      </c>
      <c r="D82" s="357">
        <v>26510</v>
      </c>
      <c r="E82" s="357" t="s">
        <v>61</v>
      </c>
      <c r="F82" s="357">
        <v>14</v>
      </c>
      <c r="G82" s="357" t="s">
        <v>1706</v>
      </c>
      <c r="H82" s="359">
        <f>ROWS($G$4:G82)</f>
        <v>79</v>
      </c>
      <c r="I82" s="359" t="str">
        <f>IF('School Level Expenditures'!$B$2=A82,'School Tables'!H82,"")</f>
        <v/>
      </c>
      <c r="J82" s="359" t="str">
        <f>IFERROR(SMALL($I$4:$I$325,ROWS($I$4:I82)),"")</f>
        <v/>
      </c>
      <c r="K82" s="333" t="b">
        <f t="shared" si="5"/>
        <v>0</v>
      </c>
      <c r="P82" s="334"/>
      <c r="Q82" s="334"/>
      <c r="R82" s="334"/>
      <c r="S82" s="334"/>
      <c r="T82" s="334"/>
      <c r="U82" s="334"/>
      <c r="V82" s="334"/>
      <c r="W82" s="357">
        <v>453</v>
      </c>
      <c r="X82" s="357" t="s">
        <v>1372</v>
      </c>
      <c r="Y82" s="357" t="s">
        <v>1374</v>
      </c>
      <c r="Z82" s="357">
        <v>21390</v>
      </c>
      <c r="AA82" s="357" t="s">
        <v>1534</v>
      </c>
      <c r="AB82" s="357">
        <v>33</v>
      </c>
      <c r="AC82" s="357" t="s">
        <v>1734</v>
      </c>
      <c r="AD82" s="359">
        <f>ROWS($AC$4:AC82)</f>
        <v>79</v>
      </c>
      <c r="AE82" s="359" t="str">
        <f>IF('School Level Expenditures'!$B$2='School Tables'!W82,'School Tables'!AD82,"")</f>
        <v/>
      </c>
      <c r="AF82" s="359" t="str">
        <f>IFERROR(SMALL(AE82:$AE$100,ROWS($AE$4:AE82)),"")</f>
        <v/>
      </c>
      <c r="AG82" s="333" t="b">
        <f t="shared" si="4"/>
        <v>0</v>
      </c>
      <c r="AH82">
        <v>251</v>
      </c>
      <c r="AI82">
        <v>0</v>
      </c>
      <c r="AJ82" t="s">
        <v>1105</v>
      </c>
      <c r="AK82">
        <v>34</v>
      </c>
      <c r="AL82" t="s">
        <v>1727</v>
      </c>
    </row>
    <row r="83" spans="1:38" ht="38.25" x14ac:dyDescent="0.2">
      <c r="A83" s="357">
        <v>167</v>
      </c>
      <c r="B83" s="357" t="s">
        <v>1023</v>
      </c>
      <c r="C83" s="357" t="s">
        <v>1024</v>
      </c>
      <c r="D83" s="357">
        <v>22600</v>
      </c>
      <c r="E83" s="357" t="s">
        <v>61</v>
      </c>
      <c r="F83" s="357">
        <v>53</v>
      </c>
      <c r="G83" s="357" t="s">
        <v>1664</v>
      </c>
      <c r="H83" s="359">
        <f>ROWS($G$4:G83)</f>
        <v>80</v>
      </c>
      <c r="I83" s="359" t="str">
        <f>IF('School Level Expenditures'!$B$2=A83,'School Tables'!H83,"")</f>
        <v/>
      </c>
      <c r="J83" s="359" t="str">
        <f>IFERROR(SMALL($I$4:$I$325,ROWS($I$4:I83)),"")</f>
        <v/>
      </c>
      <c r="K83" s="333" t="b">
        <f t="shared" si="5"/>
        <v>0</v>
      </c>
      <c r="P83" s="333"/>
      <c r="Q83" s="333"/>
      <c r="R83" s="333"/>
      <c r="S83" s="333"/>
      <c r="T83" s="333"/>
      <c r="U83" s="333"/>
      <c r="V83" s="333"/>
      <c r="W83" s="357">
        <v>457</v>
      </c>
      <c r="X83" s="357" t="s">
        <v>1618</v>
      </c>
      <c r="Y83" s="357" t="s">
        <v>1622</v>
      </c>
      <c r="Z83" s="357">
        <v>29197</v>
      </c>
      <c r="AA83" s="357" t="s">
        <v>1534</v>
      </c>
      <c r="AB83" s="357">
        <v>78</v>
      </c>
      <c r="AC83" s="357" t="s">
        <v>1758</v>
      </c>
      <c r="AD83" s="359">
        <f>ROWS($AC$4:AC83)</f>
        <v>80</v>
      </c>
      <c r="AE83" s="359" t="str">
        <f>IF('School Level Expenditures'!$B$2='School Tables'!W83,'School Tables'!AD83,"")</f>
        <v/>
      </c>
      <c r="AF83" s="359" t="str">
        <f>IFERROR(SMALL(AE83:$AE$100,ROWS($AE$4:AE83)),"")</f>
        <v/>
      </c>
      <c r="AG83" s="333" t="b">
        <f t="shared" si="4"/>
        <v>0</v>
      </c>
      <c r="AH83">
        <v>255</v>
      </c>
      <c r="AI83">
        <v>255</v>
      </c>
      <c r="AJ83" t="s">
        <v>1109</v>
      </c>
      <c r="AK83">
        <v>92</v>
      </c>
      <c r="AL83" t="s">
        <v>1728</v>
      </c>
    </row>
    <row r="84" spans="1:38" ht="38.25" x14ac:dyDescent="0.2">
      <c r="A84" s="357">
        <v>131</v>
      </c>
      <c r="B84" s="357" t="s">
        <v>1000</v>
      </c>
      <c r="C84" s="357" t="s">
        <v>1002</v>
      </c>
      <c r="D84" s="357">
        <v>28465</v>
      </c>
      <c r="E84" s="357" t="s">
        <v>61</v>
      </c>
      <c r="F84" s="357">
        <v>10</v>
      </c>
      <c r="G84" s="357" t="s">
        <v>1699</v>
      </c>
      <c r="H84" s="359">
        <f>ROWS($G$4:G84)</f>
        <v>81</v>
      </c>
      <c r="I84" s="359" t="str">
        <f>IF('School Level Expenditures'!$B$2=A84,'School Tables'!H84,"")</f>
        <v/>
      </c>
      <c r="J84" s="359" t="str">
        <f>IFERROR(SMALL($I$4:$I$325,ROWS($I$4:I84)),"")</f>
        <v/>
      </c>
      <c r="K84" s="333" t="b">
        <f t="shared" si="5"/>
        <v>0</v>
      </c>
      <c r="P84" s="334"/>
      <c r="Q84" s="334"/>
      <c r="R84" s="334"/>
      <c r="S84" s="334"/>
      <c r="T84" s="334"/>
      <c r="U84" s="334"/>
      <c r="V84" s="334"/>
      <c r="W84" s="357">
        <v>473</v>
      </c>
      <c r="X84" s="357" t="s">
        <v>1395</v>
      </c>
      <c r="Y84" s="357" t="s">
        <v>1400</v>
      </c>
      <c r="Z84" s="357">
        <v>22880</v>
      </c>
      <c r="AA84" s="357" t="s">
        <v>1534</v>
      </c>
      <c r="AB84" s="357">
        <v>57</v>
      </c>
      <c r="AC84" s="357" t="s">
        <v>1701</v>
      </c>
      <c r="AD84" s="359">
        <f>ROWS($AC$4:AC84)</f>
        <v>81</v>
      </c>
      <c r="AE84" s="359" t="str">
        <f>IF('School Level Expenditures'!$B$2='School Tables'!W84,'School Tables'!AD84,"")</f>
        <v/>
      </c>
      <c r="AF84" s="359" t="str">
        <f>IFERROR(SMALL(AE84:$AE$100,ROWS($AE$4:AE84)),"")</f>
        <v/>
      </c>
      <c r="AG84" s="333" t="b">
        <f t="shared" si="4"/>
        <v>0</v>
      </c>
      <c r="AH84">
        <v>257</v>
      </c>
      <c r="AI84">
        <v>257</v>
      </c>
      <c r="AJ84" t="s">
        <v>1113</v>
      </c>
      <c r="AK84">
        <v>48</v>
      </c>
      <c r="AL84" t="s">
        <v>1684</v>
      </c>
    </row>
    <row r="85" spans="1:38" ht="38.25" x14ac:dyDescent="0.2">
      <c r="A85" s="357">
        <v>171</v>
      </c>
      <c r="B85" s="357" t="s">
        <v>1025</v>
      </c>
      <c r="C85" s="357" t="s">
        <v>1026</v>
      </c>
      <c r="D85" s="357">
        <v>20735</v>
      </c>
      <c r="E85" s="357" t="s">
        <v>61</v>
      </c>
      <c r="F85" s="357">
        <v>20</v>
      </c>
      <c r="G85" s="357" t="s">
        <v>1703</v>
      </c>
      <c r="H85" s="359">
        <f>ROWS($G$4:G85)</f>
        <v>82</v>
      </c>
      <c r="I85" s="359" t="str">
        <f>IF('School Level Expenditures'!$B$2=A85,'School Tables'!H85,"")</f>
        <v/>
      </c>
      <c r="J85" s="359" t="str">
        <f>IFERROR(SMALL($I$4:$I$325,ROWS($I$4:I85)),"")</f>
        <v/>
      </c>
      <c r="K85" s="333" t="b">
        <f t="shared" si="5"/>
        <v>0</v>
      </c>
      <c r="P85" s="334"/>
      <c r="Q85" s="334"/>
      <c r="R85" s="334"/>
      <c r="S85" s="334"/>
      <c r="T85" s="334"/>
      <c r="U85" s="334"/>
      <c r="V85" s="334"/>
      <c r="W85" s="357">
        <v>476</v>
      </c>
      <c r="X85" s="357" t="s">
        <v>1403</v>
      </c>
      <c r="Y85" s="357" t="s">
        <v>1404</v>
      </c>
      <c r="Z85" s="357">
        <v>20620</v>
      </c>
      <c r="AA85" s="357" t="s">
        <v>1534</v>
      </c>
      <c r="AB85" s="357">
        <v>17</v>
      </c>
      <c r="AC85" s="357" t="s">
        <v>1698</v>
      </c>
      <c r="AD85" s="359">
        <f>ROWS($AC$4:AC85)</f>
        <v>82</v>
      </c>
      <c r="AE85" s="359" t="str">
        <f>IF('School Level Expenditures'!$B$2='School Tables'!W85,'School Tables'!AD85,"")</f>
        <v/>
      </c>
      <c r="AF85" s="359" t="str">
        <f>IFERROR(SMALL(AE85:$AE$100,ROWS($AE$4:AE85)),"")</f>
        <v/>
      </c>
      <c r="AG85" s="333" t="b">
        <f t="shared" si="4"/>
        <v>0</v>
      </c>
      <c r="AH85">
        <v>259</v>
      </c>
      <c r="AI85">
        <v>259</v>
      </c>
      <c r="AJ85" t="s">
        <v>1115</v>
      </c>
      <c r="AK85">
        <v>41</v>
      </c>
      <c r="AL85" t="s">
        <v>1686</v>
      </c>
    </row>
    <row r="86" spans="1:38" ht="25.5" x14ac:dyDescent="0.2">
      <c r="A86" s="357">
        <v>371</v>
      </c>
      <c r="B86" s="357" t="s">
        <v>1283</v>
      </c>
      <c r="C86" s="357" t="s">
        <v>1286</v>
      </c>
      <c r="D86" s="357">
        <v>21840</v>
      </c>
      <c r="E86" s="357" t="s">
        <v>61</v>
      </c>
      <c r="F86" s="357">
        <v>42</v>
      </c>
      <c r="G86" s="357" t="s">
        <v>1666</v>
      </c>
      <c r="H86" s="359">
        <f>ROWS($G$4:G86)</f>
        <v>83</v>
      </c>
      <c r="I86" s="359" t="str">
        <f>IF('School Level Expenditures'!$B$2=A86,'School Tables'!H86,"")</f>
        <v/>
      </c>
      <c r="J86" s="359" t="str">
        <f>IFERROR(SMALL($I$4:$I$325,ROWS($I$4:I86)),"")</f>
        <v/>
      </c>
      <c r="K86" s="333" t="b">
        <f t="shared" si="5"/>
        <v>0</v>
      </c>
      <c r="P86" s="333"/>
      <c r="Q86" s="333"/>
      <c r="R86" s="333"/>
      <c r="S86" s="333"/>
      <c r="T86" s="333"/>
      <c r="U86" s="333"/>
      <c r="V86" s="333"/>
      <c r="W86" s="357">
        <v>491</v>
      </c>
      <c r="X86" s="357" t="s">
        <v>1415</v>
      </c>
      <c r="Y86" s="357" t="s">
        <v>1417</v>
      </c>
      <c r="Z86" s="357">
        <v>22845</v>
      </c>
      <c r="AA86" s="357" t="s">
        <v>1534</v>
      </c>
      <c r="AB86" s="357">
        <v>56</v>
      </c>
      <c r="AC86" s="357" t="s">
        <v>1729</v>
      </c>
      <c r="AD86" s="359">
        <f>ROWS($AC$4:AC86)</f>
        <v>83</v>
      </c>
      <c r="AE86" s="359" t="str">
        <f>IF('School Level Expenditures'!$B$2='School Tables'!W86,'School Tables'!AD86,"")</f>
        <v/>
      </c>
      <c r="AF86" s="359" t="str">
        <f>IFERROR(SMALL(AE86:$AE$100,ROWS($AE$4:AE86)),"")</f>
        <v/>
      </c>
      <c r="AG86" s="333" t="b">
        <f t="shared" si="4"/>
        <v>0</v>
      </c>
      <c r="AH86">
        <v>260</v>
      </c>
      <c r="AI86">
        <v>0</v>
      </c>
      <c r="AJ86" t="s">
        <v>1118</v>
      </c>
      <c r="AK86">
        <v>41</v>
      </c>
      <c r="AL86" t="s">
        <v>1686</v>
      </c>
    </row>
    <row r="87" spans="1:38" ht="38.25" x14ac:dyDescent="0.2">
      <c r="A87" s="357">
        <v>174</v>
      </c>
      <c r="B87" s="357" t="s">
        <v>1033</v>
      </c>
      <c r="C87" s="357" t="s">
        <v>1556</v>
      </c>
      <c r="D87" s="357">
        <v>27395</v>
      </c>
      <c r="E87" s="357" t="s">
        <v>1554</v>
      </c>
      <c r="F87" s="357">
        <v>60</v>
      </c>
      <c r="G87" s="357" t="s">
        <v>1662</v>
      </c>
      <c r="H87" s="359">
        <f>ROWS($G$4:G87)</f>
        <v>84</v>
      </c>
      <c r="I87" s="359" t="str">
        <f>IF('School Level Expenditures'!$B$2=A87,'School Tables'!H87,"")</f>
        <v/>
      </c>
      <c r="J87" s="359" t="str">
        <f>IFERROR(SMALL($I$4:$I$325,ROWS($I$4:I87)),"")</f>
        <v/>
      </c>
      <c r="K87" s="333" t="b">
        <f t="shared" si="5"/>
        <v>0</v>
      </c>
      <c r="P87" s="333"/>
      <c r="Q87" s="333"/>
      <c r="R87" s="333"/>
      <c r="S87" s="333"/>
      <c r="T87" s="333"/>
      <c r="U87" s="333"/>
      <c r="V87" s="333"/>
      <c r="W87" s="357">
        <v>493</v>
      </c>
      <c r="X87" s="357" t="s">
        <v>1420</v>
      </c>
      <c r="Y87" s="357" t="s">
        <v>1421</v>
      </c>
      <c r="Z87" s="357">
        <v>26860</v>
      </c>
      <c r="AA87" s="357" t="s">
        <v>1534</v>
      </c>
      <c r="AB87" s="357">
        <v>39</v>
      </c>
      <c r="AC87" s="357" t="s">
        <v>1692</v>
      </c>
      <c r="AD87" s="359">
        <f>ROWS($AC$4:AC87)</f>
        <v>84</v>
      </c>
      <c r="AE87" s="359" t="str">
        <f>IF('School Level Expenditures'!$B$2='School Tables'!W87,'School Tables'!AD87,"")</f>
        <v/>
      </c>
      <c r="AF87" s="359" t="str">
        <f>IFERROR(SMALL(AE87:$AE$100,ROWS($AE$4:AE87)),"")</f>
        <v/>
      </c>
      <c r="AG87" s="333" t="b">
        <f t="shared" si="4"/>
        <v>0</v>
      </c>
      <c r="AH87">
        <v>261</v>
      </c>
      <c r="AI87">
        <v>261</v>
      </c>
      <c r="AJ87" t="s">
        <v>1121</v>
      </c>
      <c r="AK87">
        <v>15</v>
      </c>
      <c r="AL87" t="s">
        <v>1671</v>
      </c>
    </row>
    <row r="88" spans="1:38" ht="51" x14ac:dyDescent="0.2">
      <c r="A88" s="357">
        <v>572</v>
      </c>
      <c r="B88" s="357" t="s">
        <v>1472</v>
      </c>
      <c r="C88" s="357" t="s">
        <v>1474</v>
      </c>
      <c r="D88" s="357">
        <v>23060</v>
      </c>
      <c r="E88" s="357" t="s">
        <v>61</v>
      </c>
      <c r="F88" s="357">
        <v>63</v>
      </c>
      <c r="G88" s="357" t="s">
        <v>1707</v>
      </c>
      <c r="H88" s="359">
        <f>ROWS($G$4:G88)</f>
        <v>85</v>
      </c>
      <c r="I88" s="359" t="str">
        <f>IF('School Level Expenditures'!$B$2=A88,'School Tables'!H88,"")</f>
        <v/>
      </c>
      <c r="J88" s="359" t="str">
        <f>IFERROR(SMALL($I$4:$I$325,ROWS($I$4:I88)),"")</f>
        <v/>
      </c>
      <c r="K88" s="333" t="b">
        <f t="shared" si="5"/>
        <v>0</v>
      </c>
      <c r="P88" s="334"/>
      <c r="Q88" s="334"/>
      <c r="R88" s="334"/>
      <c r="S88" s="334"/>
      <c r="T88" s="334"/>
      <c r="U88" s="334"/>
      <c r="V88" s="334"/>
      <c r="W88" s="357">
        <v>714</v>
      </c>
      <c r="X88" s="357" t="s">
        <v>1610</v>
      </c>
      <c r="Y88" s="357" t="s">
        <v>1611</v>
      </c>
      <c r="Z88" s="357">
        <v>29221</v>
      </c>
      <c r="AA88" s="357" t="s">
        <v>1534</v>
      </c>
      <c r="AB88" s="357">
        <v>437</v>
      </c>
      <c r="AC88" s="357" t="s">
        <v>1610</v>
      </c>
      <c r="AD88" s="359">
        <f>ROWS($AC$4:AC88)</f>
        <v>85</v>
      </c>
      <c r="AE88" s="359" t="str">
        <f>IF('School Level Expenditures'!$B$2='School Tables'!W88,'School Tables'!AD88,"")</f>
        <v/>
      </c>
      <c r="AF88" s="359" t="str">
        <f>IFERROR(SMALL(AE88:$AE$100,ROWS($AE$4:AE88)),"")</f>
        <v/>
      </c>
      <c r="AG88" s="333" t="b">
        <f t="shared" si="4"/>
        <v>0</v>
      </c>
      <c r="AH88">
        <v>263</v>
      </c>
      <c r="AI88">
        <v>263</v>
      </c>
      <c r="AJ88" t="s">
        <v>1125</v>
      </c>
      <c r="AK88">
        <v>66</v>
      </c>
      <c r="AL88" t="s">
        <v>1723</v>
      </c>
    </row>
    <row r="89" spans="1:38" ht="25.5" x14ac:dyDescent="0.2">
      <c r="A89" s="357">
        <v>142</v>
      </c>
      <c r="B89" s="357" t="s">
        <v>1014</v>
      </c>
      <c r="C89" s="357" t="s">
        <v>1016</v>
      </c>
      <c r="D89" s="357">
        <v>20825</v>
      </c>
      <c r="E89" s="357" t="s">
        <v>61</v>
      </c>
      <c r="F89" s="357">
        <v>70</v>
      </c>
      <c r="G89" s="357" t="s">
        <v>1679</v>
      </c>
      <c r="H89" s="359">
        <f>ROWS($G$4:G89)</f>
        <v>86</v>
      </c>
      <c r="I89" s="359" t="str">
        <f>IF('School Level Expenditures'!$B$2=A89,'School Tables'!H89,"")</f>
        <v/>
      </c>
      <c r="J89" s="359" t="str">
        <f>IFERROR(SMALL($I$4:$I$325,ROWS($I$4:I89)),"")</f>
        <v/>
      </c>
      <c r="K89" s="333" t="b">
        <f t="shared" si="5"/>
        <v>0</v>
      </c>
      <c r="P89" s="333"/>
      <c r="Q89" s="333"/>
      <c r="R89" s="333"/>
      <c r="S89" s="333"/>
      <c r="T89" s="333"/>
      <c r="U89" s="333"/>
      <c r="V89" s="333"/>
      <c r="W89" s="357">
        <v>461</v>
      </c>
      <c r="X89" s="357" t="s">
        <v>1376</v>
      </c>
      <c r="Y89" s="357" t="s">
        <v>1383</v>
      </c>
      <c r="Z89" s="357">
        <v>22700</v>
      </c>
      <c r="AA89" s="357" t="s">
        <v>1534</v>
      </c>
      <c r="AB89" s="357">
        <v>54</v>
      </c>
      <c r="AC89" s="357" t="s">
        <v>1689</v>
      </c>
      <c r="AD89" s="359">
        <f>ROWS($AC$4:AC89)</f>
        <v>86</v>
      </c>
      <c r="AE89" s="359" t="str">
        <f>IF('School Level Expenditures'!$B$2='School Tables'!W89,'School Tables'!AD89,"")</f>
        <v/>
      </c>
      <c r="AF89" s="359" t="str">
        <f>IFERROR(SMALL(AE89:$AE$100,ROWS($AE$4:AE89)),"")</f>
        <v/>
      </c>
      <c r="AG89" s="333" t="b">
        <f t="shared" si="4"/>
        <v>0</v>
      </c>
      <c r="AH89">
        <v>267</v>
      </c>
      <c r="AI89">
        <v>267</v>
      </c>
      <c r="AJ89" t="s">
        <v>1130</v>
      </c>
      <c r="AK89">
        <v>81</v>
      </c>
      <c r="AL89" t="s">
        <v>1700</v>
      </c>
    </row>
    <row r="90" spans="1:38" ht="38.25" x14ac:dyDescent="0.2">
      <c r="A90" s="357">
        <v>112</v>
      </c>
      <c r="B90" s="357" t="s">
        <v>977</v>
      </c>
      <c r="C90" s="357" t="s">
        <v>982</v>
      </c>
      <c r="D90" s="357">
        <v>22245</v>
      </c>
      <c r="E90" s="357" t="s">
        <v>61</v>
      </c>
      <c r="F90" s="357">
        <v>1</v>
      </c>
      <c r="G90" s="357" t="s">
        <v>1668</v>
      </c>
      <c r="H90" s="359">
        <f>ROWS($G$4:G90)</f>
        <v>87</v>
      </c>
      <c r="I90" s="359" t="str">
        <f>IF('School Level Expenditures'!$B$2=A90,'School Tables'!H90,"")</f>
        <v/>
      </c>
      <c r="J90" s="359" t="str">
        <f>IFERROR(SMALL($I$4:$I$325,ROWS($I$4:I90)),"")</f>
        <v/>
      </c>
      <c r="K90" s="333" t="b">
        <f t="shared" si="5"/>
        <v>0</v>
      </c>
      <c r="P90" s="334"/>
      <c r="Q90" s="334"/>
      <c r="R90" s="334"/>
      <c r="S90" s="334"/>
      <c r="T90" s="334"/>
      <c r="U90" s="334"/>
      <c r="V90" s="334"/>
      <c r="W90" s="357">
        <v>101</v>
      </c>
      <c r="X90" s="357" t="s">
        <v>963</v>
      </c>
      <c r="Y90" s="357" t="s">
        <v>965</v>
      </c>
      <c r="Z90" s="357">
        <v>20140</v>
      </c>
      <c r="AA90" s="357" t="s">
        <v>1534</v>
      </c>
      <c r="AB90" s="357">
        <v>6</v>
      </c>
      <c r="AC90" s="357" t="s">
        <v>1681</v>
      </c>
      <c r="AD90" s="359">
        <f>ROWS($AC$4:AC90)</f>
        <v>87</v>
      </c>
      <c r="AE90" s="359" t="str">
        <f>IF('School Level Expenditures'!$B$2='School Tables'!W90,'School Tables'!AD90,"")</f>
        <v/>
      </c>
      <c r="AF90" s="359" t="str">
        <f>IFERROR(SMALL(AE90:$AE$100,ROWS($AE$4:AE90)),"")</f>
        <v/>
      </c>
      <c r="AG90" s="333" t="b">
        <f t="shared" si="4"/>
        <v>0</v>
      </c>
      <c r="AH90">
        <v>269</v>
      </c>
      <c r="AI90">
        <v>0</v>
      </c>
      <c r="AJ90" t="s">
        <v>1136</v>
      </c>
      <c r="AK90">
        <v>2</v>
      </c>
      <c r="AL90" t="s">
        <v>1669</v>
      </c>
    </row>
    <row r="91" spans="1:38" ht="25.5" x14ac:dyDescent="0.2">
      <c r="A91" s="357">
        <v>279</v>
      </c>
      <c r="B91" s="357" t="s">
        <v>1157</v>
      </c>
      <c r="C91" s="357" t="s">
        <v>1161</v>
      </c>
      <c r="D91" s="357">
        <v>21190</v>
      </c>
      <c r="E91" s="357" t="s">
        <v>61</v>
      </c>
      <c r="F91" s="357">
        <v>29</v>
      </c>
      <c r="G91" s="357" t="s">
        <v>1691</v>
      </c>
      <c r="H91" s="359">
        <f>ROWS($G$4:G91)</f>
        <v>88</v>
      </c>
      <c r="I91" s="359" t="str">
        <f>IF('School Level Expenditures'!$B$2=A91,'School Tables'!H91,"")</f>
        <v/>
      </c>
      <c r="J91" s="359" t="str">
        <f>IFERROR(SMALL($I$4:$I$325,ROWS($I$4:I91)),"")</f>
        <v/>
      </c>
      <c r="K91" s="333" t="b">
        <f t="shared" si="5"/>
        <v>0</v>
      </c>
      <c r="P91" s="333"/>
      <c r="Q91" s="333"/>
      <c r="R91" s="333"/>
      <c r="S91" s="333"/>
      <c r="T91" s="333"/>
      <c r="U91" s="333"/>
      <c r="V91" s="333"/>
      <c r="W91" s="357">
        <v>515</v>
      </c>
      <c r="X91" s="357" t="s">
        <v>1436</v>
      </c>
      <c r="Y91" s="357" t="s">
        <v>1437</v>
      </c>
      <c r="Z91" s="357">
        <v>22000</v>
      </c>
      <c r="AA91" s="357" t="s">
        <v>1534</v>
      </c>
      <c r="AB91" s="357">
        <v>85</v>
      </c>
      <c r="AC91" s="357" t="s">
        <v>1762</v>
      </c>
      <c r="AD91" s="359">
        <f>ROWS($AC$4:AC91)</f>
        <v>88</v>
      </c>
      <c r="AE91" s="359" t="str">
        <f>IF('School Level Expenditures'!$B$2='School Tables'!W91,'School Tables'!AD91,"")</f>
        <v/>
      </c>
      <c r="AF91" s="359" t="str">
        <f>IFERROR(SMALL(AE91:$AE$100,ROWS($AE$4:AE91)),"")</f>
        <v/>
      </c>
      <c r="AG91" s="333" t="b">
        <f t="shared" si="4"/>
        <v>0</v>
      </c>
      <c r="AH91">
        <v>271</v>
      </c>
      <c r="AI91">
        <v>271</v>
      </c>
      <c r="AJ91" t="s">
        <v>1141</v>
      </c>
      <c r="AK91">
        <v>9</v>
      </c>
      <c r="AL91" t="s">
        <v>1694</v>
      </c>
    </row>
    <row r="92" spans="1:38" ht="51" x14ac:dyDescent="0.2">
      <c r="A92" s="357">
        <v>185</v>
      </c>
      <c r="B92" s="357" t="s">
        <v>1049</v>
      </c>
      <c r="C92" s="357" t="s">
        <v>1052</v>
      </c>
      <c r="D92" s="357">
        <v>26755</v>
      </c>
      <c r="E92" s="357" t="s">
        <v>61</v>
      </c>
      <c r="F92" s="357">
        <v>18</v>
      </c>
      <c r="G92" s="357" t="s">
        <v>1708</v>
      </c>
      <c r="H92" s="359">
        <f>ROWS($G$4:G92)</f>
        <v>89</v>
      </c>
      <c r="I92" s="359" t="str">
        <f>IF('School Level Expenditures'!$B$2=A92,'School Tables'!H92,"")</f>
        <v/>
      </c>
      <c r="J92" s="359" t="str">
        <f>IFERROR(SMALL($I$4:$I$325,ROWS($I$4:I92)),"")</f>
        <v/>
      </c>
      <c r="K92" s="333" t="b">
        <f t="shared" si="5"/>
        <v>0</v>
      </c>
      <c r="P92" s="333"/>
      <c r="Q92" s="333"/>
      <c r="R92" s="333"/>
      <c r="S92" s="333"/>
      <c r="T92" s="333"/>
      <c r="U92" s="333"/>
      <c r="V92" s="333"/>
      <c r="W92" s="357">
        <v>741</v>
      </c>
      <c r="X92" s="357" t="s">
        <v>1524</v>
      </c>
      <c r="Y92" s="357" t="s">
        <v>1525</v>
      </c>
      <c r="Z92" s="357">
        <v>29149</v>
      </c>
      <c r="AA92" s="357" t="s">
        <v>1534</v>
      </c>
      <c r="AB92" s="357">
        <v>423</v>
      </c>
      <c r="AC92" s="357" t="s">
        <v>1524</v>
      </c>
      <c r="AD92" s="359">
        <f>ROWS($AC$4:AC92)</f>
        <v>89</v>
      </c>
      <c r="AE92" s="359" t="str">
        <f>IF('School Level Expenditures'!$B$2='School Tables'!W92,'School Tables'!AD92,"")</f>
        <v/>
      </c>
      <c r="AF92" s="359" t="str">
        <f>IFERROR(SMALL(AE92:$AE$100,ROWS($AE$4:AE92)),"")</f>
        <v/>
      </c>
      <c r="AG92" s="333" t="b">
        <f t="shared" si="4"/>
        <v>0</v>
      </c>
      <c r="AH92">
        <v>274</v>
      </c>
      <c r="AI92">
        <v>0</v>
      </c>
      <c r="AJ92" t="s">
        <v>1143</v>
      </c>
      <c r="AK92">
        <v>47</v>
      </c>
      <c r="AL92" t="s">
        <v>1730</v>
      </c>
    </row>
    <row r="93" spans="1:38" ht="38.25" x14ac:dyDescent="0.2">
      <c r="A93" s="357">
        <v>261</v>
      </c>
      <c r="B93" s="357" t="s">
        <v>1121</v>
      </c>
      <c r="C93" s="357" t="s">
        <v>1123</v>
      </c>
      <c r="D93" s="357">
        <v>20550</v>
      </c>
      <c r="E93" s="357" t="s">
        <v>61</v>
      </c>
      <c r="F93" s="357">
        <v>15</v>
      </c>
      <c r="G93" s="357" t="s">
        <v>1671</v>
      </c>
      <c r="H93" s="359">
        <f>ROWS($G$4:G93)</f>
        <v>90</v>
      </c>
      <c r="I93" s="359" t="str">
        <f>IF('School Level Expenditures'!$B$2=A93,'School Tables'!H93,"")</f>
        <v/>
      </c>
      <c r="J93" s="359" t="str">
        <f>IFERROR(SMALL($I$4:$I$325,ROWS($I$4:I93)),"")</f>
        <v/>
      </c>
      <c r="K93" s="333" t="b">
        <f t="shared" si="5"/>
        <v>0</v>
      </c>
      <c r="P93" s="333"/>
      <c r="Q93" s="333"/>
      <c r="R93" s="333"/>
      <c r="S93" s="333"/>
      <c r="T93" s="333"/>
      <c r="U93" s="333"/>
      <c r="V93" s="333"/>
      <c r="W93" s="357">
        <v>534</v>
      </c>
      <c r="X93" s="357" t="s">
        <v>1443</v>
      </c>
      <c r="Y93" s="357" t="s">
        <v>1449</v>
      </c>
      <c r="Z93" s="357">
        <v>22770</v>
      </c>
      <c r="AA93" s="357" t="s">
        <v>1534</v>
      </c>
      <c r="AB93" s="357">
        <v>106</v>
      </c>
      <c r="AC93" s="357" t="s">
        <v>1670</v>
      </c>
      <c r="AD93" s="359">
        <f>ROWS($AC$4:AC93)</f>
        <v>90</v>
      </c>
      <c r="AE93" s="359" t="str">
        <f>IF('School Level Expenditures'!$B$2='School Tables'!W93,'School Tables'!AD93,"")</f>
        <v/>
      </c>
      <c r="AF93" s="359" t="str">
        <f>IFERROR(SMALL(AE93:$AE$100,ROWS($AE$4:AE93)),"")</f>
        <v/>
      </c>
      <c r="AG93" s="333" t="b">
        <f t="shared" si="4"/>
        <v>0</v>
      </c>
      <c r="AH93">
        <v>275</v>
      </c>
      <c r="AI93">
        <v>0</v>
      </c>
      <c r="AJ93" t="s">
        <v>1148</v>
      </c>
      <c r="AK93">
        <v>24</v>
      </c>
      <c r="AL93" t="s">
        <v>1688</v>
      </c>
    </row>
    <row r="94" spans="1:38" ht="63.75" x14ac:dyDescent="0.2">
      <c r="A94" s="357">
        <v>187</v>
      </c>
      <c r="B94" s="357" t="s">
        <v>1053</v>
      </c>
      <c r="C94" s="357" t="s">
        <v>1054</v>
      </c>
      <c r="D94" s="357">
        <v>20350</v>
      </c>
      <c r="E94" s="357" t="s">
        <v>61</v>
      </c>
      <c r="F94" s="357">
        <v>13</v>
      </c>
      <c r="G94" s="357" t="s">
        <v>1709</v>
      </c>
      <c r="H94" s="359">
        <f>ROWS($G$4:G94)</f>
        <v>91</v>
      </c>
      <c r="I94" s="359" t="str">
        <f>IF('School Level Expenditures'!$B$2=A94,'School Tables'!H94,"")</f>
        <v/>
      </c>
      <c r="J94" s="359" t="str">
        <f>IFERROR(SMALL($I$4:$I$325,ROWS($I$4:I94)),"")</f>
        <v/>
      </c>
      <c r="K94" s="333" t="b">
        <f t="shared" si="5"/>
        <v>0</v>
      </c>
      <c r="P94" s="334"/>
      <c r="Q94" s="334"/>
      <c r="R94" s="334"/>
      <c r="S94" s="334"/>
      <c r="T94" s="334"/>
      <c r="U94" s="334"/>
      <c r="V94" s="334"/>
      <c r="W94" s="357">
        <v>727</v>
      </c>
      <c r="X94" s="357" t="s">
        <v>1513</v>
      </c>
      <c r="Y94" s="357" t="s">
        <v>1515</v>
      </c>
      <c r="Z94" s="357">
        <v>28605</v>
      </c>
      <c r="AA94" s="357" t="s">
        <v>1534</v>
      </c>
      <c r="AB94" s="357">
        <v>412</v>
      </c>
      <c r="AC94" s="357" t="s">
        <v>1513</v>
      </c>
      <c r="AD94" s="359">
        <f>ROWS($AC$4:AC94)</f>
        <v>91</v>
      </c>
      <c r="AE94" s="359" t="str">
        <f>IF('School Level Expenditures'!$B$2='School Tables'!W94,'School Tables'!AD94,"")</f>
        <v/>
      </c>
      <c r="AF94" s="359" t="str">
        <f>IFERROR(SMALL(AE94:$AE$100,ROWS($AE$4:AE94)),"")</f>
        <v/>
      </c>
      <c r="AG94" s="333" t="b">
        <f t="shared" si="4"/>
        <v>0</v>
      </c>
      <c r="AH94">
        <v>276</v>
      </c>
      <c r="AI94">
        <v>0</v>
      </c>
      <c r="AJ94" t="s">
        <v>1150</v>
      </c>
      <c r="AK94">
        <v>65</v>
      </c>
      <c r="AL94" t="s">
        <v>1731</v>
      </c>
    </row>
    <row r="95" spans="1:38" ht="51" x14ac:dyDescent="0.2">
      <c r="A95" s="357">
        <v>279</v>
      </c>
      <c r="B95" s="357" t="s">
        <v>1157</v>
      </c>
      <c r="C95" s="357" t="s">
        <v>1158</v>
      </c>
      <c r="D95" s="357">
        <v>21165</v>
      </c>
      <c r="E95" s="357" t="s">
        <v>61</v>
      </c>
      <c r="F95" s="357">
        <v>29</v>
      </c>
      <c r="G95" s="357" t="s">
        <v>1691</v>
      </c>
      <c r="H95" s="359">
        <f>ROWS($G$4:G95)</f>
        <v>92</v>
      </c>
      <c r="I95" s="359" t="str">
        <f>IF('School Level Expenditures'!$B$2=A95,'School Tables'!H95,"")</f>
        <v/>
      </c>
      <c r="J95" s="359" t="str">
        <f>IFERROR(SMALL($I$4:$I$325,ROWS($I$4:I95)),"")</f>
        <v/>
      </c>
      <c r="K95" s="333" t="b">
        <f t="shared" si="5"/>
        <v>0</v>
      </c>
      <c r="P95" s="333"/>
      <c r="Q95" s="333"/>
      <c r="R95" s="333"/>
      <c r="S95" s="333"/>
      <c r="T95" s="333"/>
      <c r="U95" s="333"/>
      <c r="V95" s="333"/>
      <c r="W95" s="357">
        <v>568</v>
      </c>
      <c r="X95" s="357" t="s">
        <v>1468</v>
      </c>
      <c r="Y95" s="357" t="s">
        <v>1471</v>
      </c>
      <c r="Z95" s="357">
        <v>21480</v>
      </c>
      <c r="AA95" s="357" t="s">
        <v>1534</v>
      </c>
      <c r="AB95" s="357">
        <v>36</v>
      </c>
      <c r="AC95" s="357" t="s">
        <v>1735</v>
      </c>
      <c r="AD95" s="359">
        <f>ROWS($AC$4:AC95)</f>
        <v>92</v>
      </c>
      <c r="AE95" s="359" t="str">
        <f>IF('School Level Expenditures'!$B$2='School Tables'!W95,'School Tables'!AD95,"")</f>
        <v/>
      </c>
      <c r="AF95" s="359" t="str">
        <f>IFERROR(SMALL(AE95:$AE$100,ROWS($AE$4:AE95)),"")</f>
        <v/>
      </c>
      <c r="AG95" s="333" t="b">
        <f t="shared" si="4"/>
        <v>0</v>
      </c>
      <c r="AH95">
        <v>279</v>
      </c>
      <c r="AI95">
        <v>279</v>
      </c>
      <c r="AJ95" t="s">
        <v>1157</v>
      </c>
      <c r="AK95">
        <v>29</v>
      </c>
      <c r="AL95" t="s">
        <v>1691</v>
      </c>
    </row>
    <row r="96" spans="1:38" ht="51" x14ac:dyDescent="0.2">
      <c r="A96" s="357">
        <v>141</v>
      </c>
      <c r="B96" s="357" t="s">
        <v>1008</v>
      </c>
      <c r="C96" s="357" t="s">
        <v>1009</v>
      </c>
      <c r="D96" s="357">
        <v>20430</v>
      </c>
      <c r="E96" s="357" t="s">
        <v>61</v>
      </c>
      <c r="F96" s="357">
        <v>11</v>
      </c>
      <c r="G96" s="357" t="s">
        <v>1710</v>
      </c>
      <c r="H96" s="359">
        <f>ROWS($G$4:G96)</f>
        <v>93</v>
      </c>
      <c r="I96" s="359" t="str">
        <f>IF('School Level Expenditures'!$B$2=A96,'School Tables'!H96,"")</f>
        <v/>
      </c>
      <c r="J96" s="359" t="str">
        <f>IFERROR(SMALL($I$4:$I$325,ROWS($I$4:I96)),"")</f>
        <v/>
      </c>
      <c r="K96" s="333" t="b">
        <f t="shared" si="5"/>
        <v>0</v>
      </c>
      <c r="P96" s="334"/>
      <c r="Q96" s="334"/>
      <c r="R96" s="334"/>
      <c r="S96" s="334"/>
      <c r="T96" s="334"/>
      <c r="U96" s="334"/>
      <c r="V96" s="334"/>
      <c r="W96" s="357">
        <v>572</v>
      </c>
      <c r="X96" s="357" t="s">
        <v>1472</v>
      </c>
      <c r="Y96" s="357" t="s">
        <v>1475</v>
      </c>
      <c r="Z96" s="357">
        <v>23070</v>
      </c>
      <c r="AA96" s="357" t="s">
        <v>1534</v>
      </c>
      <c r="AB96" s="357">
        <v>63</v>
      </c>
      <c r="AC96" s="357" t="s">
        <v>1707</v>
      </c>
      <c r="AD96" s="359">
        <f>ROWS($AC$4:AC96)</f>
        <v>93</v>
      </c>
      <c r="AE96" s="359" t="str">
        <f>IF('School Level Expenditures'!$B$2='School Tables'!W96,'School Tables'!AD96,"")</f>
        <v/>
      </c>
      <c r="AF96" s="359" t="str">
        <f>IFERROR(SMALL(AE96:$AE$100,ROWS($AE$4:AE96)),"")</f>
        <v/>
      </c>
      <c r="AG96" s="333" t="b">
        <f t="shared" si="4"/>
        <v>0</v>
      </c>
      <c r="AH96">
        <v>281</v>
      </c>
      <c r="AI96">
        <v>281</v>
      </c>
      <c r="AJ96" t="s">
        <v>1164</v>
      </c>
      <c r="AK96">
        <v>16</v>
      </c>
      <c r="AL96" t="s">
        <v>1702</v>
      </c>
    </row>
    <row r="97" spans="1:38" ht="76.5" x14ac:dyDescent="0.2">
      <c r="A97" s="357">
        <v>742</v>
      </c>
      <c r="B97" s="357" t="s">
        <v>1527</v>
      </c>
      <c r="C97" s="357" t="s">
        <v>1528</v>
      </c>
      <c r="D97" s="357">
        <v>29151</v>
      </c>
      <c r="E97" s="357" t="s">
        <v>61</v>
      </c>
      <c r="F97" s="357">
        <v>425</v>
      </c>
      <c r="G97" s="357" t="s">
        <v>1527</v>
      </c>
      <c r="H97" s="359">
        <f>ROWS($G$4:G97)</f>
        <v>94</v>
      </c>
      <c r="I97" s="359" t="str">
        <f>IF('School Level Expenditures'!$B$2=A97,'School Tables'!H97,"")</f>
        <v/>
      </c>
      <c r="J97" s="359" t="str">
        <f>IFERROR(SMALL($I$4:$I$325,ROWS($I$4:I97)),"")</f>
        <v/>
      </c>
      <c r="K97" s="333" t="b">
        <f t="shared" si="5"/>
        <v>0</v>
      </c>
      <c r="P97" s="333"/>
      <c r="Q97" s="333"/>
      <c r="R97" s="333"/>
      <c r="S97" s="333"/>
      <c r="T97" s="333"/>
      <c r="U97" s="333"/>
      <c r="V97" s="333"/>
      <c r="W97" s="357">
        <v>575</v>
      </c>
      <c r="X97" s="357" t="s">
        <v>1478</v>
      </c>
      <c r="Y97" s="357" t="s">
        <v>1482</v>
      </c>
      <c r="Z97" s="357">
        <v>28640</v>
      </c>
      <c r="AA97" s="357" t="s">
        <v>1534</v>
      </c>
      <c r="AB97" s="357">
        <v>95</v>
      </c>
      <c r="AC97" s="357" t="s">
        <v>1716</v>
      </c>
      <c r="AD97" s="359">
        <f>ROWS($AC$4:AC97)</f>
        <v>94</v>
      </c>
      <c r="AE97" s="359" t="str">
        <f>IF('School Level Expenditures'!$B$2='School Tables'!W97,'School Tables'!AD97,"")</f>
        <v/>
      </c>
      <c r="AF97" s="359" t="str">
        <f>IFERROR(SMALL(AE97:$AE$100,ROWS($AE$4:AE97)),"")</f>
        <v/>
      </c>
      <c r="AG97" s="333" t="b">
        <f t="shared" si="4"/>
        <v>0</v>
      </c>
      <c r="AH97" s="360">
        <v>708</v>
      </c>
      <c r="AI97" s="360">
        <v>708</v>
      </c>
      <c r="AJ97" s="360" t="s">
        <v>1499</v>
      </c>
      <c r="AK97" s="360">
        <v>432</v>
      </c>
      <c r="AL97" s="360" t="s">
        <v>1499</v>
      </c>
    </row>
    <row r="98" spans="1:38" ht="51" x14ac:dyDescent="0.2">
      <c r="A98" s="357">
        <v>750</v>
      </c>
      <c r="B98" s="357" t="s">
        <v>1711</v>
      </c>
      <c r="C98" s="357" t="s">
        <v>1712</v>
      </c>
      <c r="D98" s="357">
        <v>29238</v>
      </c>
      <c r="E98" s="357" t="s">
        <v>61</v>
      </c>
      <c r="F98" s="357">
        <v>450</v>
      </c>
      <c r="G98" s="357" t="s">
        <v>1713</v>
      </c>
      <c r="H98" s="359">
        <f>ROWS($G$4:G98)</f>
        <v>95</v>
      </c>
      <c r="I98" s="359" t="str">
        <f>IF('School Level Expenditures'!$B$2=A98,'School Tables'!H98,"")</f>
        <v/>
      </c>
      <c r="J98" s="359" t="str">
        <f>IFERROR(SMALL($I$4:$I$325,ROWS($I$4:I98)),"")</f>
        <v/>
      </c>
      <c r="K98" s="333" t="b">
        <f t="shared" si="5"/>
        <v>0</v>
      </c>
      <c r="P98" s="334"/>
      <c r="Q98" s="334"/>
      <c r="R98" s="334"/>
      <c r="S98" s="334"/>
      <c r="T98" s="334"/>
      <c r="U98" s="334"/>
      <c r="V98" s="334"/>
      <c r="W98" s="357">
        <v>581</v>
      </c>
      <c r="X98" s="357" t="s">
        <v>1483</v>
      </c>
      <c r="Y98" s="357" t="s">
        <v>1484</v>
      </c>
      <c r="Z98" s="357">
        <v>20780</v>
      </c>
      <c r="AA98" s="357" t="s">
        <v>1534</v>
      </c>
      <c r="AB98" s="357">
        <v>21</v>
      </c>
      <c r="AC98" s="357" t="s">
        <v>1737</v>
      </c>
      <c r="AD98" s="359">
        <f>ROWS($AC$4:AC98)</f>
        <v>95</v>
      </c>
      <c r="AE98" s="359" t="str">
        <f>IF('School Level Expenditures'!$B$2='School Tables'!W98,'School Tables'!AD98,"")</f>
        <v/>
      </c>
      <c r="AF98" s="359" t="str">
        <f>IFERROR(SMALL(AE98:$AE$100,ROWS($AE$4:AE98)),"")</f>
        <v/>
      </c>
      <c r="AG98" s="333" t="b">
        <f t="shared" si="4"/>
        <v>0</v>
      </c>
      <c r="AH98">
        <v>285</v>
      </c>
      <c r="AI98">
        <v>285</v>
      </c>
      <c r="AJ98" t="s">
        <v>1166</v>
      </c>
      <c r="AK98">
        <v>30</v>
      </c>
      <c r="AL98" t="s">
        <v>1705</v>
      </c>
    </row>
    <row r="99" spans="1:38" ht="38.25" x14ac:dyDescent="0.2">
      <c r="A99" s="357">
        <v>191</v>
      </c>
      <c r="B99" s="357" t="s">
        <v>1057</v>
      </c>
      <c r="C99" s="357" t="s">
        <v>1059</v>
      </c>
      <c r="D99" s="357">
        <v>21245</v>
      </c>
      <c r="E99" s="357" t="s">
        <v>61</v>
      </c>
      <c r="F99" s="357">
        <v>73</v>
      </c>
      <c r="G99" s="357" t="s">
        <v>1714</v>
      </c>
      <c r="H99" s="359">
        <f>ROWS($G$4:G99)</f>
        <v>96</v>
      </c>
      <c r="I99" s="359" t="str">
        <f>IF('School Level Expenditures'!$B$2=A99,'School Tables'!H99,"")</f>
        <v/>
      </c>
      <c r="J99" s="359" t="str">
        <f>IFERROR(SMALL($I$4:$I$325,ROWS($I$4:I99)),"")</f>
        <v/>
      </c>
      <c r="K99" s="333" t="b">
        <f t="shared" si="5"/>
        <v>0</v>
      </c>
      <c r="P99" s="333"/>
      <c r="Q99" s="333"/>
      <c r="R99" s="333"/>
      <c r="S99" s="333"/>
      <c r="T99" s="333"/>
      <c r="U99" s="333"/>
      <c r="V99" s="333"/>
      <c r="W99" s="357">
        <v>582</v>
      </c>
      <c r="X99" s="357" t="s">
        <v>1485</v>
      </c>
      <c r="Y99" s="357" t="s">
        <v>1488</v>
      </c>
      <c r="Z99" s="357">
        <v>22950</v>
      </c>
      <c r="AA99" s="357" t="s">
        <v>1534</v>
      </c>
      <c r="AB99" s="357">
        <v>59</v>
      </c>
      <c r="AC99" s="357" t="s">
        <v>1760</v>
      </c>
      <c r="AD99" s="359">
        <f>ROWS($AC$4:AC99)</f>
        <v>96</v>
      </c>
      <c r="AE99" s="359" t="str">
        <f>IF('School Level Expenditures'!$B$2='School Tables'!W99,'School Tables'!AD99,"")</f>
        <v/>
      </c>
      <c r="AF99" s="359" t="str">
        <f>IFERROR(SMALL(AE99:$AE$100,ROWS($AE$4:AE99)),"")</f>
        <v/>
      </c>
      <c r="AG99" s="333" t="b">
        <f t="shared" si="4"/>
        <v>0</v>
      </c>
      <c r="AH99">
        <v>288</v>
      </c>
      <c r="AI99">
        <v>0</v>
      </c>
      <c r="AJ99" t="s">
        <v>1172</v>
      </c>
      <c r="AK99">
        <v>35</v>
      </c>
      <c r="AL99" t="s">
        <v>1680</v>
      </c>
    </row>
    <row r="100" spans="1:38" ht="38.25" x14ac:dyDescent="0.2">
      <c r="A100" s="357">
        <v>195</v>
      </c>
      <c r="B100" s="357" t="s">
        <v>1061</v>
      </c>
      <c r="C100" s="357" t="s">
        <v>1062</v>
      </c>
      <c r="D100" s="357">
        <v>21250</v>
      </c>
      <c r="E100" s="357" t="s">
        <v>61</v>
      </c>
      <c r="F100" s="357">
        <v>79</v>
      </c>
      <c r="G100" s="357" t="s">
        <v>1715</v>
      </c>
      <c r="H100" s="359">
        <f>ROWS($G$4:G100)</f>
        <v>97</v>
      </c>
      <c r="I100" s="359" t="str">
        <f>IF('School Level Expenditures'!$B$2=A100,'School Tables'!H100,"")</f>
        <v/>
      </c>
      <c r="J100" s="359" t="str">
        <f>IFERROR(SMALL($I$4:$I$325,ROWS($I$4:I100)),"")</f>
        <v/>
      </c>
      <c r="K100" s="333" t="b">
        <f t="shared" si="5"/>
        <v>0</v>
      </c>
      <c r="P100" s="332"/>
      <c r="Q100" s="332"/>
      <c r="R100" s="332"/>
      <c r="S100" s="332"/>
      <c r="T100" s="332"/>
      <c r="U100" s="332"/>
      <c r="V100" s="332"/>
      <c r="W100" s="357">
        <v>238</v>
      </c>
      <c r="X100" s="357" t="s">
        <v>1097</v>
      </c>
      <c r="Y100" s="357" t="s">
        <v>1099</v>
      </c>
      <c r="Z100" s="357">
        <v>20910</v>
      </c>
      <c r="AA100" s="357" t="s">
        <v>1534</v>
      </c>
      <c r="AB100" s="357">
        <v>23</v>
      </c>
      <c r="AC100" s="357" t="s">
        <v>1676</v>
      </c>
      <c r="AD100" s="359">
        <f>ROWS($AC$4:AC100)</f>
        <v>97</v>
      </c>
      <c r="AE100" s="359" t="str">
        <f>IF('School Level Expenditures'!$B$2='School Tables'!W100,'School Tables'!AD100,"")</f>
        <v/>
      </c>
      <c r="AF100" s="359" t="str">
        <f>IFERROR(SMALL(AE100:$AE$100,ROWS($AE$4:AE100)),"")</f>
        <v/>
      </c>
      <c r="AH100">
        <v>291</v>
      </c>
      <c r="AI100">
        <v>291</v>
      </c>
      <c r="AJ100" t="s">
        <v>1174</v>
      </c>
      <c r="AK100">
        <v>35</v>
      </c>
      <c r="AL100" t="s">
        <v>1680</v>
      </c>
    </row>
    <row r="101" spans="1:38" ht="38.25" x14ac:dyDescent="0.2">
      <c r="A101" s="357">
        <v>363</v>
      </c>
      <c r="B101" s="357" t="s">
        <v>1271</v>
      </c>
      <c r="C101" s="357" t="s">
        <v>1601</v>
      </c>
      <c r="D101" s="357">
        <v>21670</v>
      </c>
      <c r="E101" s="357" t="s">
        <v>61</v>
      </c>
      <c r="F101" s="357">
        <v>93</v>
      </c>
      <c r="G101" s="357" t="s">
        <v>1697</v>
      </c>
      <c r="H101" s="359">
        <f>ROWS($G$4:G101)</f>
        <v>98</v>
      </c>
      <c r="I101" s="359" t="str">
        <f>IF('School Level Expenditures'!$B$2=A101,'School Tables'!H101,"")</f>
        <v/>
      </c>
      <c r="J101" s="359" t="str">
        <f>IFERROR(SMALL($I$4:$I$325,ROWS($I$4:I101)),"")</f>
        <v/>
      </c>
      <c r="K101" s="333" t="b">
        <f t="shared" si="5"/>
        <v>0</v>
      </c>
      <c r="P101" s="332"/>
      <c r="Q101" s="332"/>
      <c r="R101" s="332"/>
      <c r="S101" s="332"/>
      <c r="T101" s="332"/>
      <c r="U101" s="332"/>
      <c r="V101" s="332"/>
      <c r="W101" s="287"/>
      <c r="AH101" s="360">
        <v>706</v>
      </c>
      <c r="AI101" s="360">
        <v>706</v>
      </c>
      <c r="AJ101" s="360" t="s">
        <v>1497</v>
      </c>
      <c r="AK101" s="360">
        <v>431</v>
      </c>
      <c r="AL101" s="360" t="s">
        <v>1497</v>
      </c>
    </row>
    <row r="102" spans="1:38" ht="25.5" x14ac:dyDescent="0.2">
      <c r="A102" s="357">
        <v>199</v>
      </c>
      <c r="B102" s="357" t="s">
        <v>1063</v>
      </c>
      <c r="C102" s="357" t="s">
        <v>1065</v>
      </c>
      <c r="D102" s="357">
        <v>28525</v>
      </c>
      <c r="E102" s="357" t="s">
        <v>61</v>
      </c>
      <c r="F102" s="357">
        <v>19</v>
      </c>
      <c r="G102" s="357" t="s">
        <v>1675</v>
      </c>
      <c r="H102" s="359">
        <f>ROWS($G$4:G102)</f>
        <v>99</v>
      </c>
      <c r="I102" s="359" t="str">
        <f>IF('School Level Expenditures'!$B$2=A102,'School Tables'!H102,"")</f>
        <v/>
      </c>
      <c r="J102" s="359" t="str">
        <f>IFERROR(SMALL($I$4:$I$325,ROWS($I$4:I102)),"")</f>
        <v/>
      </c>
      <c r="K102" s="333" t="b">
        <f t="shared" si="5"/>
        <v>0</v>
      </c>
      <c r="P102" s="332"/>
      <c r="Q102" s="332"/>
      <c r="R102" s="332"/>
      <c r="S102" s="332"/>
      <c r="T102" s="332"/>
      <c r="U102" s="332"/>
      <c r="V102" s="332"/>
      <c r="W102" s="287"/>
      <c r="AH102">
        <v>295</v>
      </c>
      <c r="AI102">
        <v>295</v>
      </c>
      <c r="AJ102" t="s">
        <v>1176</v>
      </c>
      <c r="AK102">
        <v>88</v>
      </c>
      <c r="AL102" t="s">
        <v>1722</v>
      </c>
    </row>
    <row r="103" spans="1:38" ht="38.25" x14ac:dyDescent="0.2">
      <c r="A103" s="357">
        <v>575</v>
      </c>
      <c r="B103" s="357" t="s">
        <v>1478</v>
      </c>
      <c r="C103" s="357" t="s">
        <v>1480</v>
      </c>
      <c r="D103" s="357">
        <v>21130</v>
      </c>
      <c r="E103" s="357" t="s">
        <v>61</v>
      </c>
      <c r="F103" s="357">
        <v>95</v>
      </c>
      <c r="G103" s="357" t="s">
        <v>1716</v>
      </c>
      <c r="H103" s="359">
        <f>ROWS($G$4:G103)</f>
        <v>100</v>
      </c>
      <c r="I103" s="359" t="str">
        <f>IF('School Level Expenditures'!$B$2=A103,'School Tables'!H103,"")</f>
        <v/>
      </c>
      <c r="J103" s="359" t="str">
        <f>IFERROR(SMALL($I$4:$I$325,ROWS($I$4:I103)),"")</f>
        <v/>
      </c>
      <c r="K103" s="333" t="b">
        <f t="shared" si="5"/>
        <v>0</v>
      </c>
      <c r="P103" s="332"/>
      <c r="Q103" s="332"/>
      <c r="R103" s="332"/>
      <c r="S103" s="332"/>
      <c r="T103" s="332"/>
      <c r="U103" s="332"/>
      <c r="V103" s="332"/>
      <c r="W103" s="287"/>
      <c r="AH103" s="360">
        <v>719</v>
      </c>
      <c r="AI103" s="360">
        <v>719</v>
      </c>
      <c r="AJ103" s="360" t="s">
        <v>1507</v>
      </c>
      <c r="AK103" s="360">
        <v>408</v>
      </c>
      <c r="AL103" s="360" t="s">
        <v>1507</v>
      </c>
    </row>
    <row r="104" spans="1:38" ht="25.5" x14ac:dyDescent="0.2">
      <c r="A104" s="357">
        <v>461</v>
      </c>
      <c r="B104" s="357" t="s">
        <v>1376</v>
      </c>
      <c r="C104" s="357" t="s">
        <v>1386</v>
      </c>
      <c r="D104" s="357">
        <v>22725</v>
      </c>
      <c r="E104" s="357" t="s">
        <v>61</v>
      </c>
      <c r="F104" s="357">
        <v>54</v>
      </c>
      <c r="G104" s="357" t="s">
        <v>1689</v>
      </c>
      <c r="H104" s="359">
        <f>ROWS($G$4:G104)</f>
        <v>101</v>
      </c>
      <c r="I104" s="359" t="str">
        <f>IF('School Level Expenditures'!$B$2=A104,'School Tables'!H104,"")</f>
        <v/>
      </c>
      <c r="J104" s="359" t="str">
        <f>IFERROR(SMALL($I$4:$I$325,ROWS($I$4:I104)),"")</f>
        <v/>
      </c>
      <c r="K104" s="333" t="b">
        <f t="shared" si="5"/>
        <v>0</v>
      </c>
      <c r="P104" s="332"/>
      <c r="Q104" s="332"/>
      <c r="R104" s="332"/>
      <c r="S104" s="332"/>
      <c r="T104" s="332"/>
      <c r="U104" s="332"/>
      <c r="V104" s="332"/>
      <c r="W104" s="287"/>
      <c r="AH104">
        <v>299</v>
      </c>
      <c r="AI104">
        <v>299</v>
      </c>
      <c r="AJ104" t="s">
        <v>1181</v>
      </c>
      <c r="AK104">
        <v>71</v>
      </c>
      <c r="AL104" t="s">
        <v>1736</v>
      </c>
    </row>
    <row r="105" spans="1:38" ht="25.5" x14ac:dyDescent="0.2">
      <c r="A105" s="357">
        <v>335</v>
      </c>
      <c r="B105" s="357" t="s">
        <v>906</v>
      </c>
      <c r="C105" s="357" t="s">
        <v>1214</v>
      </c>
      <c r="D105" s="357">
        <v>21530</v>
      </c>
      <c r="E105" s="357" t="s">
        <v>61</v>
      </c>
      <c r="F105" s="357">
        <v>37</v>
      </c>
      <c r="G105" s="357" t="s">
        <v>1672</v>
      </c>
      <c r="H105" s="359">
        <f>ROWS($G$4:G105)</f>
        <v>102</v>
      </c>
      <c r="I105" s="359" t="str">
        <f>IF('School Level Expenditures'!$B$2=A105,'School Tables'!H105,"")</f>
        <v/>
      </c>
      <c r="J105" s="359" t="str">
        <f>IFERROR(SMALL($I$4:$I$325,ROWS($I$4:I105)),"")</f>
        <v/>
      </c>
      <c r="K105" s="333" t="b">
        <f t="shared" si="5"/>
        <v>0</v>
      </c>
      <c r="P105" s="332"/>
      <c r="Q105" s="332"/>
      <c r="R105" s="332"/>
      <c r="S105" s="332"/>
      <c r="T105" s="332"/>
      <c r="U105" s="332"/>
      <c r="V105" s="332"/>
      <c r="W105" s="287"/>
      <c r="AH105">
        <v>305</v>
      </c>
      <c r="AI105">
        <v>0</v>
      </c>
      <c r="AJ105" t="s">
        <v>1183</v>
      </c>
      <c r="AK105">
        <v>68</v>
      </c>
      <c r="AL105" t="s">
        <v>1738</v>
      </c>
    </row>
    <row r="106" spans="1:38" ht="25.5" x14ac:dyDescent="0.2">
      <c r="A106" s="357">
        <v>211</v>
      </c>
      <c r="B106" s="357" t="s">
        <v>1081</v>
      </c>
      <c r="C106" s="357" t="s">
        <v>1082</v>
      </c>
      <c r="D106" s="357">
        <v>21330</v>
      </c>
      <c r="E106" s="357" t="s">
        <v>61</v>
      </c>
      <c r="F106" s="357">
        <v>75</v>
      </c>
      <c r="G106" s="357" t="s">
        <v>1717</v>
      </c>
      <c r="H106" s="359">
        <f>ROWS($G$4:G106)</f>
        <v>103</v>
      </c>
      <c r="I106" s="359" t="str">
        <f>IF('School Level Expenditures'!$B$2=A106,'School Tables'!H106,"")</f>
        <v/>
      </c>
      <c r="J106" s="359" t="str">
        <f>IFERROR(SMALL($I$4:$I$325,ROWS($I$4:I106)),"")</f>
        <v/>
      </c>
      <c r="K106" s="333" t="b">
        <f t="shared" si="5"/>
        <v>0</v>
      </c>
      <c r="P106" s="332"/>
      <c r="Q106" s="332"/>
      <c r="R106" s="332"/>
      <c r="S106" s="332"/>
      <c r="T106" s="332"/>
      <c r="U106" s="332"/>
      <c r="V106" s="332"/>
      <c r="W106" s="287"/>
      <c r="AH106">
        <v>306</v>
      </c>
      <c r="AI106">
        <v>0</v>
      </c>
      <c r="AJ106" t="s">
        <v>1187</v>
      </c>
      <c r="AK106">
        <v>35</v>
      </c>
      <c r="AL106" t="s">
        <v>1680</v>
      </c>
    </row>
    <row r="107" spans="1:38" ht="25.5" x14ac:dyDescent="0.2">
      <c r="A107" s="357">
        <v>335</v>
      </c>
      <c r="B107" s="357" t="s">
        <v>906</v>
      </c>
      <c r="C107" s="357" t="s">
        <v>1224</v>
      </c>
      <c r="D107" s="357">
        <v>21610</v>
      </c>
      <c r="E107" s="357" t="s">
        <v>61</v>
      </c>
      <c r="F107" s="357">
        <v>37</v>
      </c>
      <c r="G107" s="357" t="s">
        <v>1672</v>
      </c>
      <c r="H107" s="359">
        <f>ROWS($G$4:G107)</f>
        <v>104</v>
      </c>
      <c r="I107" s="359" t="str">
        <f>IF('School Level Expenditures'!$B$2=A107,'School Tables'!H107,"")</f>
        <v/>
      </c>
      <c r="J107" s="359" t="str">
        <f>IFERROR(SMALL($I$4:$I$325,ROWS($I$4:I107)),"")</f>
        <v/>
      </c>
      <c r="K107" s="333" t="b">
        <f t="shared" si="5"/>
        <v>0</v>
      </c>
      <c r="P107" s="332"/>
      <c r="Q107" s="332"/>
      <c r="R107" s="332"/>
      <c r="S107" s="332"/>
      <c r="T107" s="332"/>
      <c r="U107" s="332"/>
      <c r="V107" s="332"/>
      <c r="W107" s="287"/>
      <c r="AH107">
        <v>315</v>
      </c>
      <c r="AI107">
        <v>315</v>
      </c>
      <c r="AJ107" t="s">
        <v>1191</v>
      </c>
      <c r="AK107">
        <v>27</v>
      </c>
      <c r="AL107" t="s">
        <v>1719</v>
      </c>
    </row>
    <row r="108" spans="1:38" ht="38.25" x14ac:dyDescent="0.2">
      <c r="A108" s="357">
        <v>112</v>
      </c>
      <c r="B108" s="357" t="s">
        <v>977</v>
      </c>
      <c r="C108" s="357" t="s">
        <v>983</v>
      </c>
      <c r="D108" s="357">
        <v>22250</v>
      </c>
      <c r="E108" s="357" t="s">
        <v>61</v>
      </c>
      <c r="F108" s="357">
        <v>1</v>
      </c>
      <c r="G108" s="357" t="s">
        <v>1668</v>
      </c>
      <c r="H108" s="359">
        <f>ROWS($G$4:G108)</f>
        <v>105</v>
      </c>
      <c r="I108" s="359" t="str">
        <f>IF('School Level Expenditures'!$B$2=A108,'School Tables'!H108,"")</f>
        <v/>
      </c>
      <c r="J108" s="359" t="str">
        <f>IFERROR(SMALL($I$4:$I$325,ROWS($I$4:I108)),"")</f>
        <v/>
      </c>
      <c r="K108" s="333" t="b">
        <f t="shared" si="5"/>
        <v>0</v>
      </c>
      <c r="P108" s="332"/>
      <c r="Q108" s="332"/>
      <c r="R108" s="332"/>
      <c r="S108" s="332"/>
      <c r="T108" s="332"/>
      <c r="U108" s="332"/>
      <c r="V108" s="332"/>
      <c r="W108" s="287"/>
      <c r="AH108">
        <v>317</v>
      </c>
      <c r="AI108">
        <v>317</v>
      </c>
      <c r="AJ108" t="s">
        <v>1195</v>
      </c>
      <c r="AK108">
        <v>84</v>
      </c>
      <c r="AL108" t="s">
        <v>1746</v>
      </c>
    </row>
    <row r="109" spans="1:38" ht="25.5" x14ac:dyDescent="0.2">
      <c r="A109" s="357">
        <v>215</v>
      </c>
      <c r="B109" s="357" t="s">
        <v>1083</v>
      </c>
      <c r="C109" s="357" t="s">
        <v>1084</v>
      </c>
      <c r="D109" s="357">
        <v>22450</v>
      </c>
      <c r="E109" s="357" t="s">
        <v>61</v>
      </c>
      <c r="F109" s="357">
        <v>50</v>
      </c>
      <c r="G109" s="357" t="s">
        <v>1718</v>
      </c>
      <c r="H109" s="359">
        <f>ROWS($G$4:G109)</f>
        <v>106</v>
      </c>
      <c r="I109" s="359" t="str">
        <f>IF('School Level Expenditures'!$B$2=A109,'School Tables'!H109,"")</f>
        <v/>
      </c>
      <c r="J109" s="359" t="str">
        <f>IFERROR(SMALL($I$4:$I$325,ROWS($I$4:I109)),"")</f>
        <v/>
      </c>
      <c r="K109" s="333" t="b">
        <f t="shared" si="5"/>
        <v>0</v>
      </c>
      <c r="P109" s="332"/>
      <c r="Q109" s="332"/>
      <c r="R109" s="332"/>
      <c r="S109" s="332"/>
      <c r="T109" s="332"/>
      <c r="U109" s="332"/>
      <c r="V109" s="332"/>
      <c r="W109" s="287"/>
      <c r="AH109">
        <v>319</v>
      </c>
      <c r="AI109">
        <v>319</v>
      </c>
      <c r="AJ109" t="s">
        <v>1199</v>
      </c>
      <c r="AK109">
        <v>12</v>
      </c>
      <c r="AL109" t="s">
        <v>1743</v>
      </c>
    </row>
    <row r="110" spans="1:38" ht="25.5" x14ac:dyDescent="0.2">
      <c r="A110" s="357">
        <v>315</v>
      </c>
      <c r="B110" s="357" t="s">
        <v>1191</v>
      </c>
      <c r="C110" s="357" t="s">
        <v>1192</v>
      </c>
      <c r="D110" s="357">
        <v>21095</v>
      </c>
      <c r="E110" s="357" t="s">
        <v>61</v>
      </c>
      <c r="F110" s="357">
        <v>27</v>
      </c>
      <c r="G110" s="357" t="s">
        <v>1719</v>
      </c>
      <c r="H110" s="359">
        <f>ROWS($G$4:G110)</f>
        <v>107</v>
      </c>
      <c r="I110" s="359" t="str">
        <f>IF('School Level Expenditures'!$B$2=A110,'School Tables'!H110,"")</f>
        <v/>
      </c>
      <c r="J110" s="359" t="str">
        <f>IFERROR(SMALL($I$4:$I$325,ROWS($I$4:I110)),"")</f>
        <v/>
      </c>
      <c r="K110" s="333" t="b">
        <f t="shared" si="5"/>
        <v>0</v>
      </c>
      <c r="P110" s="332"/>
      <c r="Q110" s="332"/>
      <c r="R110" s="332"/>
      <c r="S110" s="332"/>
      <c r="T110" s="332"/>
      <c r="U110" s="332"/>
      <c r="V110" s="332"/>
      <c r="W110" s="287"/>
      <c r="AH110">
        <v>327</v>
      </c>
      <c r="AI110">
        <v>327</v>
      </c>
      <c r="AJ110" t="s">
        <v>1206</v>
      </c>
      <c r="AK110">
        <v>76</v>
      </c>
      <c r="AL110" t="s">
        <v>1740</v>
      </c>
    </row>
    <row r="111" spans="1:38" ht="38.25" x14ac:dyDescent="0.2">
      <c r="A111" s="357">
        <v>131</v>
      </c>
      <c r="B111" s="357" t="s">
        <v>1000</v>
      </c>
      <c r="C111" s="357" t="s">
        <v>1005</v>
      </c>
      <c r="D111" s="357">
        <v>20390</v>
      </c>
      <c r="E111" s="357" t="s">
        <v>61</v>
      </c>
      <c r="F111" s="357">
        <v>10</v>
      </c>
      <c r="G111" s="357" t="s">
        <v>1699</v>
      </c>
      <c r="H111" s="359">
        <f>ROWS($G$4:G111)</f>
        <v>108</v>
      </c>
      <c r="I111" s="359" t="str">
        <f>IF('School Level Expenditures'!$B$2=A111,'School Tables'!H111,"")</f>
        <v/>
      </c>
      <c r="J111" s="359" t="str">
        <f>IFERROR(SMALL($I$4:$I$325,ROWS($I$4:I111)),"")</f>
        <v/>
      </c>
      <c r="K111" s="333" t="b">
        <f t="shared" si="5"/>
        <v>0</v>
      </c>
      <c r="P111" s="332"/>
      <c r="Q111" s="332"/>
      <c r="R111" s="332"/>
      <c r="S111" s="332"/>
      <c r="T111" s="332"/>
      <c r="U111" s="332"/>
      <c r="V111" s="332"/>
      <c r="W111" s="287"/>
      <c r="AH111">
        <v>333</v>
      </c>
      <c r="AI111">
        <v>333</v>
      </c>
      <c r="AJ111" t="s">
        <v>1208</v>
      </c>
      <c r="AK111">
        <v>13</v>
      </c>
      <c r="AL111" t="s">
        <v>1709</v>
      </c>
    </row>
    <row r="112" spans="1:38" ht="63.75" x14ac:dyDescent="0.2">
      <c r="A112" s="357">
        <v>407</v>
      </c>
      <c r="B112" s="357" t="s">
        <v>1327</v>
      </c>
      <c r="C112" s="357" t="s">
        <v>1329</v>
      </c>
      <c r="D112" s="357">
        <v>22905</v>
      </c>
      <c r="E112" s="357" t="s">
        <v>61</v>
      </c>
      <c r="F112" s="357">
        <v>58</v>
      </c>
      <c r="G112" s="357" t="s">
        <v>1720</v>
      </c>
      <c r="H112" s="359">
        <f>ROWS($G$4:G112)</f>
        <v>109</v>
      </c>
      <c r="I112" s="359" t="str">
        <f>IF('School Level Expenditures'!$B$2=A112,'School Tables'!H112,"")</f>
        <v/>
      </c>
      <c r="J112" s="359" t="str">
        <f>IFERROR(SMALL($I$4:$I$325,ROWS($I$4:I112)),"")</f>
        <v/>
      </c>
      <c r="K112" s="333" t="b">
        <f t="shared" si="5"/>
        <v>0</v>
      </c>
      <c r="P112" s="332"/>
      <c r="Q112" s="332"/>
      <c r="R112" s="332"/>
      <c r="S112" s="332"/>
      <c r="T112" s="332"/>
      <c r="U112" s="332"/>
      <c r="V112" s="332"/>
      <c r="W112" s="287"/>
      <c r="AH112" s="360">
        <v>733</v>
      </c>
      <c r="AI112" s="360">
        <v>733</v>
      </c>
      <c r="AJ112" s="360" t="s">
        <v>1519</v>
      </c>
      <c r="AK112" s="360">
        <v>418</v>
      </c>
      <c r="AL112" s="360" t="s">
        <v>1519</v>
      </c>
    </row>
    <row r="113" spans="1:38" ht="25.5" x14ac:dyDescent="0.2">
      <c r="A113" s="357">
        <v>407</v>
      </c>
      <c r="B113" s="357" t="s">
        <v>1327</v>
      </c>
      <c r="C113" s="357" t="s">
        <v>1330</v>
      </c>
      <c r="D113" s="357">
        <v>26600</v>
      </c>
      <c r="E113" s="357" t="s">
        <v>61</v>
      </c>
      <c r="F113" s="357">
        <v>58</v>
      </c>
      <c r="G113" s="357" t="s">
        <v>1720</v>
      </c>
      <c r="H113" s="359">
        <f>ROWS($G$4:G113)</f>
        <v>110</v>
      </c>
      <c r="I113" s="359" t="str">
        <f>IF('School Level Expenditures'!$B$2=A113,'School Tables'!H113,"")</f>
        <v/>
      </c>
      <c r="J113" s="359" t="str">
        <f>IFERROR(SMALL($I$4:$I$325,ROWS($I$4:I113)),"")</f>
        <v/>
      </c>
      <c r="K113" s="333" t="b">
        <f t="shared" si="5"/>
        <v>0</v>
      </c>
      <c r="P113" s="332"/>
      <c r="Q113" s="332"/>
      <c r="R113" s="332"/>
      <c r="S113" s="332"/>
      <c r="T113" s="332"/>
      <c r="U113" s="332"/>
      <c r="V113" s="332"/>
      <c r="W113" s="287"/>
      <c r="AH113">
        <v>335</v>
      </c>
      <c r="AI113">
        <v>335</v>
      </c>
      <c r="AJ113" t="s">
        <v>906</v>
      </c>
      <c r="AK113">
        <v>37</v>
      </c>
      <c r="AL113" t="s">
        <v>1672</v>
      </c>
    </row>
    <row r="114" spans="1:38" ht="25.5" x14ac:dyDescent="0.2">
      <c r="A114" s="357">
        <v>223</v>
      </c>
      <c r="B114" s="357" t="s">
        <v>1085</v>
      </c>
      <c r="C114" s="357" t="s">
        <v>1087</v>
      </c>
      <c r="D114" s="357">
        <v>22755</v>
      </c>
      <c r="E114" s="357" t="s">
        <v>61</v>
      </c>
      <c r="F114" s="357">
        <v>55</v>
      </c>
      <c r="G114" s="357" t="s">
        <v>1721</v>
      </c>
      <c r="H114" s="359">
        <f>ROWS($G$4:G114)</f>
        <v>111</v>
      </c>
      <c r="I114" s="359" t="str">
        <f>IF('School Level Expenditures'!$B$2=A114,'School Tables'!H114,"")</f>
        <v/>
      </c>
      <c r="J114" s="359" t="str">
        <f>IFERROR(SMALL($I$4:$I$325,ROWS($I$4:I114)),"")</f>
        <v/>
      </c>
      <c r="K114" s="333" t="b">
        <f t="shared" si="5"/>
        <v>0</v>
      </c>
      <c r="P114" s="332"/>
      <c r="Q114" s="332"/>
      <c r="R114" s="332"/>
      <c r="S114" s="332"/>
      <c r="T114" s="332"/>
      <c r="U114" s="332"/>
      <c r="V114" s="332"/>
      <c r="W114" s="287"/>
      <c r="AH114">
        <v>339</v>
      </c>
      <c r="AI114">
        <v>339</v>
      </c>
      <c r="AJ114" t="s">
        <v>1228</v>
      </c>
      <c r="AK114">
        <v>29</v>
      </c>
      <c r="AL114" t="s">
        <v>1691</v>
      </c>
    </row>
    <row r="115" spans="1:38" ht="25.5" x14ac:dyDescent="0.2">
      <c r="A115" s="357">
        <v>225</v>
      </c>
      <c r="B115" s="357" t="s">
        <v>1088</v>
      </c>
      <c r="C115" s="357" t="s">
        <v>1536</v>
      </c>
      <c r="D115" s="357">
        <v>20790</v>
      </c>
      <c r="E115" s="357" t="s">
        <v>61</v>
      </c>
      <c r="F115" s="357">
        <v>90</v>
      </c>
      <c r="G115" s="357" t="s">
        <v>1663</v>
      </c>
      <c r="H115" s="359">
        <f>ROWS($G$4:G115)</f>
        <v>112</v>
      </c>
      <c r="I115" s="359" t="str">
        <f>IF('School Level Expenditures'!$B$2=A115,'School Tables'!H115,"")</f>
        <v/>
      </c>
      <c r="J115" s="359" t="str">
        <f>IFERROR(SMALL($I$4:$I$325,ROWS($I$4:I115)),"")</f>
        <v/>
      </c>
      <c r="K115" s="333" t="b">
        <f t="shared" si="5"/>
        <v>0</v>
      </c>
      <c r="P115" s="332"/>
      <c r="Q115" s="332"/>
      <c r="R115" s="332"/>
      <c r="S115" s="332"/>
      <c r="T115" s="332"/>
      <c r="U115" s="332"/>
      <c r="V115" s="332"/>
      <c r="W115" s="287"/>
      <c r="AH115">
        <v>341</v>
      </c>
      <c r="AI115">
        <v>341</v>
      </c>
      <c r="AJ115" t="s">
        <v>1230</v>
      </c>
      <c r="AK115">
        <v>29</v>
      </c>
      <c r="AL115" t="s">
        <v>1691</v>
      </c>
    </row>
    <row r="116" spans="1:38" ht="25.5" x14ac:dyDescent="0.2">
      <c r="A116" s="357">
        <v>225</v>
      </c>
      <c r="B116" s="357" t="s">
        <v>1088</v>
      </c>
      <c r="C116" s="357" t="s">
        <v>1089</v>
      </c>
      <c r="D116" s="357">
        <v>20770</v>
      </c>
      <c r="E116" s="357" t="s">
        <v>61</v>
      </c>
      <c r="F116" s="357">
        <v>90</v>
      </c>
      <c r="G116" s="357" t="s">
        <v>1663</v>
      </c>
      <c r="H116" s="359">
        <f>ROWS($G$4:G116)</f>
        <v>113</v>
      </c>
      <c r="I116" s="359" t="str">
        <f>IF('School Level Expenditures'!$B$2=A116,'School Tables'!H116,"")</f>
        <v/>
      </c>
      <c r="J116" s="359" t="str">
        <f>IFERROR(SMALL($I$4:$I$325,ROWS($I$4:I116)),"")</f>
        <v/>
      </c>
      <c r="K116" s="333" t="b">
        <f t="shared" si="5"/>
        <v>0</v>
      </c>
      <c r="P116" s="332"/>
      <c r="Q116" s="332"/>
      <c r="R116" s="332"/>
      <c r="S116" s="332"/>
      <c r="T116" s="332"/>
      <c r="U116" s="332"/>
      <c r="V116" s="332"/>
      <c r="W116" s="287"/>
      <c r="AH116">
        <v>342</v>
      </c>
      <c r="AI116">
        <v>0</v>
      </c>
      <c r="AJ116" t="s">
        <v>1232</v>
      </c>
      <c r="AK116">
        <v>87</v>
      </c>
      <c r="AL116" t="s">
        <v>1726</v>
      </c>
    </row>
    <row r="117" spans="1:38" ht="38.25" x14ac:dyDescent="0.2">
      <c r="A117" s="357">
        <v>112</v>
      </c>
      <c r="B117" s="357" t="s">
        <v>977</v>
      </c>
      <c r="C117" s="357" t="s">
        <v>984</v>
      </c>
      <c r="D117" s="357">
        <v>22260</v>
      </c>
      <c r="E117" s="357" t="s">
        <v>61</v>
      </c>
      <c r="F117" s="357">
        <v>1</v>
      </c>
      <c r="G117" s="357" t="s">
        <v>1668</v>
      </c>
      <c r="H117" s="359">
        <f>ROWS($G$4:G117)</f>
        <v>114</v>
      </c>
      <c r="I117" s="359" t="str">
        <f>IF('School Level Expenditures'!$B$2=A117,'School Tables'!H117,"")</f>
        <v/>
      </c>
      <c r="J117" s="359" t="str">
        <f>IFERROR(SMALL($I$4:$I$325,ROWS($I$4:I117)),"")</f>
        <v/>
      </c>
      <c r="K117" s="333" t="b">
        <f t="shared" si="5"/>
        <v>0</v>
      </c>
      <c r="P117" s="332"/>
      <c r="Q117" s="332"/>
      <c r="R117" s="332"/>
      <c r="S117" s="332"/>
      <c r="T117" s="332"/>
      <c r="U117" s="332"/>
      <c r="V117" s="332"/>
      <c r="W117" s="287"/>
      <c r="AH117">
        <v>343</v>
      </c>
      <c r="AI117">
        <v>0</v>
      </c>
      <c r="AJ117" t="s">
        <v>1236</v>
      </c>
      <c r="AK117">
        <v>62</v>
      </c>
      <c r="AL117" t="s">
        <v>1685</v>
      </c>
    </row>
    <row r="118" spans="1:38" ht="25.5" x14ac:dyDescent="0.2">
      <c r="A118" s="357">
        <v>295</v>
      </c>
      <c r="B118" s="357" t="s">
        <v>1176</v>
      </c>
      <c r="C118" s="357" t="s">
        <v>1177</v>
      </c>
      <c r="D118" s="357">
        <v>21335</v>
      </c>
      <c r="E118" s="357" t="s">
        <v>61</v>
      </c>
      <c r="F118" s="357">
        <v>88</v>
      </c>
      <c r="G118" s="357" t="s">
        <v>1722</v>
      </c>
      <c r="H118" s="359">
        <f>ROWS($G$4:G118)</f>
        <v>115</v>
      </c>
      <c r="I118" s="359" t="str">
        <f>IF('School Level Expenditures'!$B$2=A118,'School Tables'!H118,"")</f>
        <v/>
      </c>
      <c r="J118" s="359" t="str">
        <f>IFERROR(SMALL($I$4:$I$325,ROWS($I$4:I118)),"")</f>
        <v/>
      </c>
      <c r="K118" s="333" t="b">
        <f t="shared" si="5"/>
        <v>0</v>
      </c>
      <c r="P118" s="332"/>
      <c r="Q118" s="332"/>
      <c r="R118" s="332"/>
      <c r="S118" s="332"/>
      <c r="T118" s="332"/>
      <c r="U118" s="332"/>
      <c r="V118" s="332"/>
      <c r="W118" s="287"/>
      <c r="AH118">
        <v>345</v>
      </c>
      <c r="AI118">
        <v>345</v>
      </c>
      <c r="AJ118" t="s">
        <v>1241</v>
      </c>
      <c r="AK118">
        <v>89</v>
      </c>
      <c r="AL118" t="s">
        <v>1741</v>
      </c>
    </row>
    <row r="119" spans="1:38" ht="25.5" x14ac:dyDescent="0.2">
      <c r="A119" s="357">
        <v>263</v>
      </c>
      <c r="B119" s="357" t="s">
        <v>1125</v>
      </c>
      <c r="C119" s="357" t="s">
        <v>1129</v>
      </c>
      <c r="D119" s="357">
        <v>20975</v>
      </c>
      <c r="E119" s="357" t="s">
        <v>61</v>
      </c>
      <c r="F119" s="357">
        <v>66</v>
      </c>
      <c r="G119" s="357" t="s">
        <v>1723</v>
      </c>
      <c r="H119" s="359">
        <f>ROWS($G$4:G119)</f>
        <v>116</v>
      </c>
      <c r="I119" s="359" t="str">
        <f>IF('School Level Expenditures'!$B$2=A119,'School Tables'!H119,"")</f>
        <v/>
      </c>
      <c r="J119" s="359" t="str">
        <f>IFERROR(SMALL($I$4:$I$325,ROWS($I$4:I119)),"")</f>
        <v/>
      </c>
      <c r="K119" s="333" t="b">
        <f t="shared" si="5"/>
        <v>0</v>
      </c>
      <c r="P119" s="332"/>
      <c r="Q119" s="332"/>
      <c r="R119" s="332"/>
      <c r="S119" s="332"/>
      <c r="T119" s="332"/>
      <c r="U119" s="332"/>
      <c r="V119" s="332"/>
      <c r="W119" s="287"/>
      <c r="AH119">
        <v>351</v>
      </c>
      <c r="AI119">
        <v>351</v>
      </c>
      <c r="AJ119" t="s">
        <v>1243</v>
      </c>
      <c r="AK119">
        <v>26</v>
      </c>
      <c r="AL119" t="s">
        <v>1732</v>
      </c>
    </row>
    <row r="120" spans="1:38" ht="25.5" x14ac:dyDescent="0.2">
      <c r="A120" s="357">
        <v>245</v>
      </c>
      <c r="B120" s="357" t="s">
        <v>1101</v>
      </c>
      <c r="C120" s="357" t="s">
        <v>1102</v>
      </c>
      <c r="D120" s="357">
        <v>20935</v>
      </c>
      <c r="E120" s="357" t="s">
        <v>61</v>
      </c>
      <c r="F120" s="357">
        <v>24</v>
      </c>
      <c r="G120" s="357" t="s">
        <v>1688</v>
      </c>
      <c r="H120" s="359">
        <f>ROWS($G$4:G120)</f>
        <v>117</v>
      </c>
      <c r="I120" s="359" t="str">
        <f>IF('School Level Expenditures'!$B$2=A120,'School Tables'!H120,"")</f>
        <v/>
      </c>
      <c r="J120" s="359" t="str">
        <f>IFERROR(SMALL($I$4:$I$325,ROWS($I$4:I120)),"")</f>
        <v/>
      </c>
      <c r="K120" s="333" t="b">
        <f t="shared" si="5"/>
        <v>0</v>
      </c>
      <c r="P120" s="332"/>
      <c r="Q120" s="332"/>
      <c r="R120" s="332"/>
      <c r="S120" s="332"/>
      <c r="T120" s="332"/>
      <c r="U120" s="332"/>
      <c r="V120" s="332"/>
      <c r="W120" s="287"/>
      <c r="AH120">
        <v>352</v>
      </c>
      <c r="AI120">
        <v>0</v>
      </c>
      <c r="AJ120" t="s">
        <v>1250</v>
      </c>
      <c r="AK120">
        <v>46</v>
      </c>
      <c r="AL120" t="s">
        <v>1667</v>
      </c>
    </row>
    <row r="121" spans="1:38" ht="63.75" x14ac:dyDescent="0.2">
      <c r="A121" s="357">
        <v>79</v>
      </c>
      <c r="B121" s="357" t="s">
        <v>955</v>
      </c>
      <c r="C121" s="357" t="s">
        <v>956</v>
      </c>
      <c r="D121" s="357">
        <v>20535</v>
      </c>
      <c r="E121" s="357" t="s">
        <v>61</v>
      </c>
      <c r="F121" s="357">
        <v>15</v>
      </c>
      <c r="G121" s="357" t="s">
        <v>1671</v>
      </c>
      <c r="H121" s="359">
        <f>ROWS($G$4:G121)</f>
        <v>118</v>
      </c>
      <c r="I121" s="359" t="str">
        <f>IF('School Level Expenditures'!$B$2=A121,'School Tables'!H121,"")</f>
        <v/>
      </c>
      <c r="J121" s="359" t="str">
        <f>IFERROR(SMALL($I$4:$I$325,ROWS($I$4:I121)),"")</f>
        <v/>
      </c>
      <c r="K121" s="333" t="b">
        <f t="shared" si="5"/>
        <v>0</v>
      </c>
      <c r="P121" s="332"/>
      <c r="Q121" s="332"/>
      <c r="R121" s="332"/>
      <c r="S121" s="332"/>
      <c r="T121" s="332"/>
      <c r="U121" s="332"/>
      <c r="V121" s="332"/>
      <c r="W121" s="287"/>
      <c r="AH121" s="360">
        <v>744</v>
      </c>
      <c r="AI121" s="360">
        <v>744</v>
      </c>
      <c r="AJ121" s="360" t="s">
        <v>1603</v>
      </c>
      <c r="AK121" s="360">
        <v>430</v>
      </c>
      <c r="AL121" s="360" t="s">
        <v>1603</v>
      </c>
    </row>
    <row r="122" spans="1:38" ht="25.5" x14ac:dyDescent="0.2">
      <c r="A122" s="357">
        <v>335</v>
      </c>
      <c r="B122" s="357" t="s">
        <v>906</v>
      </c>
      <c r="C122" s="357" t="s">
        <v>1602</v>
      </c>
      <c r="D122" s="357">
        <v>21640</v>
      </c>
      <c r="E122" s="357" t="s">
        <v>61</v>
      </c>
      <c r="F122" s="357">
        <v>37</v>
      </c>
      <c r="G122" s="357" t="s">
        <v>1672</v>
      </c>
      <c r="H122" s="359">
        <f>ROWS($G$4:G122)</f>
        <v>119</v>
      </c>
      <c r="I122" s="359" t="str">
        <f>IF('School Level Expenditures'!$B$2=A122,'School Tables'!H122,"")</f>
        <v/>
      </c>
      <c r="J122" s="359" t="str">
        <f>IFERROR(SMALL($I$4:$I$325,ROWS($I$4:I122)),"")</f>
        <v/>
      </c>
      <c r="K122" s="333" t="b">
        <f t="shared" si="5"/>
        <v>0</v>
      </c>
      <c r="P122" s="332"/>
      <c r="Q122" s="332"/>
      <c r="R122" s="332"/>
      <c r="S122" s="332"/>
      <c r="T122" s="332"/>
      <c r="U122" s="332"/>
      <c r="V122" s="332"/>
      <c r="W122" s="287"/>
      <c r="AH122">
        <v>353</v>
      </c>
      <c r="AI122">
        <v>353</v>
      </c>
      <c r="AJ122" t="s">
        <v>1258</v>
      </c>
      <c r="AK122">
        <v>69</v>
      </c>
      <c r="AL122" t="s">
        <v>1745</v>
      </c>
    </row>
    <row r="123" spans="1:38" ht="25.5" x14ac:dyDescent="0.2">
      <c r="A123" s="357">
        <v>175</v>
      </c>
      <c r="B123" s="357" t="s">
        <v>1045</v>
      </c>
      <c r="C123" s="357" t="s">
        <v>1048</v>
      </c>
      <c r="D123" s="357">
        <v>22055</v>
      </c>
      <c r="E123" s="357" t="s">
        <v>61</v>
      </c>
      <c r="F123" s="357">
        <v>61</v>
      </c>
      <c r="G123" s="357" t="s">
        <v>1724</v>
      </c>
      <c r="H123" s="359">
        <f>ROWS($G$4:G123)</f>
        <v>120</v>
      </c>
      <c r="I123" s="359" t="str">
        <f>IF('School Level Expenditures'!$B$2=A123,'School Tables'!H123,"")</f>
        <v/>
      </c>
      <c r="J123" s="359" t="str">
        <f>IFERROR(SMALL($I$4:$I$325,ROWS($I$4:I123)),"")</f>
        <v/>
      </c>
      <c r="K123" s="333" t="b">
        <f t="shared" si="5"/>
        <v>0</v>
      </c>
      <c r="P123" s="332"/>
      <c r="Q123" s="332"/>
      <c r="R123" s="332"/>
      <c r="S123" s="332"/>
      <c r="T123" s="332"/>
      <c r="U123" s="332"/>
      <c r="V123" s="332"/>
      <c r="W123" s="287"/>
      <c r="AH123">
        <v>355</v>
      </c>
      <c r="AI123">
        <v>355</v>
      </c>
      <c r="AJ123" t="s">
        <v>1260</v>
      </c>
      <c r="AK123">
        <v>20</v>
      </c>
      <c r="AL123" t="s">
        <v>1703</v>
      </c>
    </row>
    <row r="124" spans="1:38" ht="25.5" x14ac:dyDescent="0.2">
      <c r="A124" s="357">
        <v>357</v>
      </c>
      <c r="B124" s="357" t="s">
        <v>1262</v>
      </c>
      <c r="C124" s="357" t="s">
        <v>1265</v>
      </c>
      <c r="D124" s="357">
        <v>27895</v>
      </c>
      <c r="E124" s="357" t="s">
        <v>61</v>
      </c>
      <c r="F124" s="357">
        <v>40</v>
      </c>
      <c r="G124" s="357" t="s">
        <v>1725</v>
      </c>
      <c r="H124" s="359">
        <f>ROWS($G$4:G124)</f>
        <v>121</v>
      </c>
      <c r="I124" s="359" t="str">
        <f>IF('School Level Expenditures'!$B$2=A124,'School Tables'!H124,"")</f>
        <v/>
      </c>
      <c r="J124" s="359" t="str">
        <f>IFERROR(SMALL($I$4:$I$325,ROWS($I$4:I124)),"")</f>
        <v/>
      </c>
      <c r="K124" s="333" t="b">
        <f t="shared" si="5"/>
        <v>0</v>
      </c>
      <c r="P124" s="332"/>
      <c r="Q124" s="332"/>
      <c r="R124" s="332"/>
      <c r="S124" s="332"/>
      <c r="T124" s="332"/>
      <c r="U124" s="332"/>
      <c r="V124" s="332"/>
      <c r="W124" s="287"/>
      <c r="AH124">
        <v>357</v>
      </c>
      <c r="AI124">
        <v>357</v>
      </c>
      <c r="AJ124" t="s">
        <v>1262</v>
      </c>
      <c r="AK124">
        <v>40</v>
      </c>
      <c r="AL124" t="s">
        <v>1725</v>
      </c>
    </row>
    <row r="125" spans="1:38" ht="38.25" x14ac:dyDescent="0.2">
      <c r="A125" s="357">
        <v>342</v>
      </c>
      <c r="B125" s="357" t="s">
        <v>1232</v>
      </c>
      <c r="C125" s="357" t="s">
        <v>1235</v>
      </c>
      <c r="D125" s="357">
        <v>28990</v>
      </c>
      <c r="E125" s="357" t="s">
        <v>61</v>
      </c>
      <c r="F125" s="357">
        <v>87</v>
      </c>
      <c r="G125" s="357" t="s">
        <v>1726</v>
      </c>
      <c r="H125" s="359">
        <f>ROWS($G$4:G125)</f>
        <v>122</v>
      </c>
      <c r="I125" s="359" t="str">
        <f>IF('School Level Expenditures'!$B$2=A125,'School Tables'!H125,"")</f>
        <v/>
      </c>
      <c r="J125" s="359" t="str">
        <f>IFERROR(SMALL($I$4:$I$325,ROWS($I$4:I125)),"")</f>
        <v/>
      </c>
      <c r="K125" s="333" t="b">
        <f t="shared" si="5"/>
        <v>0</v>
      </c>
      <c r="P125" s="332"/>
      <c r="Q125" s="332"/>
      <c r="R125" s="332"/>
      <c r="S125" s="332"/>
      <c r="T125" s="332"/>
      <c r="U125" s="332"/>
      <c r="V125" s="332"/>
      <c r="W125" s="287"/>
      <c r="AH125" s="360">
        <v>729</v>
      </c>
      <c r="AI125" s="360">
        <v>729</v>
      </c>
      <c r="AJ125" s="360" t="s">
        <v>1516</v>
      </c>
      <c r="AK125" s="360">
        <v>416</v>
      </c>
      <c r="AL125" s="360" t="s">
        <v>1516</v>
      </c>
    </row>
    <row r="126" spans="1:38" ht="25.5" x14ac:dyDescent="0.2">
      <c r="A126" s="357">
        <v>335</v>
      </c>
      <c r="B126" s="357" t="s">
        <v>906</v>
      </c>
      <c r="C126" s="357" t="s">
        <v>1218</v>
      </c>
      <c r="D126" s="357">
        <v>21560</v>
      </c>
      <c r="E126" s="357" t="s">
        <v>61</v>
      </c>
      <c r="F126" s="357">
        <v>37</v>
      </c>
      <c r="G126" s="357" t="s">
        <v>1672</v>
      </c>
      <c r="H126" s="359">
        <f>ROWS($G$4:G126)</f>
        <v>123</v>
      </c>
      <c r="I126" s="359" t="str">
        <f>IF('School Level Expenditures'!$B$2=A126,'School Tables'!H126,"")</f>
        <v/>
      </c>
      <c r="J126" s="359" t="str">
        <f>IFERROR(SMALL($I$4:$I$325,ROWS($I$4:I126)),"")</f>
        <v/>
      </c>
      <c r="K126" s="333" t="b">
        <f t="shared" si="5"/>
        <v>0</v>
      </c>
      <c r="AH126">
        <v>359</v>
      </c>
      <c r="AI126">
        <v>359</v>
      </c>
      <c r="AJ126" t="s">
        <v>1267</v>
      </c>
      <c r="AK126">
        <v>64</v>
      </c>
      <c r="AL126" t="s">
        <v>1747</v>
      </c>
    </row>
    <row r="127" spans="1:38" ht="25.5" x14ac:dyDescent="0.2">
      <c r="A127" s="357">
        <v>267</v>
      </c>
      <c r="B127" s="357" t="s">
        <v>1130</v>
      </c>
      <c r="C127" s="357" t="s">
        <v>1134</v>
      </c>
      <c r="D127" s="357">
        <v>27900</v>
      </c>
      <c r="E127" s="357" t="s">
        <v>61</v>
      </c>
      <c r="F127" s="357">
        <v>81</v>
      </c>
      <c r="G127" s="357" t="s">
        <v>1700</v>
      </c>
      <c r="H127" s="359">
        <f>ROWS($G$4:G127)</f>
        <v>124</v>
      </c>
      <c r="I127" s="359" t="str">
        <f>IF('School Level Expenditures'!$B$2=A127,'School Tables'!H127,"")</f>
        <v/>
      </c>
      <c r="J127" s="359" t="str">
        <f>IFERROR(SMALL($I$4:$I$325,ROWS($I$4:I127)),"")</f>
        <v/>
      </c>
      <c r="K127" s="333" t="b">
        <f t="shared" si="5"/>
        <v>0</v>
      </c>
      <c r="AH127">
        <v>363</v>
      </c>
      <c r="AI127">
        <v>0</v>
      </c>
      <c r="AJ127" t="s">
        <v>1271</v>
      </c>
      <c r="AK127">
        <v>93</v>
      </c>
      <c r="AL127" t="s">
        <v>1697</v>
      </c>
    </row>
    <row r="128" spans="1:38" ht="38.25" x14ac:dyDescent="0.2">
      <c r="A128" s="357">
        <v>251</v>
      </c>
      <c r="B128" s="357" t="s">
        <v>1105</v>
      </c>
      <c r="C128" s="357" t="s">
        <v>1107</v>
      </c>
      <c r="D128" s="357">
        <v>20955</v>
      </c>
      <c r="E128" s="357" t="s">
        <v>61</v>
      </c>
      <c r="F128" s="357">
        <v>34</v>
      </c>
      <c r="G128" s="357" t="s">
        <v>1727</v>
      </c>
      <c r="H128" s="359">
        <f>ROWS($G$4:G128)</f>
        <v>125</v>
      </c>
      <c r="I128" s="359" t="str">
        <f>IF('School Level Expenditures'!$B$2=A128,'School Tables'!H128,"")</f>
        <v/>
      </c>
      <c r="J128" s="359" t="str">
        <f>IFERROR(SMALL($I$4:$I$325,ROWS($I$4:I128)),"")</f>
        <v/>
      </c>
      <c r="K128" s="333" t="b">
        <f t="shared" si="5"/>
        <v>0</v>
      </c>
      <c r="AH128">
        <v>365</v>
      </c>
      <c r="AI128">
        <v>365</v>
      </c>
      <c r="AJ128" t="s">
        <v>1276</v>
      </c>
      <c r="AK128">
        <v>77</v>
      </c>
      <c r="AL128" t="s">
        <v>1748</v>
      </c>
    </row>
    <row r="129" spans="1:38" ht="25.5" x14ac:dyDescent="0.2">
      <c r="A129" s="357">
        <v>255</v>
      </c>
      <c r="B129" s="357" t="s">
        <v>1109</v>
      </c>
      <c r="C129" s="357" t="s">
        <v>1111</v>
      </c>
      <c r="D129" s="357">
        <v>21680</v>
      </c>
      <c r="E129" s="357" t="s">
        <v>61</v>
      </c>
      <c r="F129" s="357">
        <v>92</v>
      </c>
      <c r="G129" s="357" t="s">
        <v>1728</v>
      </c>
      <c r="H129" s="359">
        <f>ROWS($G$4:G129)</f>
        <v>126</v>
      </c>
      <c r="I129" s="359" t="str">
        <f>IF('School Level Expenditures'!$B$2=A129,'School Tables'!H129,"")</f>
        <v/>
      </c>
      <c r="J129" s="359" t="str">
        <f>IFERROR(SMALL($I$4:$I$325,ROWS($I$4:I129)),"")</f>
        <v/>
      </c>
      <c r="K129" s="333" t="b">
        <f t="shared" si="5"/>
        <v>0</v>
      </c>
      <c r="AH129">
        <v>367</v>
      </c>
      <c r="AI129">
        <v>367</v>
      </c>
      <c r="AJ129" t="s">
        <v>1278</v>
      </c>
      <c r="AK129">
        <v>39</v>
      </c>
      <c r="AL129" t="s">
        <v>1692</v>
      </c>
    </row>
    <row r="130" spans="1:38" ht="25.5" x14ac:dyDescent="0.2">
      <c r="A130" s="357">
        <v>257</v>
      </c>
      <c r="B130" s="357" t="s">
        <v>1113</v>
      </c>
      <c r="C130" s="357" t="s">
        <v>1114</v>
      </c>
      <c r="D130" s="357">
        <v>22345</v>
      </c>
      <c r="E130" s="357" t="s">
        <v>61</v>
      </c>
      <c r="F130" s="357">
        <v>48</v>
      </c>
      <c r="G130" s="357" t="s">
        <v>1684</v>
      </c>
      <c r="H130" s="359">
        <f>ROWS($G$4:G130)</f>
        <v>127</v>
      </c>
      <c r="I130" s="359" t="str">
        <f>IF('School Level Expenditures'!$B$2=A130,'School Tables'!H130,"")</f>
        <v/>
      </c>
      <c r="J130" s="359" t="str">
        <f>IFERROR(SMALL($I$4:$I$325,ROWS($I$4:I130)),"")</f>
        <v/>
      </c>
      <c r="K130" s="333" t="b">
        <f t="shared" si="5"/>
        <v>0</v>
      </c>
      <c r="AH130">
        <v>369</v>
      </c>
      <c r="AI130">
        <v>369</v>
      </c>
      <c r="AJ130" t="s">
        <v>1280</v>
      </c>
      <c r="AK130">
        <v>45</v>
      </c>
      <c r="AL130" t="s">
        <v>1749</v>
      </c>
    </row>
    <row r="131" spans="1:38" ht="51" x14ac:dyDescent="0.2">
      <c r="A131" s="357">
        <v>259</v>
      </c>
      <c r="B131" s="357" t="s">
        <v>1115</v>
      </c>
      <c r="C131" s="357" t="s">
        <v>1117</v>
      </c>
      <c r="D131" s="357">
        <v>21815</v>
      </c>
      <c r="E131" s="357" t="s">
        <v>61</v>
      </c>
      <c r="F131" s="357">
        <v>41</v>
      </c>
      <c r="G131" s="357" t="s">
        <v>1686</v>
      </c>
      <c r="H131" s="359">
        <f>ROWS($G$4:G131)</f>
        <v>128</v>
      </c>
      <c r="I131" s="359" t="str">
        <f>IF('School Level Expenditures'!$B$2=A131,'School Tables'!H131,"")</f>
        <v/>
      </c>
      <c r="J131" s="359" t="str">
        <f>IFERROR(SMALL($I$4:$I$325,ROWS($I$4:I131)),"")</f>
        <v/>
      </c>
      <c r="K131" s="333" t="b">
        <f t="shared" si="5"/>
        <v>0</v>
      </c>
      <c r="AH131" s="360">
        <v>704</v>
      </c>
      <c r="AI131" s="360">
        <v>704</v>
      </c>
      <c r="AJ131" s="360" t="s">
        <v>1495</v>
      </c>
      <c r="AK131" s="360">
        <v>427</v>
      </c>
      <c r="AL131" s="360" t="s">
        <v>1495</v>
      </c>
    </row>
    <row r="132" spans="1:38" ht="38.25" x14ac:dyDescent="0.2">
      <c r="A132" s="357">
        <v>259</v>
      </c>
      <c r="B132" s="357" t="s">
        <v>1115</v>
      </c>
      <c r="C132" s="357" t="s">
        <v>1116</v>
      </c>
      <c r="D132" s="357">
        <v>27530</v>
      </c>
      <c r="E132" s="357" t="s">
        <v>61</v>
      </c>
      <c r="F132" s="357">
        <v>41</v>
      </c>
      <c r="G132" s="357" t="s">
        <v>1686</v>
      </c>
      <c r="H132" s="359">
        <f>ROWS($G$4:G132)</f>
        <v>129</v>
      </c>
      <c r="I132" s="359" t="str">
        <f>IF('School Level Expenditures'!$B$2=A132,'School Tables'!H132,"")</f>
        <v/>
      </c>
      <c r="J132" s="359" t="str">
        <f>IFERROR(SMALL($I$4:$I$325,ROWS($I$4:I132)),"")</f>
        <v/>
      </c>
      <c r="K132" s="333" t="b">
        <f t="shared" si="5"/>
        <v>0</v>
      </c>
      <c r="AH132">
        <v>371</v>
      </c>
      <c r="AI132">
        <v>371</v>
      </c>
      <c r="AJ132" t="s">
        <v>1283</v>
      </c>
      <c r="AK132">
        <v>42</v>
      </c>
      <c r="AL132" t="s">
        <v>1666</v>
      </c>
    </row>
    <row r="133" spans="1:38" ht="25.5" x14ac:dyDescent="0.2">
      <c r="A133" s="357">
        <v>261</v>
      </c>
      <c r="B133" s="357" t="s">
        <v>1121</v>
      </c>
      <c r="C133" s="357" t="s">
        <v>1122</v>
      </c>
      <c r="D133" s="357">
        <v>20540</v>
      </c>
      <c r="E133" s="357" t="s">
        <v>61</v>
      </c>
      <c r="F133" s="357">
        <v>15</v>
      </c>
      <c r="G133" s="357" t="s">
        <v>1671</v>
      </c>
      <c r="H133" s="359">
        <f>ROWS($G$4:G133)</f>
        <v>130</v>
      </c>
      <c r="I133" s="359" t="str">
        <f>IF('School Level Expenditures'!$B$2=A133,'School Tables'!H133,"")</f>
        <v/>
      </c>
      <c r="J133" s="359" t="str">
        <f>IFERROR(SMALL($I$4:$I$325,ROWS($I$4:I133)),"")</f>
        <v/>
      </c>
      <c r="K133" s="333" t="b">
        <f t="shared" ref="K133:K196" si="7">C133=C134</f>
        <v>0</v>
      </c>
      <c r="AH133">
        <v>375</v>
      </c>
      <c r="AI133">
        <v>375</v>
      </c>
      <c r="AJ133" t="s">
        <v>1301</v>
      </c>
      <c r="AK133">
        <v>29</v>
      </c>
      <c r="AL133" t="s">
        <v>1691</v>
      </c>
    </row>
    <row r="134" spans="1:38" ht="25.5" x14ac:dyDescent="0.2">
      <c r="A134" s="357">
        <v>141</v>
      </c>
      <c r="B134" s="357" t="s">
        <v>1008</v>
      </c>
      <c r="C134" s="357" t="s">
        <v>1011</v>
      </c>
      <c r="D134" s="357">
        <v>20445</v>
      </c>
      <c r="E134" s="357" t="s">
        <v>61</v>
      </c>
      <c r="F134" s="357">
        <v>11</v>
      </c>
      <c r="G134" s="357" t="s">
        <v>1710</v>
      </c>
      <c r="H134" s="359">
        <f>ROWS($G$4:G134)</f>
        <v>131</v>
      </c>
      <c r="I134" s="359" t="str">
        <f>IF('School Level Expenditures'!$B$2=A134,'School Tables'!H134,"")</f>
        <v/>
      </c>
      <c r="J134" s="359" t="str">
        <f>IFERROR(SMALL($I$4:$I$325,ROWS($I$4:I134)),"")</f>
        <v/>
      </c>
      <c r="K134" s="333" t="b">
        <f t="shared" si="7"/>
        <v>0</v>
      </c>
      <c r="AH134">
        <v>377</v>
      </c>
      <c r="AI134">
        <v>377</v>
      </c>
      <c r="AJ134" t="s">
        <v>1303</v>
      </c>
      <c r="AK134">
        <v>19</v>
      </c>
      <c r="AL134" t="s">
        <v>1675</v>
      </c>
    </row>
    <row r="135" spans="1:38" ht="25.5" x14ac:dyDescent="0.2">
      <c r="A135" s="357">
        <v>491</v>
      </c>
      <c r="B135" s="357" t="s">
        <v>1415</v>
      </c>
      <c r="C135" s="357" t="s">
        <v>1418</v>
      </c>
      <c r="D135" s="357">
        <v>29202</v>
      </c>
      <c r="E135" s="357" t="s">
        <v>61</v>
      </c>
      <c r="F135" s="357">
        <v>56</v>
      </c>
      <c r="G135" s="357" t="s">
        <v>1729</v>
      </c>
      <c r="H135" s="359">
        <f>ROWS($G$4:G135)</f>
        <v>132</v>
      </c>
      <c r="I135" s="359" t="str">
        <f>IF('School Level Expenditures'!$B$2=A135,'School Tables'!H135,"")</f>
        <v/>
      </c>
      <c r="J135" s="359" t="str">
        <f>IFERROR(SMALL($I$4:$I$325,ROWS($I$4:I135)),"")</f>
        <v/>
      </c>
      <c r="K135" s="333" t="b">
        <f t="shared" si="7"/>
        <v>0</v>
      </c>
      <c r="AH135">
        <v>381</v>
      </c>
      <c r="AI135">
        <v>381</v>
      </c>
      <c r="AJ135" t="s">
        <v>1305</v>
      </c>
      <c r="AK135">
        <v>50</v>
      </c>
      <c r="AL135" t="s">
        <v>1718</v>
      </c>
    </row>
    <row r="136" spans="1:38" ht="38.25" x14ac:dyDescent="0.2">
      <c r="A136" s="357">
        <v>343</v>
      </c>
      <c r="B136" s="357" t="s">
        <v>1236</v>
      </c>
      <c r="C136" s="357" t="s">
        <v>1240</v>
      </c>
      <c r="D136" s="357">
        <v>26405</v>
      </c>
      <c r="E136" s="357" t="s">
        <v>61</v>
      </c>
      <c r="F136" s="357">
        <v>62</v>
      </c>
      <c r="G136" s="357" t="s">
        <v>1685</v>
      </c>
      <c r="H136" s="359">
        <f>ROWS($G$4:G136)</f>
        <v>133</v>
      </c>
      <c r="I136" s="359" t="str">
        <f>IF('School Level Expenditures'!$B$2=A136,'School Tables'!H136,"")</f>
        <v/>
      </c>
      <c r="J136" s="359" t="str">
        <f>IFERROR(SMALL($I$4:$I$325,ROWS($I$4:I136)),"")</f>
        <v/>
      </c>
      <c r="K136" s="333" t="b">
        <f t="shared" si="7"/>
        <v>0</v>
      </c>
      <c r="AH136">
        <v>387</v>
      </c>
      <c r="AI136">
        <v>387</v>
      </c>
      <c r="AJ136" t="s">
        <v>1307</v>
      </c>
      <c r="AK136">
        <v>16</v>
      </c>
      <c r="AL136" t="s">
        <v>1702</v>
      </c>
    </row>
    <row r="137" spans="1:38" ht="38.25" x14ac:dyDescent="0.2">
      <c r="A137" s="357">
        <v>269</v>
      </c>
      <c r="B137" s="357" t="s">
        <v>1136</v>
      </c>
      <c r="C137" s="357" t="s">
        <v>1137</v>
      </c>
      <c r="D137" s="357">
        <v>29200</v>
      </c>
      <c r="E137" s="357" t="s">
        <v>61</v>
      </c>
      <c r="F137" s="357">
        <v>2</v>
      </c>
      <c r="G137" s="357" t="s">
        <v>1669</v>
      </c>
      <c r="H137" s="359">
        <f>ROWS($G$4:G137)</f>
        <v>134</v>
      </c>
      <c r="I137" s="359" t="str">
        <f>IF('School Level Expenditures'!$B$2=A137,'School Tables'!H137,"")</f>
        <v/>
      </c>
      <c r="J137" s="359" t="str">
        <f>IFERROR(SMALL($I$4:$I$325,ROWS($I$4:I137)),"")</f>
        <v/>
      </c>
      <c r="K137" s="333" t="b">
        <f t="shared" si="7"/>
        <v>0</v>
      </c>
      <c r="AH137">
        <v>388</v>
      </c>
      <c r="AI137">
        <v>0</v>
      </c>
      <c r="AJ137" t="s">
        <v>1787</v>
      </c>
      <c r="AK137">
        <v>4</v>
      </c>
      <c r="AL137" t="s">
        <v>1683</v>
      </c>
    </row>
    <row r="138" spans="1:38" ht="38.25" x14ac:dyDescent="0.2">
      <c r="A138" s="357">
        <v>269</v>
      </c>
      <c r="B138" s="357" t="s">
        <v>1136</v>
      </c>
      <c r="C138" s="357" t="s">
        <v>1138</v>
      </c>
      <c r="D138" s="357">
        <v>29201</v>
      </c>
      <c r="E138" s="357" t="s">
        <v>61</v>
      </c>
      <c r="F138" s="357">
        <v>2</v>
      </c>
      <c r="G138" s="357" t="s">
        <v>1669</v>
      </c>
      <c r="H138" s="359">
        <f>ROWS($G$4:G138)</f>
        <v>135</v>
      </c>
      <c r="I138" s="359" t="str">
        <f>IF('School Level Expenditures'!$B$2=A138,'School Tables'!H138,"")</f>
        <v/>
      </c>
      <c r="J138" s="359" t="str">
        <f>IFERROR(SMALL($I$4:$I$325,ROWS($I$4:I138)),"")</f>
        <v/>
      </c>
      <c r="K138" s="333" t="b">
        <f t="shared" si="7"/>
        <v>0</v>
      </c>
      <c r="AH138">
        <v>391</v>
      </c>
      <c r="AI138">
        <v>391</v>
      </c>
      <c r="AJ138" t="s">
        <v>1315</v>
      </c>
      <c r="AK138">
        <v>50</v>
      </c>
      <c r="AL138" t="s">
        <v>1718</v>
      </c>
    </row>
    <row r="139" spans="1:38" ht="25.5" x14ac:dyDescent="0.2">
      <c r="A139" s="357">
        <v>271</v>
      </c>
      <c r="B139" s="357" t="s">
        <v>1141</v>
      </c>
      <c r="C139" s="357" t="s">
        <v>1142</v>
      </c>
      <c r="D139" s="357">
        <v>20355</v>
      </c>
      <c r="E139" s="357" t="s">
        <v>61</v>
      </c>
      <c r="F139" s="357">
        <v>9</v>
      </c>
      <c r="G139" s="357" t="s">
        <v>1694</v>
      </c>
      <c r="H139" s="359">
        <f>ROWS($G$4:G139)</f>
        <v>136</v>
      </c>
      <c r="I139" s="359" t="str">
        <f>IF('School Level Expenditures'!$B$2=A139,'School Tables'!H139,"")</f>
        <v/>
      </c>
      <c r="J139" s="359" t="str">
        <f>IFERROR(SMALL($I$4:$I$325,ROWS($I$4:I139)),"")</f>
        <v/>
      </c>
      <c r="K139" s="333" t="b">
        <f t="shared" si="7"/>
        <v>0</v>
      </c>
      <c r="AH139">
        <v>399</v>
      </c>
      <c r="AI139">
        <v>399</v>
      </c>
      <c r="AJ139" t="s">
        <v>1317</v>
      </c>
      <c r="AK139">
        <v>31</v>
      </c>
      <c r="AL139" t="s">
        <v>1750</v>
      </c>
    </row>
    <row r="140" spans="1:38" ht="25.5" x14ac:dyDescent="0.2">
      <c r="A140" s="357">
        <v>357</v>
      </c>
      <c r="B140" s="357" t="s">
        <v>1262</v>
      </c>
      <c r="C140" s="357" t="s">
        <v>1266</v>
      </c>
      <c r="D140" s="357">
        <v>26580</v>
      </c>
      <c r="E140" s="357" t="s">
        <v>61</v>
      </c>
      <c r="F140" s="357">
        <v>40</v>
      </c>
      <c r="G140" s="357" t="s">
        <v>1725</v>
      </c>
      <c r="H140" s="359">
        <f>ROWS($G$4:G140)</f>
        <v>137</v>
      </c>
      <c r="I140" s="359" t="str">
        <f>IF('School Level Expenditures'!$B$2=A140,'School Tables'!H140,"")</f>
        <v/>
      </c>
      <c r="J140" s="359" t="str">
        <f>IFERROR(SMALL($I$4:$I$325,ROWS($I$4:I140)),"")</f>
        <v/>
      </c>
      <c r="K140" s="333" t="b">
        <f t="shared" si="7"/>
        <v>0</v>
      </c>
      <c r="AH140">
        <v>401</v>
      </c>
      <c r="AI140">
        <v>401</v>
      </c>
      <c r="AJ140" t="s">
        <v>1321</v>
      </c>
      <c r="AK140">
        <v>43</v>
      </c>
      <c r="AL140" t="s">
        <v>1757</v>
      </c>
    </row>
    <row r="141" spans="1:38" ht="25.5" x14ac:dyDescent="0.2">
      <c r="A141" s="357">
        <v>274</v>
      </c>
      <c r="B141" s="357" t="s">
        <v>1143</v>
      </c>
      <c r="C141" s="357" t="s">
        <v>1146</v>
      </c>
      <c r="D141" s="357">
        <v>22275</v>
      </c>
      <c r="E141" s="357" t="s">
        <v>61</v>
      </c>
      <c r="F141" s="357">
        <v>47</v>
      </c>
      <c r="G141" s="357" t="s">
        <v>1730</v>
      </c>
      <c r="H141" s="359">
        <f>ROWS($G$4:G141)</f>
        <v>138</v>
      </c>
      <c r="I141" s="359" t="str">
        <f>IF('School Level Expenditures'!$B$2=A141,'School Tables'!H141,"")</f>
        <v/>
      </c>
      <c r="J141" s="359" t="str">
        <f>IFERROR(SMALL($I$4:$I$325,ROWS($I$4:I141)),"")</f>
        <v/>
      </c>
      <c r="K141" s="333" t="b">
        <f t="shared" si="7"/>
        <v>0</v>
      </c>
      <c r="AH141" s="360">
        <v>740</v>
      </c>
      <c r="AI141" s="360">
        <v>740</v>
      </c>
      <c r="AJ141" s="360" t="s">
        <v>1523</v>
      </c>
      <c r="AK141" s="360">
        <v>422</v>
      </c>
      <c r="AL141" s="360" t="s">
        <v>1523</v>
      </c>
    </row>
    <row r="142" spans="1:38" ht="51" x14ac:dyDescent="0.2">
      <c r="A142" s="357">
        <v>503</v>
      </c>
      <c r="B142" s="357" t="s">
        <v>1428</v>
      </c>
      <c r="C142" s="357" t="s">
        <v>1429</v>
      </c>
      <c r="D142" s="357">
        <v>20980</v>
      </c>
      <c r="E142" s="357" t="s">
        <v>61</v>
      </c>
      <c r="F142" s="357">
        <v>24</v>
      </c>
      <c r="G142" s="357" t="s">
        <v>1688</v>
      </c>
      <c r="H142" s="359">
        <f>ROWS($G$4:G142)</f>
        <v>139</v>
      </c>
      <c r="I142" s="359" t="str">
        <f>IF('School Level Expenditures'!$B$2=A142,'School Tables'!H142,"")</f>
        <v/>
      </c>
      <c r="J142" s="359" t="str">
        <f>IFERROR(SMALL($I$4:$I$325,ROWS($I$4:I142)),"")</f>
        <v/>
      </c>
      <c r="K142" s="333" t="b">
        <f t="shared" si="7"/>
        <v>0</v>
      </c>
      <c r="AH142" s="360">
        <v>703</v>
      </c>
      <c r="AI142" s="360">
        <v>703</v>
      </c>
      <c r="AJ142" s="360" t="s">
        <v>1492</v>
      </c>
      <c r="AK142" s="360">
        <v>402</v>
      </c>
      <c r="AL142" s="360" t="s">
        <v>1492</v>
      </c>
    </row>
    <row r="143" spans="1:38" ht="38.25" x14ac:dyDescent="0.2">
      <c r="A143" s="357">
        <v>276</v>
      </c>
      <c r="B143" s="357" t="s">
        <v>1150</v>
      </c>
      <c r="C143" s="357" t="s">
        <v>1557</v>
      </c>
      <c r="D143" s="357">
        <v>26565</v>
      </c>
      <c r="E143" s="357" t="s">
        <v>1554</v>
      </c>
      <c r="F143" s="357">
        <v>65</v>
      </c>
      <c r="G143" s="357" t="s">
        <v>1731</v>
      </c>
      <c r="H143" s="359">
        <f>ROWS($G$4:G143)</f>
        <v>140</v>
      </c>
      <c r="I143" s="359" t="str">
        <f>IF('School Level Expenditures'!$B$2=A143,'School Tables'!H143,"")</f>
        <v/>
      </c>
      <c r="J143" s="359" t="str">
        <f>IFERROR(SMALL($I$4:$I$325,ROWS($I$4:I143)),"")</f>
        <v/>
      </c>
      <c r="K143" s="333" t="b">
        <f t="shared" si="7"/>
        <v>0</v>
      </c>
      <c r="AH143">
        <v>405</v>
      </c>
      <c r="AI143">
        <v>405</v>
      </c>
      <c r="AJ143" t="s">
        <v>1325</v>
      </c>
      <c r="AK143">
        <v>21</v>
      </c>
      <c r="AL143" t="s">
        <v>1737</v>
      </c>
    </row>
    <row r="144" spans="1:38" ht="51" x14ac:dyDescent="0.2">
      <c r="A144" s="357">
        <v>351</v>
      </c>
      <c r="B144" s="357" t="s">
        <v>1243</v>
      </c>
      <c r="C144" s="357" t="s">
        <v>1246</v>
      </c>
      <c r="D144" s="357">
        <v>21020</v>
      </c>
      <c r="E144" s="357" t="s">
        <v>61</v>
      </c>
      <c r="F144" s="357">
        <v>26</v>
      </c>
      <c r="G144" s="357" t="s">
        <v>1732</v>
      </c>
      <c r="H144" s="359">
        <f>ROWS($G$4:G144)</f>
        <v>141</v>
      </c>
      <c r="I144" s="359" t="str">
        <f>IF('School Level Expenditures'!$B$2=A144,'School Tables'!H144,"")</f>
        <v/>
      </c>
      <c r="J144" s="359" t="str">
        <f>IFERROR(SMALL($I$4:$I$325,ROWS($I$4:I144)),"")</f>
        <v/>
      </c>
      <c r="K144" s="333" t="b">
        <f t="shared" si="7"/>
        <v>0</v>
      </c>
      <c r="AH144" s="360">
        <v>716</v>
      </c>
      <c r="AI144" s="360">
        <v>716</v>
      </c>
      <c r="AJ144" s="360" t="s">
        <v>1620</v>
      </c>
      <c r="AK144" s="360">
        <v>441</v>
      </c>
      <c r="AL144" s="360" t="s">
        <v>1620</v>
      </c>
    </row>
    <row r="145" spans="1:38" ht="25.5" x14ac:dyDescent="0.2">
      <c r="A145" s="357">
        <v>351</v>
      </c>
      <c r="B145" s="357" t="s">
        <v>1243</v>
      </c>
      <c r="C145" s="357" t="s">
        <v>1247</v>
      </c>
      <c r="D145" s="357">
        <v>21025</v>
      </c>
      <c r="E145" s="357" t="s">
        <v>61</v>
      </c>
      <c r="F145" s="357">
        <v>26</v>
      </c>
      <c r="G145" s="357" t="s">
        <v>1732</v>
      </c>
      <c r="H145" s="359">
        <f>ROWS($G$4:G145)</f>
        <v>142</v>
      </c>
      <c r="I145" s="359" t="str">
        <f>IF('School Level Expenditures'!$B$2=A145,'School Tables'!H145,"")</f>
        <v/>
      </c>
      <c r="J145" s="359" t="str">
        <f>IFERROR(SMALL($I$4:$I$325,ROWS($I$4:I145)),"")</f>
        <v/>
      </c>
      <c r="K145" s="333" t="b">
        <f t="shared" si="7"/>
        <v>0</v>
      </c>
      <c r="AH145">
        <v>407</v>
      </c>
      <c r="AI145">
        <v>407</v>
      </c>
      <c r="AJ145" t="s">
        <v>1327</v>
      </c>
      <c r="AK145">
        <v>58</v>
      </c>
      <c r="AL145" t="s">
        <v>1720</v>
      </c>
    </row>
    <row r="146" spans="1:38" ht="12.75" x14ac:dyDescent="0.2">
      <c r="A146" s="357">
        <v>247</v>
      </c>
      <c r="B146" s="357" t="s">
        <v>1103</v>
      </c>
      <c r="C146" s="357" t="s">
        <v>1104</v>
      </c>
      <c r="D146" s="357">
        <v>20670</v>
      </c>
      <c r="E146" s="357" t="s">
        <v>61</v>
      </c>
      <c r="F146" s="357">
        <v>103</v>
      </c>
      <c r="G146" s="357" t="s">
        <v>1733</v>
      </c>
      <c r="H146" s="359">
        <f>ROWS($G$4:G146)</f>
        <v>143</v>
      </c>
      <c r="I146" s="359" t="str">
        <f>IF('School Level Expenditures'!$B$2=A146,'School Tables'!H146,"")</f>
        <v/>
      </c>
      <c r="J146" s="359" t="str">
        <f>IFERROR(SMALL($I$4:$I$325,ROWS($I$4:I146)),"")</f>
        <v/>
      </c>
      <c r="K146" s="333" t="b">
        <f t="shared" si="7"/>
        <v>0</v>
      </c>
      <c r="AH146">
        <v>411</v>
      </c>
      <c r="AI146">
        <v>411</v>
      </c>
      <c r="AJ146" t="s">
        <v>1331</v>
      </c>
      <c r="AK146">
        <v>44</v>
      </c>
      <c r="AL146" t="s">
        <v>1751</v>
      </c>
    </row>
    <row r="147" spans="1:38" ht="25.5" x14ac:dyDescent="0.2">
      <c r="A147" s="357">
        <v>335</v>
      </c>
      <c r="B147" s="357" t="s">
        <v>906</v>
      </c>
      <c r="C147" s="357" t="s">
        <v>1221</v>
      </c>
      <c r="D147" s="357">
        <v>21590</v>
      </c>
      <c r="E147" s="357" t="s">
        <v>61</v>
      </c>
      <c r="F147" s="357">
        <v>37</v>
      </c>
      <c r="G147" s="357" t="s">
        <v>1672</v>
      </c>
      <c r="H147" s="359">
        <f>ROWS($G$4:G147)</f>
        <v>144</v>
      </c>
      <c r="I147" s="359" t="str">
        <f>IF('School Level Expenditures'!$B$2=A147,'School Tables'!H147,"")</f>
        <v/>
      </c>
      <c r="J147" s="359" t="str">
        <f>IFERROR(SMALL($I$4:$I$325,ROWS($I$4:I147)),"")</f>
        <v/>
      </c>
      <c r="K147" s="333" t="b">
        <f t="shared" si="7"/>
        <v>0</v>
      </c>
      <c r="AH147">
        <v>413</v>
      </c>
      <c r="AI147">
        <v>413</v>
      </c>
      <c r="AJ147" t="s">
        <v>1333</v>
      </c>
      <c r="AK147">
        <v>44</v>
      </c>
      <c r="AL147" t="s">
        <v>1751</v>
      </c>
    </row>
    <row r="148" spans="1:38" ht="25.5" x14ac:dyDescent="0.2">
      <c r="A148" s="357">
        <v>341</v>
      </c>
      <c r="B148" s="357" t="s">
        <v>1230</v>
      </c>
      <c r="C148" s="357" t="s">
        <v>1231</v>
      </c>
      <c r="D148" s="357">
        <v>23000</v>
      </c>
      <c r="E148" s="357" t="s">
        <v>61</v>
      </c>
      <c r="F148" s="357">
        <v>29</v>
      </c>
      <c r="G148" s="357" t="s">
        <v>1691</v>
      </c>
      <c r="H148" s="359">
        <f>ROWS($G$4:G148)</f>
        <v>145</v>
      </c>
      <c r="I148" s="359" t="str">
        <f>IF('School Level Expenditures'!$B$2=A148,'School Tables'!H148,"")</f>
        <v/>
      </c>
      <c r="J148" s="359" t="str">
        <f>IFERROR(SMALL($I$4:$I$325,ROWS($I$4:I148)),"")</f>
        <v/>
      </c>
      <c r="K148" s="333" t="b">
        <f t="shared" si="7"/>
        <v>0</v>
      </c>
      <c r="AH148">
        <v>423</v>
      </c>
      <c r="AI148">
        <v>0</v>
      </c>
      <c r="AJ148" t="s">
        <v>1335</v>
      </c>
      <c r="AK148">
        <v>5</v>
      </c>
      <c r="AL148" t="s">
        <v>1742</v>
      </c>
    </row>
    <row r="149" spans="1:38" ht="25.5" x14ac:dyDescent="0.2">
      <c r="A149" s="357">
        <v>113</v>
      </c>
      <c r="B149" s="357" t="s">
        <v>989</v>
      </c>
      <c r="C149" s="357" t="s">
        <v>991</v>
      </c>
      <c r="D149" s="357">
        <v>20335</v>
      </c>
      <c r="E149" s="357" t="s">
        <v>61</v>
      </c>
      <c r="F149" s="357">
        <v>9</v>
      </c>
      <c r="G149" s="357" t="s">
        <v>1694</v>
      </c>
      <c r="H149" s="359">
        <f>ROWS($G$4:G149)</f>
        <v>146</v>
      </c>
      <c r="I149" s="359" t="str">
        <f>IF('School Level Expenditures'!$B$2=A149,'School Tables'!H149,"")</f>
        <v/>
      </c>
      <c r="J149" s="359" t="str">
        <f>IFERROR(SMALL($I$4:$I$325,ROWS($I$4:I149)),"")</f>
        <v/>
      </c>
      <c r="K149" s="333" t="b">
        <f t="shared" si="7"/>
        <v>0</v>
      </c>
      <c r="AH149">
        <v>425</v>
      </c>
      <c r="AI149">
        <v>425</v>
      </c>
      <c r="AJ149" t="s">
        <v>1340</v>
      </c>
      <c r="AK149">
        <v>28</v>
      </c>
      <c r="AL149" t="s">
        <v>1754</v>
      </c>
    </row>
    <row r="150" spans="1:38" ht="25.5" x14ac:dyDescent="0.2">
      <c r="A150" s="357">
        <v>279</v>
      </c>
      <c r="B150" s="357" t="s">
        <v>1157</v>
      </c>
      <c r="C150" s="357" t="s">
        <v>1558</v>
      </c>
      <c r="D150" s="357">
        <v>29180</v>
      </c>
      <c r="E150" s="357" t="s">
        <v>1554</v>
      </c>
      <c r="F150" s="357">
        <v>29</v>
      </c>
      <c r="G150" s="357" t="s">
        <v>1691</v>
      </c>
      <c r="H150" s="359">
        <f>ROWS($G$4:G150)</f>
        <v>147</v>
      </c>
      <c r="I150" s="359" t="str">
        <f>IF('School Level Expenditures'!$B$2=A150,'School Tables'!H150,"")</f>
        <v/>
      </c>
      <c r="J150" s="359" t="str">
        <f>IFERROR(SMALL($I$4:$I$325,ROWS($I$4:I150)),"")</f>
        <v/>
      </c>
      <c r="K150" s="333" t="b">
        <f t="shared" si="7"/>
        <v>0</v>
      </c>
      <c r="AH150">
        <v>427</v>
      </c>
      <c r="AI150">
        <v>427</v>
      </c>
      <c r="AJ150" t="s">
        <v>1344</v>
      </c>
      <c r="AK150">
        <v>53</v>
      </c>
      <c r="AL150" t="s">
        <v>1664</v>
      </c>
    </row>
    <row r="151" spans="1:38" ht="25.5" x14ac:dyDescent="0.2">
      <c r="A151" s="357">
        <v>35</v>
      </c>
      <c r="B151" s="357" t="s">
        <v>930</v>
      </c>
      <c r="C151" s="357" t="s">
        <v>931</v>
      </c>
      <c r="D151" s="357">
        <v>20325</v>
      </c>
      <c r="E151" s="357" t="s">
        <v>61</v>
      </c>
      <c r="F151" s="357">
        <v>9</v>
      </c>
      <c r="G151" s="357" t="s">
        <v>1694</v>
      </c>
      <c r="H151" s="359">
        <f>ROWS($G$4:G151)</f>
        <v>148</v>
      </c>
      <c r="I151" s="359" t="str">
        <f>IF('School Level Expenditures'!$B$2=A151,'School Tables'!H151,"")</f>
        <v/>
      </c>
      <c r="J151" s="359" t="str">
        <f>IFERROR(SMALL($I$4:$I$325,ROWS($I$4:I151)),"")</f>
        <v/>
      </c>
      <c r="K151" s="333" t="b">
        <f t="shared" si="7"/>
        <v>0</v>
      </c>
      <c r="AH151">
        <v>428</v>
      </c>
      <c r="AI151">
        <v>0</v>
      </c>
      <c r="AJ151" t="s">
        <v>1348</v>
      </c>
      <c r="AK151">
        <v>48</v>
      </c>
      <c r="AL151" t="s">
        <v>1684</v>
      </c>
    </row>
    <row r="152" spans="1:38" ht="38.25" x14ac:dyDescent="0.2">
      <c r="A152" s="357">
        <v>276</v>
      </c>
      <c r="B152" s="357" t="s">
        <v>1150</v>
      </c>
      <c r="C152" s="357" t="s">
        <v>1154</v>
      </c>
      <c r="D152" s="357">
        <v>21980</v>
      </c>
      <c r="E152" s="357" t="s">
        <v>61</v>
      </c>
      <c r="F152" s="357">
        <v>65</v>
      </c>
      <c r="G152" s="357" t="s">
        <v>1731</v>
      </c>
      <c r="H152" s="359">
        <f>ROWS($G$4:G152)</f>
        <v>149</v>
      </c>
      <c r="I152" s="359" t="str">
        <f>IF('School Level Expenditures'!$B$2=A152,'School Tables'!H152,"")</f>
        <v/>
      </c>
      <c r="J152" s="359" t="str">
        <f>IFERROR(SMALL($I$4:$I$325,ROWS($I$4:I152)),"")</f>
        <v/>
      </c>
      <c r="K152" s="333" t="b">
        <f t="shared" si="7"/>
        <v>0</v>
      </c>
      <c r="AH152">
        <v>435</v>
      </c>
      <c r="AI152">
        <v>435</v>
      </c>
      <c r="AJ152" t="s">
        <v>1350</v>
      </c>
      <c r="AK152">
        <v>23</v>
      </c>
      <c r="AL152" t="s">
        <v>1676</v>
      </c>
    </row>
    <row r="153" spans="1:38" ht="38.25" x14ac:dyDescent="0.2">
      <c r="A153" s="357">
        <v>276</v>
      </c>
      <c r="B153" s="357" t="s">
        <v>1150</v>
      </c>
      <c r="C153" s="357" t="s">
        <v>1155</v>
      </c>
      <c r="D153" s="357">
        <v>26530</v>
      </c>
      <c r="E153" s="357" t="s">
        <v>61</v>
      </c>
      <c r="F153" s="357">
        <v>65</v>
      </c>
      <c r="G153" s="357" t="s">
        <v>1731</v>
      </c>
      <c r="H153" s="359">
        <f>ROWS($G$4:G153)</f>
        <v>150</v>
      </c>
      <c r="I153" s="359" t="str">
        <f>IF('School Level Expenditures'!$B$2=A153,'School Tables'!H153,"")</f>
        <v/>
      </c>
      <c r="J153" s="359" t="str">
        <f>IFERROR(SMALL($I$4:$I$325,ROWS($I$4:I153)),"")</f>
        <v/>
      </c>
      <c r="K153" s="333" t="b">
        <f t="shared" si="7"/>
        <v>0</v>
      </c>
      <c r="AH153">
        <v>437</v>
      </c>
      <c r="AI153">
        <v>437</v>
      </c>
      <c r="AJ153" t="s">
        <v>1352</v>
      </c>
      <c r="AK153">
        <v>7</v>
      </c>
      <c r="AL153" t="s">
        <v>1693</v>
      </c>
    </row>
    <row r="154" spans="1:38" ht="25.5" x14ac:dyDescent="0.2">
      <c r="A154" s="357">
        <v>525</v>
      </c>
      <c r="B154" s="357" t="s">
        <v>1439</v>
      </c>
      <c r="C154" s="357" t="s">
        <v>1440</v>
      </c>
      <c r="D154" s="357">
        <v>20365</v>
      </c>
      <c r="E154" s="357" t="s">
        <v>61</v>
      </c>
      <c r="F154" s="357">
        <v>13</v>
      </c>
      <c r="G154" s="357" t="s">
        <v>1709</v>
      </c>
      <c r="H154" s="359">
        <f>ROWS($G$4:G154)</f>
        <v>151</v>
      </c>
      <c r="I154" s="359" t="str">
        <f>IF('School Level Expenditures'!$B$2=A154,'School Tables'!H154,"")</f>
        <v/>
      </c>
      <c r="J154" s="359" t="str">
        <f>IFERROR(SMALL($I$4:$I$325,ROWS($I$4:I154)),"")</f>
        <v/>
      </c>
      <c r="K154" s="333" t="b">
        <f t="shared" si="7"/>
        <v>0</v>
      </c>
      <c r="AH154">
        <v>439</v>
      </c>
      <c r="AI154">
        <v>439</v>
      </c>
      <c r="AJ154" t="s">
        <v>1355</v>
      </c>
      <c r="AK154">
        <v>51</v>
      </c>
      <c r="AL154" t="s">
        <v>1755</v>
      </c>
    </row>
    <row r="155" spans="1:38" ht="25.5" x14ac:dyDescent="0.2">
      <c r="A155" s="357">
        <v>281</v>
      </c>
      <c r="B155" s="357" t="s">
        <v>1164</v>
      </c>
      <c r="C155" s="357" t="s">
        <v>1165</v>
      </c>
      <c r="D155" s="357">
        <v>20605</v>
      </c>
      <c r="E155" s="357" t="s">
        <v>61</v>
      </c>
      <c r="F155" s="357">
        <v>16</v>
      </c>
      <c r="G155" s="357" t="s">
        <v>1702</v>
      </c>
      <c r="H155" s="359">
        <f>ROWS($G$4:G155)</f>
        <v>152</v>
      </c>
      <c r="I155" s="359" t="str">
        <f>IF('School Level Expenditures'!$B$2=A155,'School Tables'!H155,"")</f>
        <v/>
      </c>
      <c r="J155" s="359" t="str">
        <f>IFERROR(SMALL($I$4:$I$325,ROWS($I$4:I155)),"")</f>
        <v/>
      </c>
      <c r="K155" s="333" t="b">
        <f t="shared" si="7"/>
        <v>0</v>
      </c>
      <c r="AH155">
        <v>441</v>
      </c>
      <c r="AI155">
        <v>441</v>
      </c>
      <c r="AJ155" t="s">
        <v>1359</v>
      </c>
      <c r="AK155">
        <v>32</v>
      </c>
      <c r="AL155" t="s">
        <v>1756</v>
      </c>
    </row>
    <row r="156" spans="1:38" ht="25.5" x14ac:dyDescent="0.2">
      <c r="A156" s="357">
        <v>288</v>
      </c>
      <c r="B156" s="357" t="s">
        <v>1172</v>
      </c>
      <c r="C156" s="357" t="s">
        <v>1173</v>
      </c>
      <c r="D156" s="357">
        <v>21405</v>
      </c>
      <c r="E156" s="357" t="s">
        <v>61</v>
      </c>
      <c r="F156" s="357">
        <v>35</v>
      </c>
      <c r="G156" s="357" t="s">
        <v>1680</v>
      </c>
      <c r="H156" s="359">
        <f>ROWS($G$4:G156)</f>
        <v>153</v>
      </c>
      <c r="I156" s="359" t="str">
        <f>IF('School Level Expenditures'!$B$2=A156,'School Tables'!H156,"")</f>
        <v/>
      </c>
      <c r="J156" s="359" t="str">
        <f>IFERROR(SMALL($I$4:$I$325,ROWS($I$4:I156)),"")</f>
        <v/>
      </c>
      <c r="K156" s="333" t="b">
        <f t="shared" si="7"/>
        <v>0</v>
      </c>
      <c r="AH156">
        <v>447</v>
      </c>
      <c r="AI156">
        <v>447</v>
      </c>
      <c r="AJ156" t="s">
        <v>1361</v>
      </c>
      <c r="AK156">
        <v>48</v>
      </c>
      <c r="AL156" t="s">
        <v>1684</v>
      </c>
    </row>
    <row r="157" spans="1:38" ht="38.25" x14ac:dyDescent="0.2">
      <c r="A157" s="357">
        <v>453</v>
      </c>
      <c r="B157" s="357" t="s">
        <v>1372</v>
      </c>
      <c r="C157" s="357" t="s">
        <v>1373</v>
      </c>
      <c r="D157" s="357">
        <v>21385</v>
      </c>
      <c r="E157" s="357" t="s">
        <v>61</v>
      </c>
      <c r="F157" s="357">
        <v>33</v>
      </c>
      <c r="G157" s="357" t="s">
        <v>1734</v>
      </c>
      <c r="H157" s="359">
        <f>ROWS($G$4:G157)</f>
        <v>154</v>
      </c>
      <c r="I157" s="359" t="str">
        <f>IF('School Level Expenditures'!$B$2=A157,'School Tables'!H157,"")</f>
        <v/>
      </c>
      <c r="J157" s="359" t="str">
        <f>IFERROR(SMALL($I$4:$I$325,ROWS($I$4:I157)),"")</f>
        <v/>
      </c>
      <c r="K157" s="333" t="b">
        <f t="shared" si="7"/>
        <v>0</v>
      </c>
      <c r="AH157" s="360">
        <v>735</v>
      </c>
      <c r="AI157" s="360">
        <v>735</v>
      </c>
      <c r="AJ157" s="360" t="s">
        <v>1521</v>
      </c>
      <c r="AK157" s="360">
        <v>419</v>
      </c>
      <c r="AL157" s="360" t="s">
        <v>1521</v>
      </c>
    </row>
    <row r="158" spans="1:38" ht="51" x14ac:dyDescent="0.2">
      <c r="A158" s="357">
        <v>568</v>
      </c>
      <c r="B158" s="357" t="s">
        <v>1468</v>
      </c>
      <c r="C158" s="357" t="s">
        <v>1470</v>
      </c>
      <c r="D158" s="357">
        <v>21475</v>
      </c>
      <c r="E158" s="357" t="s">
        <v>61</v>
      </c>
      <c r="F158" s="357">
        <v>36</v>
      </c>
      <c r="G158" s="357" t="s">
        <v>1735</v>
      </c>
      <c r="H158" s="359">
        <f>ROWS($G$4:G158)</f>
        <v>155</v>
      </c>
      <c r="I158" s="359" t="str">
        <f>IF('School Level Expenditures'!$B$2=A158,'School Tables'!H158,"")</f>
        <v/>
      </c>
      <c r="J158" s="359" t="str">
        <f>IFERROR(SMALL($I$4:$I$325,ROWS($I$4:I158)),"")</f>
        <v/>
      </c>
      <c r="K158" s="333" t="b">
        <f t="shared" si="7"/>
        <v>0</v>
      </c>
      <c r="AH158">
        <v>449</v>
      </c>
      <c r="AI158">
        <v>449</v>
      </c>
      <c r="AJ158" t="s">
        <v>1363</v>
      </c>
      <c r="AK158">
        <v>52</v>
      </c>
      <c r="AL158" t="s">
        <v>1739</v>
      </c>
    </row>
    <row r="159" spans="1:38" ht="25.5" x14ac:dyDescent="0.2">
      <c r="A159" s="357">
        <v>291</v>
      </c>
      <c r="B159" s="357" t="s">
        <v>1174</v>
      </c>
      <c r="C159" s="357" t="s">
        <v>1175</v>
      </c>
      <c r="D159" s="357">
        <v>21410</v>
      </c>
      <c r="E159" s="357" t="s">
        <v>61</v>
      </c>
      <c r="F159" s="357">
        <v>35</v>
      </c>
      <c r="G159" s="357" t="s">
        <v>1680</v>
      </c>
      <c r="H159" s="359">
        <f>ROWS($G$4:G159)</f>
        <v>156</v>
      </c>
      <c r="I159" s="359" t="str">
        <f>IF('School Level Expenditures'!$B$2=A159,'School Tables'!H159,"")</f>
        <v/>
      </c>
      <c r="J159" s="359" t="str">
        <f>IFERROR(SMALL($I$4:$I$325,ROWS($I$4:I159)),"")</f>
        <v/>
      </c>
      <c r="K159" s="333" t="b">
        <f t="shared" si="7"/>
        <v>0</v>
      </c>
      <c r="AH159">
        <v>450</v>
      </c>
      <c r="AI159">
        <v>0</v>
      </c>
      <c r="AJ159" t="s">
        <v>1369</v>
      </c>
      <c r="AK159">
        <v>35</v>
      </c>
      <c r="AL159" t="s">
        <v>1680</v>
      </c>
    </row>
    <row r="160" spans="1:38" ht="25.5" x14ac:dyDescent="0.2">
      <c r="A160" s="357">
        <v>371</v>
      </c>
      <c r="B160" s="357" t="s">
        <v>1283</v>
      </c>
      <c r="C160" s="357" t="s">
        <v>1295</v>
      </c>
      <c r="D160" s="357">
        <v>21915</v>
      </c>
      <c r="E160" s="357" t="s">
        <v>61</v>
      </c>
      <c r="F160" s="357">
        <v>42</v>
      </c>
      <c r="G160" s="357" t="s">
        <v>1666</v>
      </c>
      <c r="H160" s="359">
        <f>ROWS($G$4:G160)</f>
        <v>157</v>
      </c>
      <c r="I160" s="359" t="str">
        <f>IF('School Level Expenditures'!$B$2=A160,'School Tables'!H160,"")</f>
        <v/>
      </c>
      <c r="J160" s="359" t="str">
        <f>IFERROR(SMALL($I$4:$I$325,ROWS($I$4:I160)),"")</f>
        <v/>
      </c>
      <c r="K160" s="333" t="b">
        <f t="shared" si="7"/>
        <v>0</v>
      </c>
      <c r="AH160">
        <v>453</v>
      </c>
      <c r="AI160">
        <v>453</v>
      </c>
      <c r="AJ160" t="s">
        <v>1372</v>
      </c>
      <c r="AK160">
        <v>33</v>
      </c>
      <c r="AL160" t="s">
        <v>1734</v>
      </c>
    </row>
    <row r="161" spans="1:38" ht="25.5" x14ac:dyDescent="0.2">
      <c r="A161" s="357">
        <v>299</v>
      </c>
      <c r="B161" s="357" t="s">
        <v>1181</v>
      </c>
      <c r="C161" s="357" t="s">
        <v>1182</v>
      </c>
      <c r="D161" s="357">
        <v>29169</v>
      </c>
      <c r="E161" s="357" t="s">
        <v>61</v>
      </c>
      <c r="F161" s="357">
        <v>71</v>
      </c>
      <c r="G161" s="357" t="s">
        <v>1736</v>
      </c>
      <c r="H161" s="359">
        <f>ROWS($G$4:G161)</f>
        <v>158</v>
      </c>
      <c r="I161" s="359" t="str">
        <f>IF('School Level Expenditures'!$B$2=A161,'School Tables'!H161,"")</f>
        <v/>
      </c>
      <c r="J161" s="359" t="str">
        <f>IFERROR(SMALL($I$4:$I$325,ROWS($I$4:I161)),"")</f>
        <v/>
      </c>
      <c r="K161" s="333" t="b">
        <f t="shared" si="7"/>
        <v>0</v>
      </c>
      <c r="AH161">
        <v>457</v>
      </c>
      <c r="AI161">
        <v>0</v>
      </c>
      <c r="AJ161" t="s">
        <v>1618</v>
      </c>
      <c r="AK161">
        <v>78</v>
      </c>
      <c r="AL161" t="s">
        <v>1758</v>
      </c>
    </row>
    <row r="162" spans="1:38" ht="38.25" x14ac:dyDescent="0.2">
      <c r="A162" s="357">
        <v>227</v>
      </c>
      <c r="B162" s="357" t="s">
        <v>1091</v>
      </c>
      <c r="C162" s="357" t="s">
        <v>1092</v>
      </c>
      <c r="D162" s="357">
        <v>20800</v>
      </c>
      <c r="E162" s="357" t="s">
        <v>61</v>
      </c>
      <c r="F162" s="357">
        <v>21</v>
      </c>
      <c r="G162" s="357" t="s">
        <v>1737</v>
      </c>
      <c r="H162" s="359">
        <f>ROWS($G$4:G162)</f>
        <v>159</v>
      </c>
      <c r="I162" s="359" t="str">
        <f>IF('School Level Expenditures'!$B$2=A162,'School Tables'!H162,"")</f>
        <v/>
      </c>
      <c r="J162" s="359" t="str">
        <f>IFERROR(SMALL($I$4:$I$325,ROWS($I$4:I162)),"")</f>
        <v/>
      </c>
      <c r="K162" s="333" t="b">
        <f t="shared" si="7"/>
        <v>0</v>
      </c>
      <c r="AH162" s="360">
        <v>737</v>
      </c>
      <c r="AI162" s="360">
        <v>737</v>
      </c>
      <c r="AJ162" s="360" t="s">
        <v>1522</v>
      </c>
      <c r="AK162" s="360">
        <v>420</v>
      </c>
      <c r="AL162" s="360" t="s">
        <v>1522</v>
      </c>
    </row>
    <row r="163" spans="1:38" ht="25.5" x14ac:dyDescent="0.2">
      <c r="A163" s="357">
        <v>173</v>
      </c>
      <c r="B163" s="357" t="s">
        <v>1030</v>
      </c>
      <c r="C163" s="357" t="s">
        <v>1032</v>
      </c>
      <c r="D163" s="357">
        <v>20595</v>
      </c>
      <c r="E163" s="357" t="s">
        <v>61</v>
      </c>
      <c r="F163" s="357">
        <v>16</v>
      </c>
      <c r="G163" s="357" t="s">
        <v>1702</v>
      </c>
      <c r="H163" s="359">
        <f>ROWS($G$4:G163)</f>
        <v>160</v>
      </c>
      <c r="I163" s="359" t="str">
        <f>IF('School Level Expenditures'!$B$2=A163,'School Tables'!H163,"")</f>
        <v/>
      </c>
      <c r="J163" s="359" t="str">
        <f>IFERROR(SMALL($I$4:$I$325,ROWS($I$4:I163)),"")</f>
        <v/>
      </c>
      <c r="K163" s="333" t="b">
        <f t="shared" si="7"/>
        <v>0</v>
      </c>
      <c r="AH163">
        <v>461</v>
      </c>
      <c r="AI163">
        <v>461</v>
      </c>
      <c r="AJ163" t="s">
        <v>1376</v>
      </c>
      <c r="AK163">
        <v>54</v>
      </c>
      <c r="AL163" t="s">
        <v>1689</v>
      </c>
    </row>
    <row r="164" spans="1:38" ht="38.25" x14ac:dyDescent="0.2">
      <c r="A164" s="357">
        <v>305</v>
      </c>
      <c r="B164" s="357" t="s">
        <v>1183</v>
      </c>
      <c r="C164" s="357" t="s">
        <v>1186</v>
      </c>
      <c r="D164" s="357">
        <v>20880</v>
      </c>
      <c r="E164" s="357" t="s">
        <v>61</v>
      </c>
      <c r="F164" s="357">
        <v>68</v>
      </c>
      <c r="G164" s="357" t="s">
        <v>1738</v>
      </c>
      <c r="H164" s="359">
        <f>ROWS($G$4:G164)</f>
        <v>161</v>
      </c>
      <c r="I164" s="359" t="str">
        <f>IF('School Level Expenditures'!$B$2=A164,'School Tables'!H164,"")</f>
        <v/>
      </c>
      <c r="J164" s="359" t="str">
        <f>IFERROR(SMALL($I$4:$I$325,ROWS($I$4:I164)),"")</f>
        <v/>
      </c>
      <c r="K164" s="333" t="b">
        <f t="shared" si="7"/>
        <v>0</v>
      </c>
      <c r="AH164">
        <v>463</v>
      </c>
      <c r="AI164">
        <v>463</v>
      </c>
      <c r="AJ164" t="s">
        <v>1388</v>
      </c>
      <c r="AK164">
        <v>104</v>
      </c>
      <c r="AL164" t="s">
        <v>1759</v>
      </c>
    </row>
    <row r="165" spans="1:38" ht="25.5" x14ac:dyDescent="0.2">
      <c r="A165" s="357">
        <v>306</v>
      </c>
      <c r="B165" s="357" t="s">
        <v>1187</v>
      </c>
      <c r="C165" s="357" t="s">
        <v>1188</v>
      </c>
      <c r="D165" s="357">
        <v>21420</v>
      </c>
      <c r="E165" s="357" t="s">
        <v>61</v>
      </c>
      <c r="F165" s="357">
        <v>35</v>
      </c>
      <c r="G165" s="357" t="s">
        <v>1680</v>
      </c>
      <c r="H165" s="359">
        <f>ROWS($G$4:G165)</f>
        <v>162</v>
      </c>
      <c r="I165" s="359" t="str">
        <f>IF('School Level Expenditures'!$B$2=A165,'School Tables'!H165,"")</f>
        <v/>
      </c>
      <c r="J165" s="359" t="str">
        <f>IFERROR(SMALL($I$4:$I$325,ROWS($I$4:I165)),"")</f>
        <v/>
      </c>
      <c r="K165" s="333" t="b">
        <f t="shared" si="7"/>
        <v>0</v>
      </c>
      <c r="AH165">
        <v>467</v>
      </c>
      <c r="AI165">
        <v>467</v>
      </c>
      <c r="AJ165" t="s">
        <v>1390</v>
      </c>
      <c r="AK165">
        <v>48</v>
      </c>
      <c r="AL165" t="s">
        <v>1684</v>
      </c>
    </row>
    <row r="166" spans="1:38" ht="25.5" x14ac:dyDescent="0.2">
      <c r="A166" s="357">
        <v>449</v>
      </c>
      <c r="B166" s="357" t="s">
        <v>1363</v>
      </c>
      <c r="C166" s="357" t="s">
        <v>1365</v>
      </c>
      <c r="D166" s="357">
        <v>22515</v>
      </c>
      <c r="E166" s="357" t="s">
        <v>61</v>
      </c>
      <c r="F166" s="357">
        <v>52</v>
      </c>
      <c r="G166" s="357" t="s">
        <v>1739</v>
      </c>
      <c r="H166" s="359">
        <f>ROWS($G$4:G166)</f>
        <v>163</v>
      </c>
      <c r="I166" s="359" t="str">
        <f>IF('School Level Expenditures'!$B$2=A166,'School Tables'!H166,"")</f>
        <v/>
      </c>
      <c r="J166" s="359" t="str">
        <f>IFERROR(SMALL($I$4:$I$325,ROWS($I$4:I166)),"")</f>
        <v/>
      </c>
      <c r="K166" s="333" t="b">
        <f t="shared" si="7"/>
        <v>0</v>
      </c>
      <c r="AH166">
        <v>471</v>
      </c>
      <c r="AI166">
        <v>471</v>
      </c>
      <c r="AJ166" t="s">
        <v>1392</v>
      </c>
      <c r="AK166">
        <v>50</v>
      </c>
      <c r="AL166" t="s">
        <v>1718</v>
      </c>
    </row>
    <row r="167" spans="1:38" ht="38.25" x14ac:dyDescent="0.2">
      <c r="A167" s="357">
        <v>352</v>
      </c>
      <c r="B167" s="357" t="s">
        <v>1250</v>
      </c>
      <c r="C167" s="357" t="s">
        <v>1253</v>
      </c>
      <c r="D167" s="357">
        <v>22180</v>
      </c>
      <c r="E167" s="357" t="s">
        <v>61</v>
      </c>
      <c r="F167" s="357">
        <v>46</v>
      </c>
      <c r="G167" s="357" t="s">
        <v>1667</v>
      </c>
      <c r="H167" s="359">
        <f>ROWS($G$4:G167)</f>
        <v>164</v>
      </c>
      <c r="I167" s="359" t="str">
        <f>IF('School Level Expenditures'!$B$2=A167,'School Tables'!H167,"")</f>
        <v/>
      </c>
      <c r="J167" s="359" t="str">
        <f>IFERROR(SMALL($I$4:$I$325,ROWS($I$4:I167)),"")</f>
        <v/>
      </c>
      <c r="K167" s="333" t="b">
        <f t="shared" si="7"/>
        <v>0</v>
      </c>
      <c r="AH167">
        <v>473</v>
      </c>
      <c r="AI167">
        <v>473</v>
      </c>
      <c r="AJ167" t="s">
        <v>1395</v>
      </c>
      <c r="AK167">
        <v>57</v>
      </c>
      <c r="AL167" t="s">
        <v>1701</v>
      </c>
    </row>
    <row r="168" spans="1:38" ht="25.5" x14ac:dyDescent="0.2">
      <c r="A168" s="357">
        <v>327</v>
      </c>
      <c r="B168" s="357" t="s">
        <v>1206</v>
      </c>
      <c r="C168" s="357" t="s">
        <v>1207</v>
      </c>
      <c r="D168" s="357">
        <v>20835</v>
      </c>
      <c r="E168" s="357" t="s">
        <v>61</v>
      </c>
      <c r="F168" s="357">
        <v>76</v>
      </c>
      <c r="G168" s="357" t="s">
        <v>1740</v>
      </c>
      <c r="H168" s="359">
        <f>ROWS($G$4:G168)</f>
        <v>165</v>
      </c>
      <c r="I168" s="359" t="str">
        <f>IF('School Level Expenditures'!$B$2=A168,'School Tables'!H168,"")</f>
        <v/>
      </c>
      <c r="J168" s="359" t="str">
        <f>IFERROR(SMALL($I$4:$I$325,ROWS($I$4:I168)),"")</f>
        <v/>
      </c>
      <c r="K168" s="333" t="b">
        <f t="shared" si="7"/>
        <v>0</v>
      </c>
      <c r="AH168">
        <v>476</v>
      </c>
      <c r="AI168">
        <v>0</v>
      </c>
      <c r="AJ168" t="s">
        <v>1403</v>
      </c>
      <c r="AK168">
        <v>17</v>
      </c>
      <c r="AL168" t="s">
        <v>1698</v>
      </c>
    </row>
    <row r="169" spans="1:38" ht="25.5" x14ac:dyDescent="0.2">
      <c r="A169" s="357">
        <v>572</v>
      </c>
      <c r="B169" s="357" t="s">
        <v>1472</v>
      </c>
      <c r="C169" s="357" t="s">
        <v>1473</v>
      </c>
      <c r="D169" s="357">
        <v>23035</v>
      </c>
      <c r="E169" s="357" t="s">
        <v>61</v>
      </c>
      <c r="F169" s="357">
        <v>63</v>
      </c>
      <c r="G169" s="357" t="s">
        <v>1707</v>
      </c>
      <c r="H169" s="359">
        <f>ROWS($G$4:G169)</f>
        <v>166</v>
      </c>
      <c r="I169" s="359" t="str">
        <f>IF('School Level Expenditures'!$B$2=A169,'School Tables'!H169,"")</f>
        <v/>
      </c>
      <c r="J169" s="359" t="str">
        <f>IFERROR(SMALL($I$4:$I$325,ROWS($I$4:I169)),"")</f>
        <v/>
      </c>
      <c r="K169" s="333" t="b">
        <f t="shared" si="7"/>
        <v>0</v>
      </c>
      <c r="AH169">
        <v>485</v>
      </c>
      <c r="AI169">
        <v>485</v>
      </c>
      <c r="AJ169" t="s">
        <v>1407</v>
      </c>
      <c r="AK169">
        <v>21</v>
      </c>
      <c r="AL169" t="s">
        <v>1737</v>
      </c>
    </row>
    <row r="170" spans="1:38" ht="38.25" x14ac:dyDescent="0.2">
      <c r="A170" s="357">
        <v>333</v>
      </c>
      <c r="B170" s="357" t="s">
        <v>1208</v>
      </c>
      <c r="C170" s="357" t="s">
        <v>1209</v>
      </c>
      <c r="D170" s="357">
        <v>20360</v>
      </c>
      <c r="E170" s="357" t="s">
        <v>61</v>
      </c>
      <c r="F170" s="357">
        <v>13</v>
      </c>
      <c r="G170" s="357" t="s">
        <v>1709</v>
      </c>
      <c r="H170" s="359">
        <f>ROWS($G$4:G170)</f>
        <v>167</v>
      </c>
      <c r="I170" s="359" t="str">
        <f>IF('School Level Expenditures'!$B$2=A170,'School Tables'!H170,"")</f>
        <v/>
      </c>
      <c r="J170" s="359" t="str">
        <f>IFERROR(SMALL($I$4:$I$325,ROWS($I$4:I170)),"")</f>
        <v/>
      </c>
      <c r="K170" s="333" t="b">
        <f t="shared" si="7"/>
        <v>0</v>
      </c>
      <c r="AH170" s="360">
        <v>705</v>
      </c>
      <c r="AI170" s="360">
        <v>705</v>
      </c>
      <c r="AJ170" s="360" t="s">
        <v>1496</v>
      </c>
      <c r="AK170" s="360">
        <v>403</v>
      </c>
      <c r="AL170" s="360" t="s">
        <v>1496</v>
      </c>
    </row>
    <row r="171" spans="1:38" ht="25.5" x14ac:dyDescent="0.2">
      <c r="A171" s="357">
        <v>371</v>
      </c>
      <c r="B171" s="357" t="s">
        <v>1283</v>
      </c>
      <c r="C171" s="357" t="s">
        <v>1298</v>
      </c>
      <c r="D171" s="357">
        <v>21935</v>
      </c>
      <c r="E171" s="357" t="s">
        <v>61</v>
      </c>
      <c r="F171" s="357">
        <v>42</v>
      </c>
      <c r="G171" s="357" t="s">
        <v>1666</v>
      </c>
      <c r="H171" s="359">
        <f>ROWS($G$4:G171)</f>
        <v>168</v>
      </c>
      <c r="I171" s="359" t="str">
        <f>IF('School Level Expenditures'!$B$2=A171,'School Tables'!H171,"")</f>
        <v/>
      </c>
      <c r="J171" s="359" t="str">
        <f>IFERROR(SMALL($I$4:$I$325,ROWS($I$4:I171)),"")</f>
        <v/>
      </c>
      <c r="K171" s="333" t="b">
        <f t="shared" si="7"/>
        <v>0</v>
      </c>
      <c r="AH171">
        <v>486</v>
      </c>
      <c r="AI171">
        <v>0</v>
      </c>
      <c r="AJ171" t="s">
        <v>1410</v>
      </c>
      <c r="AK171">
        <v>80</v>
      </c>
      <c r="AL171" t="s">
        <v>1677</v>
      </c>
    </row>
    <row r="172" spans="1:38" ht="25.5" x14ac:dyDescent="0.2">
      <c r="A172" s="357">
        <v>173</v>
      </c>
      <c r="B172" s="357" t="s">
        <v>1030</v>
      </c>
      <c r="C172" s="357" t="s">
        <v>1031</v>
      </c>
      <c r="D172" s="357">
        <v>20575</v>
      </c>
      <c r="E172" s="357" t="s">
        <v>61</v>
      </c>
      <c r="F172" s="357">
        <v>16</v>
      </c>
      <c r="G172" s="357" t="s">
        <v>1702</v>
      </c>
      <c r="H172" s="359">
        <f>ROWS($G$4:G172)</f>
        <v>169</v>
      </c>
      <c r="I172" s="359" t="str">
        <f>IF('School Level Expenditures'!$B$2=A172,'School Tables'!H172,"")</f>
        <v/>
      </c>
      <c r="J172" s="359" t="str">
        <f>IFERROR(SMALL($I$4:$I$325,ROWS($I$4:I172)),"")</f>
        <v/>
      </c>
      <c r="K172" s="333" t="b">
        <f t="shared" si="7"/>
        <v>0</v>
      </c>
      <c r="AH172">
        <v>491</v>
      </c>
      <c r="AI172">
        <v>491</v>
      </c>
      <c r="AJ172" t="s">
        <v>1415</v>
      </c>
      <c r="AK172">
        <v>56</v>
      </c>
      <c r="AL172" t="s">
        <v>1729</v>
      </c>
    </row>
    <row r="173" spans="1:38" ht="25.5" x14ac:dyDescent="0.2">
      <c r="A173" s="357">
        <v>101</v>
      </c>
      <c r="B173" s="357" t="s">
        <v>963</v>
      </c>
      <c r="C173" s="357" t="s">
        <v>1795</v>
      </c>
      <c r="D173" s="357">
        <v>20160</v>
      </c>
      <c r="E173" s="357" t="s">
        <v>61</v>
      </c>
      <c r="F173" s="357">
        <v>6</v>
      </c>
      <c r="G173" s="357" t="s">
        <v>1681</v>
      </c>
      <c r="H173" s="359">
        <f>ROWS($G$4:G173)</f>
        <v>170</v>
      </c>
      <c r="I173" s="359" t="str">
        <f>IF('School Level Expenditures'!$B$2=A173,'School Tables'!H173,"")</f>
        <v/>
      </c>
      <c r="J173" s="359" t="str">
        <f>IFERROR(SMALL($I$4:$I$325,ROWS($I$4:I173)),"")</f>
        <v/>
      </c>
      <c r="K173" s="333" t="b">
        <f t="shared" si="7"/>
        <v>0</v>
      </c>
      <c r="AH173">
        <v>493</v>
      </c>
      <c r="AI173">
        <v>0</v>
      </c>
      <c r="AJ173" t="s">
        <v>1420</v>
      </c>
      <c r="AK173">
        <v>39</v>
      </c>
      <c r="AL173" t="s">
        <v>1692</v>
      </c>
    </row>
    <row r="174" spans="1:38" ht="25.5" x14ac:dyDescent="0.2">
      <c r="A174" s="357">
        <v>199</v>
      </c>
      <c r="B174" s="357" t="s">
        <v>1063</v>
      </c>
      <c r="C174" s="357" t="s">
        <v>1796</v>
      </c>
      <c r="D174" s="357">
        <v>20690</v>
      </c>
      <c r="E174" s="357" t="s">
        <v>61</v>
      </c>
      <c r="F174" s="357">
        <v>19</v>
      </c>
      <c r="G174" s="357" t="s">
        <v>1675</v>
      </c>
      <c r="H174" s="359">
        <f>ROWS($G$4:G174)</f>
        <v>171</v>
      </c>
      <c r="I174" s="359" t="str">
        <f>IF('School Level Expenditures'!$B$2=A174,'School Tables'!H174,"")</f>
        <v/>
      </c>
      <c r="J174" s="359" t="str">
        <f>IFERROR(SMALL($I$4:$I$325,ROWS($I$4:I174)),"")</f>
        <v/>
      </c>
      <c r="K174" s="333" t="b">
        <f t="shared" si="7"/>
        <v>0</v>
      </c>
      <c r="AH174">
        <v>495</v>
      </c>
      <c r="AI174">
        <v>495</v>
      </c>
      <c r="AJ174" t="s">
        <v>1422</v>
      </c>
      <c r="AK174">
        <v>21</v>
      </c>
      <c r="AL174" t="s">
        <v>1737</v>
      </c>
    </row>
    <row r="175" spans="1:38" ht="51" x14ac:dyDescent="0.2">
      <c r="A175" s="357">
        <v>263</v>
      </c>
      <c r="B175" s="357" t="s">
        <v>1125</v>
      </c>
      <c r="C175" s="357" t="s">
        <v>1127</v>
      </c>
      <c r="D175" s="357">
        <v>20965</v>
      </c>
      <c r="E175" s="357" t="s">
        <v>61</v>
      </c>
      <c r="F175" s="357">
        <v>66</v>
      </c>
      <c r="G175" s="357" t="s">
        <v>1723</v>
      </c>
      <c r="H175" s="359">
        <f>ROWS($G$4:G175)</f>
        <v>172</v>
      </c>
      <c r="I175" s="359" t="str">
        <f>IF('School Level Expenditures'!$B$2=A175,'School Tables'!H175,"")</f>
        <v/>
      </c>
      <c r="J175" s="359" t="str">
        <f>IFERROR(SMALL($I$4:$I$325,ROWS($I$4:I175)),"")</f>
        <v/>
      </c>
      <c r="K175" s="333" t="b">
        <f t="shared" si="7"/>
        <v>0</v>
      </c>
      <c r="AH175" s="360">
        <v>714</v>
      </c>
      <c r="AI175" s="360">
        <v>714</v>
      </c>
      <c r="AJ175" s="360" t="s">
        <v>1610</v>
      </c>
      <c r="AK175" s="360">
        <v>437</v>
      </c>
      <c r="AL175" s="360" t="s">
        <v>1610</v>
      </c>
    </row>
    <row r="176" spans="1:38" ht="25.5" x14ac:dyDescent="0.2">
      <c r="A176" s="357">
        <v>461</v>
      </c>
      <c r="B176" s="357" t="s">
        <v>1376</v>
      </c>
      <c r="C176" s="357" t="s">
        <v>1387</v>
      </c>
      <c r="D176" s="357">
        <v>29080</v>
      </c>
      <c r="E176" s="357" t="s">
        <v>61</v>
      </c>
      <c r="F176" s="357">
        <v>54</v>
      </c>
      <c r="G176" s="357" t="s">
        <v>1689</v>
      </c>
      <c r="H176" s="359">
        <f>ROWS($G$4:G176)</f>
        <v>173</v>
      </c>
      <c r="I176" s="359" t="str">
        <f>IF('School Level Expenditures'!$B$2=A176,'School Tables'!H176,"")</f>
        <v/>
      </c>
      <c r="J176" s="359" t="str">
        <f>IFERROR(SMALL($I$4:$I$325,ROWS($I$4:I176)),"")</f>
        <v/>
      </c>
      <c r="K176" s="333" t="b">
        <f t="shared" si="7"/>
        <v>0</v>
      </c>
      <c r="AH176">
        <v>499</v>
      </c>
      <c r="AI176">
        <v>499</v>
      </c>
      <c r="AJ176" t="s">
        <v>1424</v>
      </c>
      <c r="AK176">
        <v>58</v>
      </c>
      <c r="AL176" t="s">
        <v>1720</v>
      </c>
    </row>
    <row r="177" spans="1:38" ht="25.5" x14ac:dyDescent="0.2">
      <c r="A177" s="357">
        <v>491</v>
      </c>
      <c r="B177" s="357" t="s">
        <v>1415</v>
      </c>
      <c r="C177" s="357" t="s">
        <v>1419</v>
      </c>
      <c r="D177" s="357">
        <v>29203</v>
      </c>
      <c r="E177" s="357" t="s">
        <v>61</v>
      </c>
      <c r="F177" s="357">
        <v>56</v>
      </c>
      <c r="G177" s="357" t="s">
        <v>1729</v>
      </c>
      <c r="H177" s="359">
        <f>ROWS($G$4:G177)</f>
        <v>174</v>
      </c>
      <c r="I177" s="359" t="str">
        <f>IF('School Level Expenditures'!$B$2=A177,'School Tables'!H177,"")</f>
        <v/>
      </c>
      <c r="J177" s="359" t="str">
        <f>IFERROR(SMALL($I$4:$I$325,ROWS($I$4:I177)),"")</f>
        <v/>
      </c>
      <c r="K177" s="333" t="b">
        <f t="shared" si="7"/>
        <v>0</v>
      </c>
      <c r="AH177">
        <v>501</v>
      </c>
      <c r="AI177">
        <v>501</v>
      </c>
      <c r="AJ177" t="s">
        <v>1426</v>
      </c>
      <c r="AK177">
        <v>7</v>
      </c>
      <c r="AL177" t="s">
        <v>1693</v>
      </c>
    </row>
    <row r="178" spans="1:38" ht="25.5" x14ac:dyDescent="0.2">
      <c r="A178" s="357">
        <v>339</v>
      </c>
      <c r="B178" s="357" t="s">
        <v>1228</v>
      </c>
      <c r="C178" s="357" t="s">
        <v>1229</v>
      </c>
      <c r="D178" s="357">
        <v>21210</v>
      </c>
      <c r="E178" s="357" t="s">
        <v>61</v>
      </c>
      <c r="F178" s="357">
        <v>29</v>
      </c>
      <c r="G178" s="357" t="s">
        <v>1691</v>
      </c>
      <c r="H178" s="359">
        <f>ROWS($G$4:G178)</f>
        <v>175</v>
      </c>
      <c r="I178" s="359" t="str">
        <f>IF('School Level Expenditures'!$B$2=A178,'School Tables'!H178,"")</f>
        <v/>
      </c>
      <c r="J178" s="359" t="str">
        <f>IFERROR(SMALL($I$4:$I$325,ROWS($I$4:I178)),"")</f>
        <v/>
      </c>
      <c r="K178" s="333" t="b">
        <f t="shared" si="7"/>
        <v>0</v>
      </c>
      <c r="AH178">
        <v>503</v>
      </c>
      <c r="AI178">
        <v>503</v>
      </c>
      <c r="AJ178" t="s">
        <v>1428</v>
      </c>
      <c r="AK178">
        <v>24</v>
      </c>
      <c r="AL178" t="s">
        <v>1688</v>
      </c>
    </row>
    <row r="179" spans="1:38" ht="25.5" x14ac:dyDescent="0.2">
      <c r="A179" s="357">
        <v>473</v>
      </c>
      <c r="B179" s="357" t="s">
        <v>1395</v>
      </c>
      <c r="C179" s="357" t="s">
        <v>1399</v>
      </c>
      <c r="D179" s="357">
        <v>22875</v>
      </c>
      <c r="E179" s="357" t="s">
        <v>61</v>
      </c>
      <c r="F179" s="357">
        <v>57</v>
      </c>
      <c r="G179" s="357" t="s">
        <v>1701</v>
      </c>
      <c r="H179" s="359">
        <f>ROWS($G$4:G179)</f>
        <v>176</v>
      </c>
      <c r="I179" s="359" t="str">
        <f>IF('School Level Expenditures'!$B$2=A179,'School Tables'!H179,"")</f>
        <v/>
      </c>
      <c r="J179" s="359" t="str">
        <f>IFERROR(SMALL($I$4:$I$325,ROWS($I$4:I179)),"")</f>
        <v/>
      </c>
      <c r="K179" s="333" t="b">
        <f t="shared" si="7"/>
        <v>0</v>
      </c>
      <c r="AH179">
        <v>507</v>
      </c>
      <c r="AI179">
        <v>507</v>
      </c>
      <c r="AJ179" t="s">
        <v>1430</v>
      </c>
      <c r="AK179">
        <v>105</v>
      </c>
      <c r="AL179" t="s">
        <v>1761</v>
      </c>
    </row>
    <row r="180" spans="1:38" ht="25.5" x14ac:dyDescent="0.2">
      <c r="A180" s="357">
        <v>449</v>
      </c>
      <c r="B180" s="357" t="s">
        <v>1363</v>
      </c>
      <c r="C180" s="357" t="s">
        <v>1367</v>
      </c>
      <c r="D180" s="357">
        <v>22545</v>
      </c>
      <c r="E180" s="357" t="s">
        <v>61</v>
      </c>
      <c r="F180" s="357">
        <v>52</v>
      </c>
      <c r="G180" s="357" t="s">
        <v>1739</v>
      </c>
      <c r="H180" s="359">
        <f>ROWS($G$4:G180)</f>
        <v>177</v>
      </c>
      <c r="I180" s="359" t="str">
        <f>IF('School Level Expenditures'!$B$2=A180,'School Tables'!H180,"")</f>
        <v/>
      </c>
      <c r="J180" s="359" t="str">
        <f>IFERROR(SMALL($I$4:$I$325,ROWS($I$4:I180)),"")</f>
        <v/>
      </c>
      <c r="K180" s="333" t="b">
        <f t="shared" si="7"/>
        <v>0</v>
      </c>
      <c r="AH180">
        <v>509</v>
      </c>
      <c r="AI180">
        <v>509</v>
      </c>
      <c r="AJ180" t="s">
        <v>1432</v>
      </c>
      <c r="AK180">
        <v>58</v>
      </c>
      <c r="AL180" t="s">
        <v>1720</v>
      </c>
    </row>
    <row r="181" spans="1:38" ht="25.5" x14ac:dyDescent="0.2">
      <c r="A181" s="357">
        <v>345</v>
      </c>
      <c r="B181" s="357" t="s">
        <v>1241</v>
      </c>
      <c r="C181" s="357" t="s">
        <v>1242</v>
      </c>
      <c r="D181" s="357">
        <v>23040</v>
      </c>
      <c r="E181" s="357" t="s">
        <v>61</v>
      </c>
      <c r="F181" s="357">
        <v>89</v>
      </c>
      <c r="G181" s="357" t="s">
        <v>1741</v>
      </c>
      <c r="H181" s="359">
        <f>ROWS($G$4:G181)</f>
        <v>178</v>
      </c>
      <c r="I181" s="359" t="str">
        <f>IF('School Level Expenditures'!$B$2=A181,'School Tables'!H181,"")</f>
        <v/>
      </c>
      <c r="J181" s="359" t="str">
        <f>IFERROR(SMALL($I$4:$I$325,ROWS($I$4:I181)),"")</f>
        <v/>
      </c>
      <c r="K181" s="333" t="b">
        <f t="shared" si="7"/>
        <v>0</v>
      </c>
      <c r="AH181" s="361">
        <v>511</v>
      </c>
      <c r="AI181" s="361">
        <v>511</v>
      </c>
      <c r="AJ181" s="361" t="s">
        <v>1434</v>
      </c>
      <c r="AK181" s="361">
        <v>16</v>
      </c>
      <c r="AL181" s="361" t="s">
        <v>1702</v>
      </c>
    </row>
    <row r="182" spans="1:38" ht="51" x14ac:dyDescent="0.2">
      <c r="A182" s="357">
        <v>423</v>
      </c>
      <c r="B182" s="357" t="s">
        <v>1335</v>
      </c>
      <c r="C182" s="357" t="s">
        <v>1339</v>
      </c>
      <c r="D182" s="357">
        <v>22805</v>
      </c>
      <c r="E182" s="357" t="s">
        <v>61</v>
      </c>
      <c r="F182" s="357">
        <v>5</v>
      </c>
      <c r="G182" s="357" t="s">
        <v>1742</v>
      </c>
      <c r="H182" s="359">
        <f>ROWS($G$4:G182)</f>
        <v>179</v>
      </c>
      <c r="I182" s="359" t="str">
        <f>IF('School Level Expenditures'!$B$2=A182,'School Tables'!H182,"")</f>
        <v/>
      </c>
      <c r="J182" s="359" t="str">
        <f>IFERROR(SMALL($I$4:$I$325,ROWS($I$4:I182)),"")</f>
        <v/>
      </c>
      <c r="K182" s="333" t="b">
        <f t="shared" si="7"/>
        <v>0</v>
      </c>
      <c r="AH182" s="354">
        <v>721</v>
      </c>
      <c r="AI182" s="354">
        <v>721</v>
      </c>
      <c r="AJ182" s="354" t="s">
        <v>1508</v>
      </c>
      <c r="AK182" s="354">
        <v>409</v>
      </c>
      <c r="AL182" s="354" t="s">
        <v>1508</v>
      </c>
    </row>
    <row r="183" spans="1:38" ht="25.5" x14ac:dyDescent="0.2">
      <c r="A183" s="357">
        <v>319</v>
      </c>
      <c r="B183" s="357" t="s">
        <v>1199</v>
      </c>
      <c r="C183" s="357" t="s">
        <v>1204</v>
      </c>
      <c r="D183" s="357">
        <v>20485</v>
      </c>
      <c r="E183" s="357" t="s">
        <v>61</v>
      </c>
      <c r="F183" s="357">
        <v>12</v>
      </c>
      <c r="G183" s="357" t="s">
        <v>1743</v>
      </c>
      <c r="H183" s="359">
        <f>ROWS($G$4:G183)</f>
        <v>180</v>
      </c>
      <c r="I183" s="359" t="str">
        <f>IF('School Level Expenditures'!$B$2=A183,'School Tables'!H183,"")</f>
        <v/>
      </c>
      <c r="J183" s="359" t="str">
        <f>IFERROR(SMALL($I$4:$I$325,ROWS($I$4:I183)),"")</f>
        <v/>
      </c>
      <c r="K183" s="333" t="b">
        <f t="shared" si="7"/>
        <v>0</v>
      </c>
      <c r="AH183" s="361">
        <v>513</v>
      </c>
      <c r="AI183" s="361">
        <v>513</v>
      </c>
      <c r="AJ183" s="361" t="s">
        <v>1788</v>
      </c>
      <c r="AK183" s="361">
        <v>96</v>
      </c>
      <c r="AL183" s="361" t="s">
        <v>1789</v>
      </c>
    </row>
    <row r="184" spans="1:38" ht="25.5" x14ac:dyDescent="0.2">
      <c r="A184" s="357">
        <v>381</v>
      </c>
      <c r="B184" s="357" t="s">
        <v>1305</v>
      </c>
      <c r="C184" s="357" t="s">
        <v>1306</v>
      </c>
      <c r="D184" s="357">
        <v>22455</v>
      </c>
      <c r="E184" s="357" t="s">
        <v>61</v>
      </c>
      <c r="F184" s="357">
        <v>50</v>
      </c>
      <c r="G184" s="357" t="s">
        <v>1718</v>
      </c>
      <c r="H184" s="359">
        <f>ROWS($G$4:G184)</f>
        <v>181</v>
      </c>
      <c r="I184" s="359" t="str">
        <f>IF('School Level Expenditures'!$B$2=A184,'School Tables'!H184,"")</f>
        <v/>
      </c>
      <c r="J184" s="359" t="str">
        <f>IFERROR(SMALL($I$4:$I$325,ROWS($I$4:I184)),"")</f>
        <v/>
      </c>
      <c r="K184" s="333" t="b">
        <f t="shared" si="7"/>
        <v>0</v>
      </c>
      <c r="AH184" s="361">
        <v>515</v>
      </c>
      <c r="AI184" s="361">
        <v>515</v>
      </c>
      <c r="AJ184" s="361" t="s">
        <v>1436</v>
      </c>
      <c r="AK184" s="361">
        <v>85</v>
      </c>
      <c r="AL184" s="361" t="s">
        <v>1762</v>
      </c>
    </row>
    <row r="185" spans="1:38" ht="25.5" x14ac:dyDescent="0.2">
      <c r="A185" s="357">
        <v>461</v>
      </c>
      <c r="B185" s="357" t="s">
        <v>1376</v>
      </c>
      <c r="C185" s="357" t="s">
        <v>1379</v>
      </c>
      <c r="D185" s="357">
        <v>22665</v>
      </c>
      <c r="E185" s="357" t="s">
        <v>61</v>
      </c>
      <c r="F185" s="357">
        <v>54</v>
      </c>
      <c r="G185" s="357" t="s">
        <v>1689</v>
      </c>
      <c r="H185" s="359">
        <f>ROWS($G$4:G185)</f>
        <v>182</v>
      </c>
      <c r="I185" s="359" t="str">
        <f>IF('School Level Expenditures'!$B$2=A185,'School Tables'!H185,"")</f>
        <v/>
      </c>
      <c r="J185" s="359" t="str">
        <f>IFERROR(SMALL($I$4:$I$325,ROWS($I$4:I185)),"")</f>
        <v/>
      </c>
      <c r="K185" s="333" t="b">
        <f t="shared" si="7"/>
        <v>0</v>
      </c>
      <c r="AH185" s="361">
        <v>519</v>
      </c>
      <c r="AI185" s="361">
        <v>519</v>
      </c>
      <c r="AJ185" s="361" t="s">
        <v>1790</v>
      </c>
      <c r="AK185" s="361">
        <v>91</v>
      </c>
      <c r="AL185" s="361" t="s">
        <v>1791</v>
      </c>
    </row>
    <row r="186" spans="1:38" ht="38.25" x14ac:dyDescent="0.2">
      <c r="A186" s="357">
        <v>335</v>
      </c>
      <c r="B186" s="357" t="s">
        <v>906</v>
      </c>
      <c r="C186" s="357" t="s">
        <v>1219</v>
      </c>
      <c r="D186" s="357">
        <v>21565</v>
      </c>
      <c r="E186" s="357" t="s">
        <v>61</v>
      </c>
      <c r="F186" s="357">
        <v>37</v>
      </c>
      <c r="G186" s="357" t="s">
        <v>1672</v>
      </c>
      <c r="H186" s="359">
        <f>ROWS($G$4:G186)</f>
        <v>183</v>
      </c>
      <c r="I186" s="359" t="str">
        <f>IF('School Level Expenditures'!$B$2=A186,'School Tables'!H186,"")</f>
        <v/>
      </c>
      <c r="J186" s="359" t="str">
        <f>IFERROR(SMALL($I$4:$I$325,ROWS($I$4:I186)),"")</f>
        <v/>
      </c>
      <c r="K186" s="333" t="b">
        <f t="shared" si="7"/>
        <v>0</v>
      </c>
      <c r="AH186" s="354">
        <v>717</v>
      </c>
      <c r="AI186" s="354">
        <v>717</v>
      </c>
      <c r="AJ186" s="354" t="s">
        <v>1506</v>
      </c>
      <c r="AK186" s="354">
        <v>407</v>
      </c>
      <c r="AL186" s="354" t="s">
        <v>1506</v>
      </c>
    </row>
    <row r="187" spans="1:38" ht="25.5" x14ac:dyDescent="0.2">
      <c r="A187" s="357">
        <v>41</v>
      </c>
      <c r="B187" s="357" t="s">
        <v>934</v>
      </c>
      <c r="C187" s="357" t="s">
        <v>936</v>
      </c>
      <c r="D187" s="357">
        <v>21005</v>
      </c>
      <c r="E187" s="357" t="s">
        <v>61</v>
      </c>
      <c r="F187" s="357">
        <v>25</v>
      </c>
      <c r="G187" s="357" t="s">
        <v>1744</v>
      </c>
      <c r="H187" s="359">
        <f>ROWS($G$4:G187)</f>
        <v>184</v>
      </c>
      <c r="I187" s="359" t="str">
        <f>IF('School Level Expenditures'!$B$2=A187,'School Tables'!H187,"")</f>
        <v/>
      </c>
      <c r="J187" s="359" t="str">
        <f>IFERROR(SMALL($I$4:$I$325,ROWS($I$4:I187)),"")</f>
        <v/>
      </c>
      <c r="K187" s="333" t="b">
        <f t="shared" si="7"/>
        <v>0</v>
      </c>
      <c r="AH187" s="361">
        <v>525</v>
      </c>
      <c r="AI187" s="361">
        <v>525</v>
      </c>
      <c r="AJ187" s="361" t="s">
        <v>1439</v>
      </c>
      <c r="AK187" s="361">
        <v>13</v>
      </c>
      <c r="AL187" s="361" t="s">
        <v>1709</v>
      </c>
    </row>
    <row r="188" spans="1:38" ht="63.75" x14ac:dyDescent="0.2">
      <c r="A188" s="357">
        <v>476</v>
      </c>
      <c r="B188" s="357" t="s">
        <v>1403</v>
      </c>
      <c r="C188" s="357" t="s">
        <v>1793</v>
      </c>
      <c r="D188" s="357">
        <v>20635</v>
      </c>
      <c r="E188" s="357" t="s">
        <v>61</v>
      </c>
      <c r="F188" s="357">
        <v>17</v>
      </c>
      <c r="G188" s="357" t="s">
        <v>1698</v>
      </c>
      <c r="H188" s="359">
        <f>ROWS($G$4:G188)</f>
        <v>185</v>
      </c>
      <c r="I188" s="359" t="str">
        <f>IF('School Level Expenditures'!$B$2=A188,'School Tables'!H188,"")</f>
        <v/>
      </c>
      <c r="J188" s="359" t="str">
        <f>IFERROR(SMALL($I$4:$I$325,ROWS($I$4:I188)),"")</f>
        <v/>
      </c>
      <c r="K188" s="333" t="b">
        <f t="shared" si="7"/>
        <v>0</v>
      </c>
      <c r="AH188" s="354">
        <v>731</v>
      </c>
      <c r="AI188" s="354">
        <v>731</v>
      </c>
      <c r="AJ188" s="354" t="s">
        <v>1517</v>
      </c>
      <c r="AK188" s="354">
        <v>417</v>
      </c>
      <c r="AL188" s="354" t="s">
        <v>1517</v>
      </c>
    </row>
    <row r="189" spans="1:38" ht="63.75" x14ac:dyDescent="0.2">
      <c r="A189" s="357">
        <v>41</v>
      </c>
      <c r="B189" s="357" t="s">
        <v>934</v>
      </c>
      <c r="C189" s="357" t="s">
        <v>1794</v>
      </c>
      <c r="D189" s="357">
        <v>20990</v>
      </c>
      <c r="E189" s="357" t="s">
        <v>61</v>
      </c>
      <c r="F189" s="357">
        <v>25</v>
      </c>
      <c r="G189" s="357" t="s">
        <v>1744</v>
      </c>
      <c r="H189" s="359">
        <f>ROWS($G$4:G189)</f>
        <v>186</v>
      </c>
      <c r="I189" s="359" t="str">
        <f>IF('School Level Expenditures'!$B$2=A189,'School Tables'!H189,"")</f>
        <v/>
      </c>
      <c r="J189" s="359" t="str">
        <f>IFERROR(SMALL($I$4:$I$325,ROWS($I$4:I189)),"")</f>
        <v/>
      </c>
      <c r="K189" s="333" t="b">
        <f t="shared" si="7"/>
        <v>0</v>
      </c>
      <c r="AH189" s="354">
        <v>741</v>
      </c>
      <c r="AI189" s="354">
        <v>741</v>
      </c>
      <c r="AJ189" s="354" t="s">
        <v>1524</v>
      </c>
      <c r="AK189" s="354">
        <v>423</v>
      </c>
      <c r="AL189" s="354" t="s">
        <v>1524</v>
      </c>
    </row>
    <row r="190" spans="1:38" ht="63.75" x14ac:dyDescent="0.2">
      <c r="A190" s="357">
        <v>744</v>
      </c>
      <c r="B190" s="357" t="s">
        <v>1603</v>
      </c>
      <c r="C190" s="357" t="s">
        <v>1603</v>
      </c>
      <c r="D190" s="357">
        <v>29167</v>
      </c>
      <c r="E190" s="357" t="s">
        <v>61</v>
      </c>
      <c r="F190" s="357">
        <v>430</v>
      </c>
      <c r="G190" s="357" t="s">
        <v>1603</v>
      </c>
      <c r="H190" s="359">
        <f>ROWS($G$4:G190)</f>
        <v>187</v>
      </c>
      <c r="I190" s="359" t="str">
        <f>IF('School Level Expenditures'!$B$2=A190,'School Tables'!H190,"")</f>
        <v/>
      </c>
      <c r="J190" s="359" t="str">
        <f>IFERROR(SMALL($I$4:$I$325,ROWS($I$4:I190)),"")</f>
        <v/>
      </c>
      <c r="K190" s="333" t="b">
        <f t="shared" si="7"/>
        <v>0</v>
      </c>
      <c r="AH190" s="361">
        <v>531</v>
      </c>
      <c r="AI190" s="361">
        <v>531</v>
      </c>
      <c r="AJ190" s="361" t="s">
        <v>1441</v>
      </c>
      <c r="AK190" s="361">
        <v>48</v>
      </c>
      <c r="AL190" s="361" t="s">
        <v>1684</v>
      </c>
    </row>
    <row r="191" spans="1:38" ht="12.75" x14ac:dyDescent="0.2">
      <c r="A191" s="357">
        <v>353</v>
      </c>
      <c r="B191" s="357" t="s">
        <v>1258</v>
      </c>
      <c r="C191" s="357" t="s">
        <v>1259</v>
      </c>
      <c r="D191" s="357">
        <v>29178</v>
      </c>
      <c r="E191" s="357" t="s">
        <v>61</v>
      </c>
      <c r="F191" s="357">
        <v>69</v>
      </c>
      <c r="G191" s="357" t="s">
        <v>1745</v>
      </c>
      <c r="H191" s="359">
        <f>ROWS($G$4:G191)</f>
        <v>188</v>
      </c>
      <c r="I191" s="359" t="str">
        <f>IF('School Level Expenditures'!$B$2=A191,'School Tables'!H191,"")</f>
        <v/>
      </c>
      <c r="J191" s="359" t="str">
        <f>IFERROR(SMALL($I$4:$I$325,ROWS($I$4:I191)),"")</f>
        <v/>
      </c>
      <c r="K191" s="333" t="b">
        <f t="shared" si="7"/>
        <v>0</v>
      </c>
      <c r="AH191" s="361">
        <v>534</v>
      </c>
      <c r="AI191" s="361">
        <v>0</v>
      </c>
      <c r="AJ191" s="361" t="s">
        <v>1443</v>
      </c>
      <c r="AK191" s="361">
        <v>106</v>
      </c>
      <c r="AL191" s="361" t="s">
        <v>1670</v>
      </c>
    </row>
    <row r="192" spans="1:38" ht="25.5" x14ac:dyDescent="0.2">
      <c r="A192" s="357">
        <v>355</v>
      </c>
      <c r="B192" s="357" t="s">
        <v>1260</v>
      </c>
      <c r="C192" s="357" t="s">
        <v>1261</v>
      </c>
      <c r="D192" s="357">
        <v>20760</v>
      </c>
      <c r="E192" s="357" t="s">
        <v>61</v>
      </c>
      <c r="F192" s="357">
        <v>20</v>
      </c>
      <c r="G192" s="357" t="s">
        <v>1703</v>
      </c>
      <c r="H192" s="359">
        <f>ROWS($G$4:G192)</f>
        <v>189</v>
      </c>
      <c r="I192" s="359" t="str">
        <f>IF('School Level Expenditures'!$B$2=A192,'School Tables'!H192,"")</f>
        <v/>
      </c>
      <c r="J192" s="359" t="str">
        <f>IFERROR(SMALL($I$4:$I$325,ROWS($I$4:I192)),"")</f>
        <v/>
      </c>
      <c r="K192" s="333" t="b">
        <f t="shared" si="7"/>
        <v>0</v>
      </c>
      <c r="AH192" s="361">
        <v>539</v>
      </c>
      <c r="AI192" s="361">
        <v>539</v>
      </c>
      <c r="AJ192" s="361" t="s">
        <v>1451</v>
      </c>
      <c r="AK192" s="361">
        <v>6</v>
      </c>
      <c r="AL192" s="361" t="s">
        <v>1681</v>
      </c>
    </row>
    <row r="193" spans="1:38" ht="63.75" x14ac:dyDescent="0.2">
      <c r="A193" s="357">
        <v>317</v>
      </c>
      <c r="B193" s="357" t="s">
        <v>1195</v>
      </c>
      <c r="C193" s="357" t="s">
        <v>1198</v>
      </c>
      <c r="D193" s="357">
        <v>21450</v>
      </c>
      <c r="E193" s="357" t="s">
        <v>61</v>
      </c>
      <c r="F193" s="357">
        <v>84</v>
      </c>
      <c r="G193" s="357" t="s">
        <v>1746</v>
      </c>
      <c r="H193" s="359">
        <f>ROWS($G$4:G193)</f>
        <v>190</v>
      </c>
      <c r="I193" s="359" t="str">
        <f>IF('School Level Expenditures'!$B$2=A193,'School Tables'!H193,"")</f>
        <v/>
      </c>
      <c r="J193" s="359" t="str">
        <f>IFERROR(SMALL($I$4:$I$325,ROWS($I$4:I193)),"")</f>
        <v/>
      </c>
      <c r="K193" s="333" t="b">
        <f t="shared" si="7"/>
        <v>0</v>
      </c>
      <c r="AH193" s="354">
        <v>727</v>
      </c>
      <c r="AI193" s="354">
        <v>727</v>
      </c>
      <c r="AJ193" s="354" t="s">
        <v>1513</v>
      </c>
      <c r="AK193" s="354">
        <v>412</v>
      </c>
      <c r="AL193" s="354" t="s">
        <v>1513</v>
      </c>
    </row>
    <row r="194" spans="1:38" ht="25.5" x14ac:dyDescent="0.2">
      <c r="A194" s="357">
        <v>111</v>
      </c>
      <c r="B194" s="357" t="s">
        <v>969</v>
      </c>
      <c r="C194" s="357" t="s">
        <v>972</v>
      </c>
      <c r="D194" s="357">
        <v>20250</v>
      </c>
      <c r="E194" s="357" t="s">
        <v>61</v>
      </c>
      <c r="F194" s="357">
        <v>8</v>
      </c>
      <c r="G194" s="357" t="s">
        <v>1661</v>
      </c>
      <c r="H194" s="359">
        <f>ROWS($G$4:G194)</f>
        <v>191</v>
      </c>
      <c r="I194" s="359" t="str">
        <f>IF('School Level Expenditures'!$B$2=A194,'School Tables'!H194,"")</f>
        <v/>
      </c>
      <c r="J194" s="359" t="str">
        <f>IFERROR(SMALL($I$4:$I$325,ROWS($I$4:I194)),"")</f>
        <v/>
      </c>
      <c r="K194" s="333" t="b">
        <f t="shared" si="7"/>
        <v>0</v>
      </c>
      <c r="AH194" s="361">
        <v>543</v>
      </c>
      <c r="AI194" s="361">
        <v>543</v>
      </c>
      <c r="AJ194" s="361" t="s">
        <v>1453</v>
      </c>
      <c r="AK194" s="361">
        <v>101</v>
      </c>
      <c r="AL194" s="361" t="s">
        <v>1753</v>
      </c>
    </row>
    <row r="195" spans="1:38" ht="38.25" x14ac:dyDescent="0.2">
      <c r="A195" s="357">
        <v>729</v>
      </c>
      <c r="B195" s="357" t="s">
        <v>1516</v>
      </c>
      <c r="C195" s="357" t="s">
        <v>1516</v>
      </c>
      <c r="D195" s="357">
        <v>29040</v>
      </c>
      <c r="E195" s="357" t="s">
        <v>61</v>
      </c>
      <c r="F195" s="357">
        <v>416</v>
      </c>
      <c r="G195" s="357" t="s">
        <v>1516</v>
      </c>
      <c r="H195" s="359">
        <f>ROWS($G$4:G195)</f>
        <v>192</v>
      </c>
      <c r="I195" s="359" t="str">
        <f>IF('School Level Expenditures'!$B$2=A195,'School Tables'!H195,"")</f>
        <v/>
      </c>
      <c r="J195" s="359" t="str">
        <f>IFERROR(SMALL($I$4:$I$325,ROWS($I$4:I195)),"")</f>
        <v/>
      </c>
      <c r="K195" s="333" t="b">
        <f t="shared" si="7"/>
        <v>0</v>
      </c>
      <c r="AH195" s="361">
        <v>549</v>
      </c>
      <c r="AI195" s="361">
        <v>549</v>
      </c>
      <c r="AJ195" s="361" t="s">
        <v>1455</v>
      </c>
      <c r="AK195" s="361">
        <v>23</v>
      </c>
      <c r="AL195" s="361" t="s">
        <v>1676</v>
      </c>
    </row>
    <row r="196" spans="1:38" ht="25.5" x14ac:dyDescent="0.2">
      <c r="A196" s="357">
        <v>359</v>
      </c>
      <c r="B196" s="357" t="s">
        <v>1267</v>
      </c>
      <c r="C196" s="357" t="s">
        <v>1270</v>
      </c>
      <c r="D196" s="357">
        <v>22075</v>
      </c>
      <c r="E196" s="357" t="s">
        <v>61</v>
      </c>
      <c r="F196" s="357">
        <v>64</v>
      </c>
      <c r="G196" s="357" t="s">
        <v>1747</v>
      </c>
      <c r="H196" s="359">
        <f>ROWS($G$4:G196)</f>
        <v>193</v>
      </c>
      <c r="I196" s="359" t="str">
        <f>IF('School Level Expenditures'!$B$2=A196,'School Tables'!H196,"")</f>
        <v/>
      </c>
      <c r="J196" s="359" t="str">
        <f>IFERROR(SMALL($I$4:$I$325,ROWS($I$4:I196)),"")</f>
        <v/>
      </c>
      <c r="K196" s="333" t="b">
        <f t="shared" si="7"/>
        <v>0</v>
      </c>
      <c r="AH196" s="361">
        <v>551</v>
      </c>
      <c r="AI196" s="361">
        <v>551</v>
      </c>
      <c r="AJ196" s="361" t="s">
        <v>1457</v>
      </c>
      <c r="AK196" s="361">
        <v>34</v>
      </c>
      <c r="AL196" s="361" t="s">
        <v>1727</v>
      </c>
    </row>
    <row r="197" spans="1:38" ht="25.5" x14ac:dyDescent="0.2">
      <c r="A197" s="357">
        <v>423</v>
      </c>
      <c r="B197" s="357" t="s">
        <v>1335</v>
      </c>
      <c r="C197" s="357" t="s">
        <v>1336</v>
      </c>
      <c r="D197" s="357">
        <v>26660</v>
      </c>
      <c r="E197" s="357" t="s">
        <v>61</v>
      </c>
      <c r="F197" s="357">
        <v>5</v>
      </c>
      <c r="G197" s="357" t="s">
        <v>1742</v>
      </c>
      <c r="H197" s="359">
        <f>ROWS($G$4:G197)</f>
        <v>194</v>
      </c>
      <c r="I197" s="359" t="str">
        <f>IF('School Level Expenditures'!$B$2=A197,'School Tables'!H197,"")</f>
        <v/>
      </c>
      <c r="J197" s="359" t="str">
        <f>IFERROR(SMALL($I$4:$I$325,ROWS($I$4:I197)),"")</f>
        <v/>
      </c>
      <c r="K197" s="333" t="b">
        <f t="shared" ref="K197:K260" si="8">C197=C198</f>
        <v>0</v>
      </c>
      <c r="AH197" s="361">
        <v>553</v>
      </c>
      <c r="AI197" s="361">
        <v>553</v>
      </c>
      <c r="AJ197" s="361" t="s">
        <v>1459</v>
      </c>
      <c r="AK197" s="361">
        <v>48</v>
      </c>
      <c r="AL197" s="361" t="s">
        <v>1684</v>
      </c>
    </row>
    <row r="198" spans="1:38" ht="25.5" x14ac:dyDescent="0.2">
      <c r="A198" s="357">
        <v>365</v>
      </c>
      <c r="B198" s="357" t="s">
        <v>1276</v>
      </c>
      <c r="C198" s="357" t="s">
        <v>1277</v>
      </c>
      <c r="D198" s="357">
        <v>20885</v>
      </c>
      <c r="E198" s="357" t="s">
        <v>61</v>
      </c>
      <c r="F198" s="357">
        <v>77</v>
      </c>
      <c r="G198" s="357" t="s">
        <v>1748</v>
      </c>
      <c r="H198" s="359">
        <f>ROWS($G$4:G198)</f>
        <v>195</v>
      </c>
      <c r="I198" s="359" t="str">
        <f>IF('School Level Expenditures'!$B$2=A198,'School Tables'!H198,"")</f>
        <v/>
      </c>
      <c r="J198" s="359" t="str">
        <f>IFERROR(SMALL($I$4:$I$325,ROWS($I$4:I198)),"")</f>
        <v/>
      </c>
      <c r="K198" s="333" t="b">
        <f t="shared" si="8"/>
        <v>0</v>
      </c>
      <c r="AH198" s="361">
        <v>555</v>
      </c>
      <c r="AI198" s="361">
        <v>555</v>
      </c>
      <c r="AJ198" s="361" t="s">
        <v>1461</v>
      </c>
      <c r="AK198" s="361">
        <v>24</v>
      </c>
      <c r="AL198" s="361" t="s">
        <v>1688</v>
      </c>
    </row>
    <row r="199" spans="1:38" ht="25.5" x14ac:dyDescent="0.2">
      <c r="A199" s="357">
        <v>367</v>
      </c>
      <c r="B199" s="357" t="s">
        <v>1278</v>
      </c>
      <c r="C199" s="357" t="s">
        <v>1279</v>
      </c>
      <c r="D199" s="357">
        <v>21790</v>
      </c>
      <c r="E199" s="357" t="s">
        <v>61</v>
      </c>
      <c r="F199" s="357">
        <v>39</v>
      </c>
      <c r="G199" s="357" t="s">
        <v>1692</v>
      </c>
      <c r="H199" s="359">
        <f>ROWS($G$4:G199)</f>
        <v>196</v>
      </c>
      <c r="I199" s="359" t="str">
        <f>IF('School Level Expenditures'!$B$2=A199,'School Tables'!H199,"")</f>
        <v/>
      </c>
      <c r="J199" s="359" t="str">
        <f>IFERROR(SMALL($I$4:$I$325,ROWS($I$4:I199)),"")</f>
        <v/>
      </c>
      <c r="K199" s="333" t="b">
        <f t="shared" si="8"/>
        <v>0</v>
      </c>
      <c r="AH199" s="361">
        <v>559</v>
      </c>
      <c r="AI199" s="361">
        <v>559</v>
      </c>
      <c r="AJ199" s="361" t="s">
        <v>1464</v>
      </c>
      <c r="AK199" s="361">
        <v>48</v>
      </c>
      <c r="AL199" s="361" t="s">
        <v>1684</v>
      </c>
    </row>
    <row r="200" spans="1:38" ht="25.5" x14ac:dyDescent="0.2">
      <c r="A200" s="357">
        <v>319</v>
      </c>
      <c r="B200" s="357" t="s">
        <v>1199</v>
      </c>
      <c r="C200" s="357" t="s">
        <v>1200</v>
      </c>
      <c r="D200" s="357">
        <v>27905</v>
      </c>
      <c r="E200" s="357" t="s">
        <v>61</v>
      </c>
      <c r="F200" s="357">
        <v>12</v>
      </c>
      <c r="G200" s="357" t="s">
        <v>1743</v>
      </c>
      <c r="H200" s="359">
        <f>ROWS($G$4:G200)</f>
        <v>197</v>
      </c>
      <c r="I200" s="359" t="str">
        <f>IF('School Level Expenditures'!$B$2=A200,'School Tables'!H200,"")</f>
        <v/>
      </c>
      <c r="J200" s="359" t="str">
        <f>IFERROR(SMALL($I$4:$I$325,ROWS($I$4:I200)),"")</f>
        <v/>
      </c>
      <c r="K200" s="333" t="b">
        <f t="shared" si="8"/>
        <v>0</v>
      </c>
      <c r="AH200" s="361">
        <v>563</v>
      </c>
      <c r="AI200" s="361">
        <v>563</v>
      </c>
      <c r="AJ200" s="361" t="s">
        <v>1466</v>
      </c>
      <c r="AK200" s="361">
        <v>29</v>
      </c>
      <c r="AL200" s="361" t="s">
        <v>1691</v>
      </c>
    </row>
    <row r="201" spans="1:38" ht="25.5" x14ac:dyDescent="0.2">
      <c r="A201" s="357">
        <v>369</v>
      </c>
      <c r="B201" s="357" t="s">
        <v>1280</v>
      </c>
      <c r="C201" s="357" t="s">
        <v>1281</v>
      </c>
      <c r="D201" s="357">
        <v>22115</v>
      </c>
      <c r="E201" s="357" t="s">
        <v>61</v>
      </c>
      <c r="F201" s="357">
        <v>45</v>
      </c>
      <c r="G201" s="357" t="s">
        <v>1749</v>
      </c>
      <c r="H201" s="359">
        <f>ROWS($G$4:G201)</f>
        <v>198</v>
      </c>
      <c r="I201" s="359" t="str">
        <f>IF('School Level Expenditures'!$B$2=A201,'School Tables'!H201,"")</f>
        <v/>
      </c>
      <c r="J201" s="359" t="str">
        <f>IFERROR(SMALL($I$4:$I$325,ROWS($I$4:I201)),"")</f>
        <v/>
      </c>
      <c r="K201" s="333" t="b">
        <f t="shared" si="8"/>
        <v>0</v>
      </c>
      <c r="AH201" s="361">
        <v>568</v>
      </c>
      <c r="AI201" s="361">
        <v>0</v>
      </c>
      <c r="AJ201" s="361" t="s">
        <v>1468</v>
      </c>
      <c r="AK201" s="361">
        <v>36</v>
      </c>
      <c r="AL201" s="361" t="s">
        <v>1735</v>
      </c>
    </row>
    <row r="202" spans="1:38" ht="51" x14ac:dyDescent="0.2">
      <c r="A202" s="357">
        <v>704</v>
      </c>
      <c r="B202" s="357" t="s">
        <v>1495</v>
      </c>
      <c r="C202" s="357" t="s">
        <v>1495</v>
      </c>
      <c r="D202" s="357">
        <v>29154</v>
      </c>
      <c r="E202" s="357" t="s">
        <v>61</v>
      </c>
      <c r="F202" s="357">
        <v>427</v>
      </c>
      <c r="G202" s="357" t="s">
        <v>1495</v>
      </c>
      <c r="H202" s="359">
        <f>ROWS($G$4:G202)</f>
        <v>199</v>
      </c>
      <c r="I202" s="359" t="str">
        <f>IF('School Level Expenditures'!$B$2=A202,'School Tables'!H202,"")</f>
        <v/>
      </c>
      <c r="J202" s="359" t="str">
        <f>IFERROR(SMALL($I$4:$I$325,ROWS($I$4:I202)),"")</f>
        <v/>
      </c>
      <c r="K202" s="333" t="b">
        <f t="shared" si="8"/>
        <v>0</v>
      </c>
      <c r="AH202" s="361">
        <v>572</v>
      </c>
      <c r="AI202" s="361">
        <v>0</v>
      </c>
      <c r="AJ202" s="361" t="s">
        <v>1472</v>
      </c>
      <c r="AK202" s="361">
        <v>63</v>
      </c>
      <c r="AL202" s="361" t="s">
        <v>1707</v>
      </c>
    </row>
    <row r="203" spans="1:38" ht="38.25" x14ac:dyDescent="0.2">
      <c r="A203" s="357">
        <v>363</v>
      </c>
      <c r="B203" s="357" t="s">
        <v>1271</v>
      </c>
      <c r="C203" s="357" t="s">
        <v>1604</v>
      </c>
      <c r="D203" s="357">
        <v>21695</v>
      </c>
      <c r="E203" s="357" t="s">
        <v>61</v>
      </c>
      <c r="F203" s="357">
        <v>93</v>
      </c>
      <c r="G203" s="357" t="s">
        <v>1697</v>
      </c>
      <c r="H203" s="359">
        <f>ROWS($G$4:G203)</f>
        <v>200</v>
      </c>
      <c r="I203" s="359" t="str">
        <f>IF('School Level Expenditures'!$B$2=A203,'School Tables'!H203,"")</f>
        <v/>
      </c>
      <c r="J203" s="359" t="str">
        <f>IFERROR(SMALL($I$4:$I$325,ROWS($I$4:I203)),"")</f>
        <v/>
      </c>
      <c r="K203" s="333" t="b">
        <f t="shared" si="8"/>
        <v>0</v>
      </c>
      <c r="AH203" s="361">
        <v>573</v>
      </c>
      <c r="AI203" s="361">
        <v>573</v>
      </c>
      <c r="AJ203" s="361" t="s">
        <v>1477</v>
      </c>
      <c r="AK203" s="361">
        <v>94</v>
      </c>
      <c r="AL203" s="361" t="s">
        <v>1763</v>
      </c>
    </row>
    <row r="204" spans="1:38" ht="25.5" x14ac:dyDescent="0.2">
      <c r="A204" s="357">
        <v>295</v>
      </c>
      <c r="B204" s="357" t="s">
        <v>1176</v>
      </c>
      <c r="C204" s="357" t="s">
        <v>1178</v>
      </c>
      <c r="D204" s="357">
        <v>21355</v>
      </c>
      <c r="E204" s="357" t="s">
        <v>61</v>
      </c>
      <c r="F204" s="357">
        <v>88</v>
      </c>
      <c r="G204" s="357" t="s">
        <v>1722</v>
      </c>
      <c r="H204" s="359">
        <f>ROWS($G$4:G204)</f>
        <v>201</v>
      </c>
      <c r="I204" s="359" t="str">
        <f>IF('School Level Expenditures'!$B$2=A204,'School Tables'!H204,"")</f>
        <v/>
      </c>
      <c r="J204" s="359" t="str">
        <f>IFERROR(SMALL($I$4:$I$325,ROWS($I$4:I204)),"")</f>
        <v/>
      </c>
      <c r="K204" s="333" t="b">
        <f t="shared" si="8"/>
        <v>0</v>
      </c>
      <c r="AH204" s="361">
        <v>575</v>
      </c>
      <c r="AI204" s="361">
        <v>575</v>
      </c>
      <c r="AJ204" s="361" t="s">
        <v>1478</v>
      </c>
      <c r="AK204" s="361">
        <v>95</v>
      </c>
      <c r="AL204" s="361" t="s">
        <v>1716</v>
      </c>
    </row>
    <row r="205" spans="1:38" ht="63.75" x14ac:dyDescent="0.2">
      <c r="A205" s="357">
        <v>371</v>
      </c>
      <c r="B205" s="357" t="s">
        <v>1283</v>
      </c>
      <c r="C205" s="357" t="s">
        <v>1292</v>
      </c>
      <c r="D205" s="357">
        <v>21885</v>
      </c>
      <c r="E205" s="357" t="s">
        <v>61</v>
      </c>
      <c r="F205" s="357">
        <v>42</v>
      </c>
      <c r="G205" s="357" t="s">
        <v>1666</v>
      </c>
      <c r="H205" s="359">
        <f>ROWS($G$4:G205)</f>
        <v>202</v>
      </c>
      <c r="I205" s="359" t="str">
        <f>IF('School Level Expenditures'!$B$2=A205,'School Tables'!H205,"")</f>
        <v/>
      </c>
      <c r="J205" s="359" t="str">
        <f>IFERROR(SMALL($I$4:$I$325,ROWS($I$4:I205)),"")</f>
        <v/>
      </c>
      <c r="K205" s="333" t="b">
        <f t="shared" si="8"/>
        <v>0</v>
      </c>
      <c r="AH205" s="354">
        <v>712</v>
      </c>
      <c r="AI205" s="354">
        <v>712</v>
      </c>
      <c r="AJ205" s="354" t="s">
        <v>1505</v>
      </c>
      <c r="AK205" s="354">
        <v>434</v>
      </c>
      <c r="AL205" s="354" t="s">
        <v>1505</v>
      </c>
    </row>
    <row r="206" spans="1:38" ht="38.25" x14ac:dyDescent="0.2">
      <c r="A206" s="357">
        <v>174</v>
      </c>
      <c r="B206" s="357" t="s">
        <v>1033</v>
      </c>
      <c r="C206" s="357" t="s">
        <v>1038</v>
      </c>
      <c r="D206" s="357">
        <v>22980</v>
      </c>
      <c r="E206" s="357" t="s">
        <v>61</v>
      </c>
      <c r="F206" s="357">
        <v>60</v>
      </c>
      <c r="G206" s="357" t="s">
        <v>1662</v>
      </c>
      <c r="H206" s="359">
        <f>ROWS($G$4:G206)</f>
        <v>203</v>
      </c>
      <c r="I206" s="359" t="str">
        <f>IF('School Level Expenditures'!$B$2=A206,'School Tables'!H206,"")</f>
        <v/>
      </c>
      <c r="J206" s="359" t="str">
        <f>IFERROR(SMALL($I$4:$I$325,ROWS($I$4:I206)),"")</f>
        <v/>
      </c>
      <c r="K206" s="333" t="b">
        <f t="shared" si="8"/>
        <v>0</v>
      </c>
      <c r="AH206" s="361">
        <v>579</v>
      </c>
      <c r="AI206" s="361">
        <v>579</v>
      </c>
      <c r="AJ206" s="361" t="s">
        <v>1792</v>
      </c>
      <c r="AK206" s="361">
        <v>34</v>
      </c>
      <c r="AL206" s="361" t="s">
        <v>1727</v>
      </c>
    </row>
    <row r="207" spans="1:38" ht="25.5" x14ac:dyDescent="0.2">
      <c r="A207" s="357">
        <v>461</v>
      </c>
      <c r="B207" s="357" t="s">
        <v>1376</v>
      </c>
      <c r="C207" s="357" t="s">
        <v>1378</v>
      </c>
      <c r="D207" s="357">
        <v>22660</v>
      </c>
      <c r="E207" s="357" t="s">
        <v>61</v>
      </c>
      <c r="F207" s="357">
        <v>54</v>
      </c>
      <c r="G207" s="357" t="s">
        <v>1689</v>
      </c>
      <c r="H207" s="359">
        <f>ROWS($G$4:G207)</f>
        <v>204</v>
      </c>
      <c r="I207" s="359" t="str">
        <f>IF('School Level Expenditures'!$B$2=A207,'School Tables'!H207,"")</f>
        <v/>
      </c>
      <c r="J207" s="359" t="str">
        <f>IFERROR(SMALL($I$4:$I$325,ROWS($I$4:I207)),"")</f>
        <v/>
      </c>
      <c r="K207" s="333" t="b">
        <f t="shared" si="8"/>
        <v>0</v>
      </c>
      <c r="AH207" s="361">
        <v>581</v>
      </c>
      <c r="AI207" s="361">
        <v>0</v>
      </c>
      <c r="AJ207" s="361" t="s">
        <v>1483</v>
      </c>
      <c r="AK207" s="361">
        <v>21</v>
      </c>
      <c r="AL207" s="361" t="s">
        <v>1737</v>
      </c>
    </row>
    <row r="208" spans="1:38" ht="25.5" x14ac:dyDescent="0.2">
      <c r="A208" s="357">
        <v>375</v>
      </c>
      <c r="B208" s="357" t="s">
        <v>1301</v>
      </c>
      <c r="C208" s="357" t="s">
        <v>1302</v>
      </c>
      <c r="D208" s="357">
        <v>21215</v>
      </c>
      <c r="E208" s="357" t="s">
        <v>61</v>
      </c>
      <c r="F208" s="357">
        <v>29</v>
      </c>
      <c r="G208" s="357" t="s">
        <v>1691</v>
      </c>
      <c r="H208" s="359">
        <f>ROWS($G$4:G208)</f>
        <v>205</v>
      </c>
      <c r="I208" s="359" t="str">
        <f>IF('School Level Expenditures'!$B$2=A208,'School Tables'!H208,"")</f>
        <v/>
      </c>
      <c r="J208" s="359" t="str">
        <f>IFERROR(SMALL($I$4:$I$325,ROWS($I$4:I208)),"")</f>
        <v/>
      </c>
      <c r="K208" s="333" t="b">
        <f t="shared" si="8"/>
        <v>0</v>
      </c>
      <c r="AH208" s="361">
        <v>582</v>
      </c>
      <c r="AI208" s="361">
        <v>0</v>
      </c>
      <c r="AJ208" s="361" t="s">
        <v>1485</v>
      </c>
      <c r="AK208" s="361">
        <v>59</v>
      </c>
      <c r="AL208" s="361" t="s">
        <v>1760</v>
      </c>
    </row>
    <row r="209" spans="1:11" ht="25.5" x14ac:dyDescent="0.2">
      <c r="A209" s="357">
        <v>377</v>
      </c>
      <c r="B209" s="357" t="s">
        <v>1303</v>
      </c>
      <c r="C209" s="357" t="s">
        <v>1304</v>
      </c>
      <c r="D209" s="357">
        <v>20715</v>
      </c>
      <c r="E209" s="357" t="s">
        <v>61</v>
      </c>
      <c r="F209" s="357">
        <v>19</v>
      </c>
      <c r="G209" s="357" t="s">
        <v>1675</v>
      </c>
      <c r="H209" s="359">
        <f>ROWS($G$4:G209)</f>
        <v>206</v>
      </c>
      <c r="I209" s="359" t="str">
        <f>IF('School Level Expenditures'!$B$2=A209,'School Tables'!H209,"")</f>
        <v/>
      </c>
      <c r="J209" s="359" t="str">
        <f>IFERROR(SMALL($I$4:$I$325,ROWS($I$4:I209)),"")</f>
        <v/>
      </c>
      <c r="K209" s="333" t="b">
        <f t="shared" si="8"/>
        <v>0</v>
      </c>
    </row>
    <row r="210" spans="1:11" ht="51" x14ac:dyDescent="0.2">
      <c r="A210" s="357">
        <v>208</v>
      </c>
      <c r="B210" s="357" t="s">
        <v>1072</v>
      </c>
      <c r="C210" s="357" t="s">
        <v>1074</v>
      </c>
      <c r="D210" s="357">
        <v>22400</v>
      </c>
      <c r="E210" s="357" t="s">
        <v>61</v>
      </c>
      <c r="F210" s="357">
        <v>49</v>
      </c>
      <c r="G210" s="357" t="s">
        <v>1687</v>
      </c>
      <c r="H210" s="359">
        <f>ROWS($G$4:G210)</f>
        <v>207</v>
      </c>
      <c r="I210" s="359" t="str">
        <f>IF('School Level Expenditures'!$B$2=A210,'School Tables'!H210,"")</f>
        <v/>
      </c>
      <c r="J210" s="359" t="str">
        <f>IFERROR(SMALL($I$4:$I$325,ROWS($I$4:I210)),"")</f>
        <v/>
      </c>
      <c r="K210" s="333" t="b">
        <f t="shared" si="8"/>
        <v>0</v>
      </c>
    </row>
    <row r="211" spans="1:11" ht="25.5" x14ac:dyDescent="0.2">
      <c r="A211" s="357">
        <v>449</v>
      </c>
      <c r="B211" s="357" t="s">
        <v>1363</v>
      </c>
      <c r="C211" s="357" t="s">
        <v>1366</v>
      </c>
      <c r="D211" s="357">
        <v>22525</v>
      </c>
      <c r="E211" s="357" t="s">
        <v>61</v>
      </c>
      <c r="F211" s="357">
        <v>52</v>
      </c>
      <c r="G211" s="357" t="s">
        <v>1739</v>
      </c>
      <c r="H211" s="359">
        <f>ROWS($G$4:G211)</f>
        <v>208</v>
      </c>
      <c r="I211" s="359" t="str">
        <f>IF('School Level Expenditures'!$B$2=A211,'School Tables'!H211,"")</f>
        <v/>
      </c>
      <c r="J211" s="359" t="str">
        <f>IFERROR(SMALL($I$4:$I$325,ROWS($I$4:I211)),"")</f>
        <v/>
      </c>
      <c r="K211" s="333" t="b">
        <f t="shared" si="8"/>
        <v>0</v>
      </c>
    </row>
    <row r="212" spans="1:11" ht="38.25" x14ac:dyDescent="0.2">
      <c r="A212" s="357">
        <v>388</v>
      </c>
      <c r="B212" s="357" t="s">
        <v>1537</v>
      </c>
      <c r="C212" s="357" t="s">
        <v>1314</v>
      </c>
      <c r="D212" s="357">
        <v>20105</v>
      </c>
      <c r="E212" s="357" t="s">
        <v>61</v>
      </c>
      <c r="F212" s="357">
        <v>4</v>
      </c>
      <c r="G212" s="357" t="s">
        <v>1683</v>
      </c>
      <c r="H212" s="359">
        <f>ROWS($G$4:G212)</f>
        <v>209</v>
      </c>
      <c r="I212" s="359" t="str">
        <f>IF('School Level Expenditures'!$B$2=A212,'School Tables'!H212,"")</f>
        <v/>
      </c>
      <c r="J212" s="359" t="str">
        <f>IFERROR(SMALL($I$4:$I$325,ROWS($I$4:I212)),"")</f>
        <v/>
      </c>
      <c r="K212" s="333" t="b">
        <f t="shared" si="8"/>
        <v>0</v>
      </c>
    </row>
    <row r="213" spans="1:11" ht="25.5" x14ac:dyDescent="0.2">
      <c r="A213" s="357">
        <v>371</v>
      </c>
      <c r="B213" s="357" t="s">
        <v>1283</v>
      </c>
      <c r="C213" s="357" t="s">
        <v>1287</v>
      </c>
      <c r="D213" s="357">
        <v>21845</v>
      </c>
      <c r="E213" s="357" t="s">
        <v>61</v>
      </c>
      <c r="F213" s="357">
        <v>42</v>
      </c>
      <c r="G213" s="357" t="s">
        <v>1666</v>
      </c>
      <c r="H213" s="359">
        <f>ROWS($G$4:G213)</f>
        <v>210</v>
      </c>
      <c r="I213" s="359" t="str">
        <f>IF('School Level Expenditures'!$B$2=A213,'School Tables'!H213,"")</f>
        <v/>
      </c>
      <c r="J213" s="359" t="str">
        <f>IFERROR(SMALL($I$4:$I$325,ROWS($I$4:I213)),"")</f>
        <v/>
      </c>
      <c r="K213" s="333" t="b">
        <f t="shared" si="8"/>
        <v>0</v>
      </c>
    </row>
    <row r="214" spans="1:11" ht="25.5" x14ac:dyDescent="0.2">
      <c r="A214" s="357">
        <v>387</v>
      </c>
      <c r="B214" s="357" t="s">
        <v>1307</v>
      </c>
      <c r="C214" s="357" t="s">
        <v>1308</v>
      </c>
      <c r="D214" s="357">
        <v>20610</v>
      </c>
      <c r="E214" s="357" t="s">
        <v>61</v>
      </c>
      <c r="F214" s="357">
        <v>16</v>
      </c>
      <c r="G214" s="357" t="s">
        <v>1702</v>
      </c>
      <c r="H214" s="359">
        <f>ROWS($G$4:G214)</f>
        <v>211</v>
      </c>
      <c r="I214" s="359" t="str">
        <f>IF('School Level Expenditures'!$B$2=A214,'School Tables'!H214,"")</f>
        <v/>
      </c>
      <c r="J214" s="359" t="str">
        <f>IFERROR(SMALL($I$4:$I$325,ROWS($I$4:I214)),"")</f>
        <v/>
      </c>
      <c r="K214" s="333" t="b">
        <f t="shared" si="8"/>
        <v>0</v>
      </c>
    </row>
    <row r="215" spans="1:11" ht="25.5" x14ac:dyDescent="0.2">
      <c r="A215" s="357">
        <v>391</v>
      </c>
      <c r="B215" s="357" t="s">
        <v>1315</v>
      </c>
      <c r="C215" s="357" t="s">
        <v>1316</v>
      </c>
      <c r="D215" s="357">
        <v>22465</v>
      </c>
      <c r="E215" s="357" t="s">
        <v>61</v>
      </c>
      <c r="F215" s="357">
        <v>50</v>
      </c>
      <c r="G215" s="357" t="s">
        <v>1718</v>
      </c>
      <c r="H215" s="359">
        <f>ROWS($G$4:G215)</f>
        <v>212</v>
      </c>
      <c r="I215" s="359" t="str">
        <f>IF('School Level Expenditures'!$B$2=A215,'School Tables'!H215,"")</f>
        <v/>
      </c>
      <c r="J215" s="359" t="str">
        <f>IFERROR(SMALL($I$4:$I$325,ROWS($I$4:I215)),"")</f>
        <v/>
      </c>
      <c r="K215" s="333" t="b">
        <f t="shared" si="8"/>
        <v>0</v>
      </c>
    </row>
    <row r="216" spans="1:11" ht="25.5" x14ac:dyDescent="0.2">
      <c r="A216" s="357">
        <v>399</v>
      </c>
      <c r="B216" s="357" t="s">
        <v>1317</v>
      </c>
      <c r="C216" s="357" t="s">
        <v>1318</v>
      </c>
      <c r="D216" s="357">
        <v>21300</v>
      </c>
      <c r="E216" s="357" t="s">
        <v>61</v>
      </c>
      <c r="F216" s="357">
        <v>31</v>
      </c>
      <c r="G216" s="357" t="s">
        <v>1750</v>
      </c>
      <c r="H216" s="359">
        <f>ROWS($G$4:G216)</f>
        <v>213</v>
      </c>
      <c r="I216" s="359" t="str">
        <f>IF('School Level Expenditures'!$B$2=A216,'School Tables'!H216,"")</f>
        <v/>
      </c>
      <c r="J216" s="359" t="str">
        <f>IFERROR(SMALL($I$4:$I$325,ROWS($I$4:I216)),"")</f>
        <v/>
      </c>
      <c r="K216" s="333" t="b">
        <f t="shared" si="8"/>
        <v>0</v>
      </c>
    </row>
    <row r="217" spans="1:11" ht="25.5" x14ac:dyDescent="0.2">
      <c r="A217" s="357">
        <v>399</v>
      </c>
      <c r="B217" s="357" t="s">
        <v>1317</v>
      </c>
      <c r="C217" s="357" t="s">
        <v>1320</v>
      </c>
      <c r="D217" s="357">
        <v>26560</v>
      </c>
      <c r="E217" s="357" t="s">
        <v>61</v>
      </c>
      <c r="F217" s="357">
        <v>31</v>
      </c>
      <c r="G217" s="357" t="s">
        <v>1750</v>
      </c>
      <c r="H217" s="359">
        <f>ROWS($G$4:G217)</f>
        <v>214</v>
      </c>
      <c r="I217" s="359" t="str">
        <f>IF('School Level Expenditures'!$B$2=A217,'School Tables'!H217,"")</f>
        <v/>
      </c>
      <c r="J217" s="359" t="str">
        <f>IFERROR(SMALL($I$4:$I$325,ROWS($I$4:I217)),"")</f>
        <v/>
      </c>
      <c r="K217" s="333" t="b">
        <f t="shared" si="8"/>
        <v>0</v>
      </c>
    </row>
    <row r="218" spans="1:11" ht="25.5" x14ac:dyDescent="0.2">
      <c r="A218" s="357">
        <v>405</v>
      </c>
      <c r="B218" s="357" t="s">
        <v>1325</v>
      </c>
      <c r="C218" s="357" t="s">
        <v>1326</v>
      </c>
      <c r="D218" s="357">
        <v>20805</v>
      </c>
      <c r="E218" s="357" t="s">
        <v>61</v>
      </c>
      <c r="F218" s="357">
        <v>21</v>
      </c>
      <c r="G218" s="357" t="s">
        <v>1737</v>
      </c>
      <c r="H218" s="359">
        <f>ROWS($G$4:G218)</f>
        <v>215</v>
      </c>
      <c r="I218" s="359" t="str">
        <f>IF('School Level Expenditures'!$B$2=A218,'School Tables'!H218,"")</f>
        <v/>
      </c>
      <c r="J218" s="359" t="str">
        <f>IFERROR(SMALL($I$4:$I$325,ROWS($I$4:I218)),"")</f>
        <v/>
      </c>
      <c r="K218" s="333" t="b">
        <f t="shared" si="8"/>
        <v>0</v>
      </c>
    </row>
    <row r="219" spans="1:11" ht="25.5" x14ac:dyDescent="0.2">
      <c r="A219" s="357">
        <v>319</v>
      </c>
      <c r="B219" s="357" t="s">
        <v>1199</v>
      </c>
      <c r="C219" s="357" t="s">
        <v>1201</v>
      </c>
      <c r="D219" s="357">
        <v>20470</v>
      </c>
      <c r="E219" s="357" t="s">
        <v>61</v>
      </c>
      <c r="F219" s="357">
        <v>12</v>
      </c>
      <c r="G219" s="357" t="s">
        <v>1743</v>
      </c>
      <c r="H219" s="359">
        <f>ROWS($G$4:G219)</f>
        <v>216</v>
      </c>
      <c r="I219" s="359" t="str">
        <f>IF('School Level Expenditures'!$B$2=A219,'School Tables'!H219,"")</f>
        <v/>
      </c>
      <c r="J219" s="359" t="str">
        <f>IFERROR(SMALL($I$4:$I$325,ROWS($I$4:I219)),"")</f>
        <v/>
      </c>
      <c r="K219" s="333" t="b">
        <f t="shared" si="8"/>
        <v>0</v>
      </c>
    </row>
    <row r="220" spans="1:11" ht="25.5" x14ac:dyDescent="0.2">
      <c r="A220" s="357">
        <v>473</v>
      </c>
      <c r="B220" s="357" t="s">
        <v>1395</v>
      </c>
      <c r="C220" s="357" t="s">
        <v>1401</v>
      </c>
      <c r="D220" s="357">
        <v>22890</v>
      </c>
      <c r="E220" s="357" t="s">
        <v>61</v>
      </c>
      <c r="F220" s="357">
        <v>57</v>
      </c>
      <c r="G220" s="357" t="s">
        <v>1701</v>
      </c>
      <c r="H220" s="359">
        <f>ROWS($G$4:G220)</f>
        <v>217</v>
      </c>
      <c r="I220" s="359" t="str">
        <f>IF('School Level Expenditures'!$B$2=A220,'School Tables'!H220,"")</f>
        <v/>
      </c>
      <c r="J220" s="359" t="str">
        <f>IFERROR(SMALL($I$4:$I$325,ROWS($I$4:I220)),"")</f>
        <v/>
      </c>
      <c r="K220" s="333" t="b">
        <f t="shared" si="8"/>
        <v>0</v>
      </c>
    </row>
    <row r="221" spans="1:11" ht="38.25" x14ac:dyDescent="0.2">
      <c r="A221" s="357">
        <v>174</v>
      </c>
      <c r="B221" s="357" t="s">
        <v>1033</v>
      </c>
      <c r="C221" s="357" t="s">
        <v>1042</v>
      </c>
      <c r="D221" s="357">
        <v>23005</v>
      </c>
      <c r="E221" s="357" t="s">
        <v>61</v>
      </c>
      <c r="F221" s="357">
        <v>60</v>
      </c>
      <c r="G221" s="357" t="s">
        <v>1662</v>
      </c>
      <c r="H221" s="359">
        <f>ROWS($G$4:G221)</f>
        <v>218</v>
      </c>
      <c r="I221" s="359" t="str">
        <f>IF('School Level Expenditures'!$B$2=A221,'School Tables'!H221,"")</f>
        <v/>
      </c>
      <c r="J221" s="359" t="str">
        <f>IFERROR(SMALL($I$4:$I$325,ROWS($I$4:I221)),"")</f>
        <v/>
      </c>
      <c r="K221" s="333" t="b">
        <f t="shared" si="8"/>
        <v>0</v>
      </c>
    </row>
    <row r="222" spans="1:11" ht="51" x14ac:dyDescent="0.2">
      <c r="A222" s="357">
        <v>716</v>
      </c>
      <c r="B222" s="357" t="s">
        <v>1620</v>
      </c>
      <c r="C222" s="357" t="s">
        <v>1620</v>
      </c>
      <c r="D222" s="357">
        <v>29231</v>
      </c>
      <c r="E222" s="357" t="s">
        <v>61</v>
      </c>
      <c r="F222" s="357">
        <v>441</v>
      </c>
      <c r="G222" s="357" t="s">
        <v>1620</v>
      </c>
      <c r="H222" s="359">
        <f>ROWS($G$4:G222)</f>
        <v>219</v>
      </c>
      <c r="I222" s="359" t="str">
        <f>IF('School Level Expenditures'!$B$2=A222,'School Tables'!H222,"")</f>
        <v/>
      </c>
      <c r="J222" s="359" t="str">
        <f>IFERROR(SMALL($I$4:$I$325,ROWS($I$4:I222)),"")</f>
        <v/>
      </c>
      <c r="K222" s="333" t="b">
        <f t="shared" si="8"/>
        <v>0</v>
      </c>
    </row>
    <row r="223" spans="1:11" ht="25.5" x14ac:dyDescent="0.2">
      <c r="A223" s="357">
        <v>335</v>
      </c>
      <c r="B223" s="357" t="s">
        <v>906</v>
      </c>
      <c r="C223" s="357" t="s">
        <v>1226</v>
      </c>
      <c r="D223" s="357">
        <v>26435</v>
      </c>
      <c r="E223" s="357" t="s">
        <v>61</v>
      </c>
      <c r="F223" s="357">
        <v>37</v>
      </c>
      <c r="G223" s="357" t="s">
        <v>1672</v>
      </c>
      <c r="H223" s="359">
        <f>ROWS($G$4:G223)</f>
        <v>220</v>
      </c>
      <c r="I223" s="359" t="str">
        <f>IF('School Level Expenditures'!$B$2=A223,'School Tables'!H223,"")</f>
        <v/>
      </c>
      <c r="J223" s="359" t="str">
        <f>IFERROR(SMALL($I$4:$I$325,ROWS($I$4:I223)),"")</f>
        <v/>
      </c>
      <c r="K223" s="333" t="b">
        <f t="shared" si="8"/>
        <v>0</v>
      </c>
    </row>
    <row r="224" spans="1:11" ht="25.5" x14ac:dyDescent="0.2">
      <c r="A224" s="357">
        <v>411</v>
      </c>
      <c r="B224" s="357" t="s">
        <v>1331</v>
      </c>
      <c r="C224" s="357" t="s">
        <v>1332</v>
      </c>
      <c r="D224" s="357">
        <v>22085</v>
      </c>
      <c r="E224" s="357" t="s">
        <v>61</v>
      </c>
      <c r="F224" s="357">
        <v>44</v>
      </c>
      <c r="G224" s="357" t="s">
        <v>1751</v>
      </c>
      <c r="H224" s="359">
        <f>ROWS($G$4:G224)</f>
        <v>221</v>
      </c>
      <c r="I224" s="359" t="str">
        <f>IF('School Level Expenditures'!$B$2=A224,'School Tables'!H224,"")</f>
        <v/>
      </c>
      <c r="J224" s="359" t="str">
        <f>IFERROR(SMALL($I$4:$I$325,ROWS($I$4:I224)),"")</f>
        <v/>
      </c>
      <c r="K224" s="333" t="b">
        <f t="shared" si="8"/>
        <v>0</v>
      </c>
    </row>
    <row r="225" spans="1:11" ht="25.5" x14ac:dyDescent="0.2">
      <c r="A225" s="357">
        <v>413</v>
      </c>
      <c r="B225" s="357" t="s">
        <v>1333</v>
      </c>
      <c r="C225" s="357" t="s">
        <v>1334</v>
      </c>
      <c r="D225" s="357">
        <v>22095</v>
      </c>
      <c r="E225" s="357" t="s">
        <v>61</v>
      </c>
      <c r="F225" s="357">
        <v>44</v>
      </c>
      <c r="G225" s="357" t="s">
        <v>1751</v>
      </c>
      <c r="H225" s="359">
        <f>ROWS($G$4:G225)</f>
        <v>222</v>
      </c>
      <c r="I225" s="359" t="str">
        <f>IF('School Level Expenditures'!$B$2=A225,'School Tables'!H225,"")</f>
        <v/>
      </c>
      <c r="J225" s="359" t="str">
        <f>IFERROR(SMALL($I$4:$I$325,ROWS($I$4:I225)),"")</f>
        <v/>
      </c>
      <c r="K225" s="333" t="b">
        <f t="shared" si="8"/>
        <v>0</v>
      </c>
    </row>
    <row r="226" spans="1:11" ht="25.5" x14ac:dyDescent="0.2">
      <c r="A226" s="357">
        <v>267</v>
      </c>
      <c r="B226" s="357" t="s">
        <v>1130</v>
      </c>
      <c r="C226" s="357" t="s">
        <v>1752</v>
      </c>
      <c r="D226" s="357">
        <v>29232</v>
      </c>
      <c r="E226" s="357" t="s">
        <v>1554</v>
      </c>
      <c r="F226" s="357">
        <v>81</v>
      </c>
      <c r="G226" s="357" t="s">
        <v>1700</v>
      </c>
      <c r="H226" s="359">
        <f>ROWS($G$4:G226)</f>
        <v>223</v>
      </c>
      <c r="I226" s="359" t="str">
        <f>IF('School Level Expenditures'!$B$2=A226,'School Tables'!H226,"")</f>
        <v/>
      </c>
      <c r="J226" s="359" t="str">
        <f>IFERROR(SMALL($I$4:$I$325,ROWS($I$4:I226)),"")</f>
        <v/>
      </c>
      <c r="K226" s="333" t="b">
        <f t="shared" si="8"/>
        <v>0</v>
      </c>
    </row>
    <row r="227" spans="1:11" ht="25.5" x14ac:dyDescent="0.2">
      <c r="A227" s="357">
        <v>267</v>
      </c>
      <c r="B227" s="357" t="s">
        <v>1130</v>
      </c>
      <c r="C227" s="357" t="s">
        <v>1135</v>
      </c>
      <c r="D227" s="357">
        <v>26765</v>
      </c>
      <c r="E227" s="357" t="s">
        <v>61</v>
      </c>
      <c r="F227" s="357">
        <v>81</v>
      </c>
      <c r="G227" s="357" t="s">
        <v>1700</v>
      </c>
      <c r="H227" s="359">
        <f>ROWS($G$4:G227)</f>
        <v>224</v>
      </c>
      <c r="I227" s="359" t="str">
        <f>IF('School Level Expenditures'!$B$2=A227,'School Tables'!H227,"")</f>
        <v/>
      </c>
      <c r="J227" s="359" t="str">
        <f>IFERROR(SMALL($I$4:$I$325,ROWS($I$4:I227)),"")</f>
        <v/>
      </c>
      <c r="K227" s="333" t="b">
        <f t="shared" si="8"/>
        <v>0</v>
      </c>
    </row>
    <row r="228" spans="1:11" ht="51" x14ac:dyDescent="0.2">
      <c r="A228" s="357">
        <v>208</v>
      </c>
      <c r="B228" s="357" t="s">
        <v>1072</v>
      </c>
      <c r="C228" s="357" t="s">
        <v>1075</v>
      </c>
      <c r="D228" s="357">
        <v>22405</v>
      </c>
      <c r="E228" s="357" t="s">
        <v>61</v>
      </c>
      <c r="F228" s="357">
        <v>49</v>
      </c>
      <c r="G228" s="357" t="s">
        <v>1687</v>
      </c>
      <c r="H228" s="359">
        <f>ROWS($G$4:G228)</f>
        <v>225</v>
      </c>
      <c r="I228" s="359" t="str">
        <f>IF('School Level Expenditures'!$B$2=A228,'School Tables'!H228,"")</f>
        <v/>
      </c>
      <c r="J228" s="359" t="str">
        <f>IFERROR(SMALL($I$4:$I$325,ROWS($I$4:I228)),"")</f>
        <v/>
      </c>
      <c r="K228" s="333" t="b">
        <f t="shared" si="8"/>
        <v>0</v>
      </c>
    </row>
    <row r="229" spans="1:11" ht="25.5" x14ac:dyDescent="0.2">
      <c r="A229" s="357">
        <v>423</v>
      </c>
      <c r="B229" s="357" t="s">
        <v>1335</v>
      </c>
      <c r="C229" s="357" t="s">
        <v>1560</v>
      </c>
      <c r="D229" s="357">
        <v>29210</v>
      </c>
      <c r="E229" s="357" t="s">
        <v>1554</v>
      </c>
      <c r="F229" s="357">
        <v>5</v>
      </c>
      <c r="G229" s="357" t="s">
        <v>1742</v>
      </c>
      <c r="H229" s="359">
        <f>ROWS($G$4:G229)</f>
        <v>226</v>
      </c>
      <c r="I229" s="359" t="str">
        <f>IF('School Level Expenditures'!$B$2=A229,'School Tables'!H229,"")</f>
        <v/>
      </c>
      <c r="J229" s="359" t="str">
        <f>IFERROR(SMALL($I$4:$I$325,ROWS($I$4:I229)),"")</f>
        <v/>
      </c>
      <c r="K229" s="333" t="b">
        <f t="shared" si="8"/>
        <v>0</v>
      </c>
    </row>
    <row r="230" spans="1:11" ht="25.5" x14ac:dyDescent="0.2">
      <c r="A230" s="357">
        <v>335</v>
      </c>
      <c r="B230" s="357" t="s">
        <v>906</v>
      </c>
      <c r="C230" s="357" t="s">
        <v>1215</v>
      </c>
      <c r="D230" s="357">
        <v>21540</v>
      </c>
      <c r="E230" s="357" t="s">
        <v>61</v>
      </c>
      <c r="F230" s="357">
        <v>37</v>
      </c>
      <c r="G230" s="357" t="s">
        <v>1672</v>
      </c>
      <c r="H230" s="359">
        <f>ROWS($G$4:G230)</f>
        <v>227</v>
      </c>
      <c r="I230" s="359" t="str">
        <f>IF('School Level Expenditures'!$B$2=A230,'School Tables'!H230,"")</f>
        <v/>
      </c>
      <c r="J230" s="359" t="str">
        <f>IFERROR(SMALL($I$4:$I$325,ROWS($I$4:I230)),"")</f>
        <v/>
      </c>
      <c r="K230" s="333" t="b">
        <f t="shared" si="8"/>
        <v>0</v>
      </c>
    </row>
    <row r="231" spans="1:11" ht="25.5" x14ac:dyDescent="0.2">
      <c r="A231" s="357">
        <v>185</v>
      </c>
      <c r="B231" s="357" t="s">
        <v>1049</v>
      </c>
      <c r="C231" s="357" t="s">
        <v>1050</v>
      </c>
      <c r="D231" s="357">
        <v>20650</v>
      </c>
      <c r="E231" s="357" t="s">
        <v>61</v>
      </c>
      <c r="F231" s="357">
        <v>18</v>
      </c>
      <c r="G231" s="357" t="s">
        <v>1708</v>
      </c>
      <c r="H231" s="359">
        <f>ROWS($G$4:G231)</f>
        <v>228</v>
      </c>
      <c r="I231" s="359" t="str">
        <f>IF('School Level Expenditures'!$B$2=A231,'School Tables'!H231,"")</f>
        <v/>
      </c>
      <c r="J231" s="359" t="str">
        <f>IFERROR(SMALL($I$4:$I$325,ROWS($I$4:I231)),"")</f>
        <v/>
      </c>
      <c r="K231" s="333" t="b">
        <f t="shared" si="8"/>
        <v>0</v>
      </c>
    </row>
    <row r="232" spans="1:11" ht="25.5" x14ac:dyDescent="0.2">
      <c r="A232" s="357">
        <v>543</v>
      </c>
      <c r="B232" s="357" t="s">
        <v>1453</v>
      </c>
      <c r="C232" s="357" t="s">
        <v>1454</v>
      </c>
      <c r="D232" s="357">
        <v>22110</v>
      </c>
      <c r="E232" s="357" t="s">
        <v>61</v>
      </c>
      <c r="F232" s="357">
        <v>101</v>
      </c>
      <c r="G232" s="357" t="s">
        <v>1753</v>
      </c>
      <c r="H232" s="359">
        <f>ROWS($G$4:G232)</f>
        <v>229</v>
      </c>
      <c r="I232" s="359" t="str">
        <f>IF('School Level Expenditures'!$B$2=A232,'School Tables'!H232,"")</f>
        <v/>
      </c>
      <c r="J232" s="359" t="str">
        <f>IFERROR(SMALL($I$4:$I$325,ROWS($I$4:I232)),"")</f>
        <v/>
      </c>
      <c r="K232" s="333" t="b">
        <f t="shared" si="8"/>
        <v>0</v>
      </c>
    </row>
    <row r="233" spans="1:11" ht="25.5" x14ac:dyDescent="0.2">
      <c r="A233" s="357">
        <v>449</v>
      </c>
      <c r="B233" s="357" t="s">
        <v>1363</v>
      </c>
      <c r="C233" s="357" t="s">
        <v>1561</v>
      </c>
      <c r="D233" s="357">
        <v>22560</v>
      </c>
      <c r="E233" s="357" t="s">
        <v>1554</v>
      </c>
      <c r="F233" s="357">
        <v>52</v>
      </c>
      <c r="G233" s="357" t="s">
        <v>1739</v>
      </c>
      <c r="H233" s="359">
        <f>ROWS($G$4:G233)</f>
        <v>230</v>
      </c>
      <c r="I233" s="359" t="str">
        <f>IF('School Level Expenditures'!$B$2=A233,'School Tables'!H233,"")</f>
        <v/>
      </c>
      <c r="J233" s="359" t="str">
        <f>IFERROR(SMALL($I$4:$I$325,ROWS($I$4:I233)),"")</f>
        <v/>
      </c>
      <c r="K233" s="333" t="b">
        <f t="shared" si="8"/>
        <v>0</v>
      </c>
    </row>
    <row r="234" spans="1:11" ht="25.5" x14ac:dyDescent="0.2">
      <c r="A234" s="357">
        <v>425</v>
      </c>
      <c r="B234" s="357" t="s">
        <v>1340</v>
      </c>
      <c r="C234" s="357" t="s">
        <v>1341</v>
      </c>
      <c r="D234" s="357">
        <v>27970</v>
      </c>
      <c r="E234" s="357" t="s">
        <v>61</v>
      </c>
      <c r="F234" s="357">
        <v>28</v>
      </c>
      <c r="G234" s="357" t="s">
        <v>1754</v>
      </c>
      <c r="H234" s="359">
        <f>ROWS($G$4:G234)</f>
        <v>231</v>
      </c>
      <c r="I234" s="359" t="str">
        <f>IF('School Level Expenditures'!$B$2=A234,'School Tables'!H234,"")</f>
        <v/>
      </c>
      <c r="J234" s="359" t="str">
        <f>IFERROR(SMALL($I$4:$I$325,ROWS($I$4:I234)),"")</f>
        <v/>
      </c>
      <c r="K234" s="333" t="b">
        <f t="shared" si="8"/>
        <v>0</v>
      </c>
    </row>
    <row r="235" spans="1:11" ht="25.5" x14ac:dyDescent="0.2">
      <c r="A235" s="357">
        <v>425</v>
      </c>
      <c r="B235" s="357" t="s">
        <v>1340</v>
      </c>
      <c r="C235" s="357" t="s">
        <v>1343</v>
      </c>
      <c r="D235" s="357">
        <v>21110</v>
      </c>
      <c r="E235" s="357" t="s">
        <v>61</v>
      </c>
      <c r="F235" s="357">
        <v>28</v>
      </c>
      <c r="G235" s="357" t="s">
        <v>1754</v>
      </c>
      <c r="H235" s="359">
        <f>ROWS($G$4:G235)</f>
        <v>232</v>
      </c>
      <c r="I235" s="359" t="str">
        <f>IF('School Level Expenditures'!$B$2=A235,'School Tables'!H235,"")</f>
        <v/>
      </c>
      <c r="J235" s="359" t="str">
        <f>IFERROR(SMALL($I$4:$I$325,ROWS($I$4:I235)),"")</f>
        <v/>
      </c>
      <c r="K235" s="333" t="b">
        <f t="shared" si="8"/>
        <v>0</v>
      </c>
    </row>
    <row r="236" spans="1:11" ht="25.5" x14ac:dyDescent="0.2">
      <c r="A236" s="357">
        <v>427</v>
      </c>
      <c r="B236" s="357" t="s">
        <v>1344</v>
      </c>
      <c r="C236" s="357" t="s">
        <v>1345</v>
      </c>
      <c r="D236" s="357">
        <v>22615</v>
      </c>
      <c r="E236" s="357" t="s">
        <v>61</v>
      </c>
      <c r="F236" s="357">
        <v>53</v>
      </c>
      <c r="G236" s="357" t="s">
        <v>1664</v>
      </c>
      <c r="H236" s="359">
        <f>ROWS($G$4:G236)</f>
        <v>233</v>
      </c>
      <c r="I236" s="359" t="str">
        <f>IF('School Level Expenditures'!$B$2=A236,'School Tables'!H236,"")</f>
        <v/>
      </c>
      <c r="J236" s="359" t="str">
        <f>IFERROR(SMALL($I$4:$I$325,ROWS($I$4:I236)),"")</f>
        <v/>
      </c>
      <c r="K236" s="333" t="b">
        <f t="shared" si="8"/>
        <v>0</v>
      </c>
    </row>
    <row r="237" spans="1:11" ht="38.25" x14ac:dyDescent="0.2">
      <c r="A237" s="357">
        <v>352</v>
      </c>
      <c r="B237" s="357" t="s">
        <v>1250</v>
      </c>
      <c r="C237" s="357" t="s">
        <v>1254</v>
      </c>
      <c r="D237" s="357">
        <v>22185</v>
      </c>
      <c r="E237" s="357" t="s">
        <v>61</v>
      </c>
      <c r="F237" s="357">
        <v>46</v>
      </c>
      <c r="G237" s="357" t="s">
        <v>1667</v>
      </c>
      <c r="H237" s="359">
        <f>ROWS($G$4:G237)</f>
        <v>234</v>
      </c>
      <c r="I237" s="359" t="str">
        <f>IF('School Level Expenditures'!$B$2=A237,'School Tables'!H237,"")</f>
        <v/>
      </c>
      <c r="J237" s="359" t="str">
        <f>IFERROR(SMALL($I$4:$I$325,ROWS($I$4:I237)),"")</f>
        <v/>
      </c>
      <c r="K237" s="333" t="b">
        <f t="shared" si="8"/>
        <v>0</v>
      </c>
    </row>
    <row r="238" spans="1:11" ht="25.5" x14ac:dyDescent="0.2">
      <c r="A238" s="357">
        <v>41</v>
      </c>
      <c r="B238" s="357" t="s">
        <v>934</v>
      </c>
      <c r="C238" s="357" t="s">
        <v>935</v>
      </c>
      <c r="D238" s="357">
        <v>21000</v>
      </c>
      <c r="E238" s="357" t="s">
        <v>61</v>
      </c>
      <c r="F238" s="357">
        <v>25</v>
      </c>
      <c r="G238" s="357" t="s">
        <v>1744</v>
      </c>
      <c r="H238" s="359">
        <f>ROWS($G$4:G238)</f>
        <v>235</v>
      </c>
      <c r="I238" s="359" t="str">
        <f>IF('School Level Expenditures'!$B$2=A238,'School Tables'!H238,"")</f>
        <v/>
      </c>
      <c r="J238" s="359" t="str">
        <f>IFERROR(SMALL($I$4:$I$325,ROWS($I$4:I238)),"")</f>
        <v/>
      </c>
      <c r="K238" s="333" t="b">
        <f t="shared" si="8"/>
        <v>0</v>
      </c>
    </row>
    <row r="239" spans="1:11" ht="38.25" x14ac:dyDescent="0.2">
      <c r="A239" s="357">
        <v>112</v>
      </c>
      <c r="B239" s="357" t="s">
        <v>977</v>
      </c>
      <c r="C239" s="357" t="s">
        <v>987</v>
      </c>
      <c r="D239" s="357">
        <v>22310</v>
      </c>
      <c r="E239" s="357" t="s">
        <v>61</v>
      </c>
      <c r="F239" s="357">
        <v>1</v>
      </c>
      <c r="G239" s="357" t="s">
        <v>1668</v>
      </c>
      <c r="H239" s="359">
        <f>ROWS($G$4:G239)</f>
        <v>236</v>
      </c>
      <c r="I239" s="359" t="str">
        <f>IF('School Level Expenditures'!$B$2=A239,'School Tables'!H239,"")</f>
        <v/>
      </c>
      <c r="J239" s="359" t="str">
        <f>IFERROR(SMALL($I$4:$I$325,ROWS($I$4:I239)),"")</f>
        <v/>
      </c>
      <c r="K239" s="333" t="b">
        <f t="shared" si="8"/>
        <v>0</v>
      </c>
    </row>
    <row r="240" spans="1:11" ht="38.25" x14ac:dyDescent="0.2">
      <c r="A240" s="357">
        <v>112</v>
      </c>
      <c r="B240" s="357" t="s">
        <v>977</v>
      </c>
      <c r="C240" s="357" t="s">
        <v>980</v>
      </c>
      <c r="D240" s="357">
        <v>22225</v>
      </c>
      <c r="E240" s="357" t="s">
        <v>61</v>
      </c>
      <c r="F240" s="357">
        <v>1</v>
      </c>
      <c r="G240" s="357" t="s">
        <v>1668</v>
      </c>
      <c r="H240" s="359">
        <f>ROWS($G$4:G240)</f>
        <v>237</v>
      </c>
      <c r="I240" s="359" t="str">
        <f>IF('School Level Expenditures'!$B$2=A240,'School Tables'!H240,"")</f>
        <v/>
      </c>
      <c r="J240" s="359" t="str">
        <f>IFERROR(SMALL($I$4:$I$325,ROWS($I$4:I240)),"")</f>
        <v/>
      </c>
      <c r="K240" s="333" t="b">
        <f t="shared" si="8"/>
        <v>0</v>
      </c>
    </row>
    <row r="241" spans="1:11" ht="38.25" x14ac:dyDescent="0.2">
      <c r="A241" s="357">
        <v>435</v>
      </c>
      <c r="B241" s="357" t="s">
        <v>1350</v>
      </c>
      <c r="C241" s="357" t="s">
        <v>1351</v>
      </c>
      <c r="D241" s="357">
        <v>20895</v>
      </c>
      <c r="E241" s="357" t="s">
        <v>61</v>
      </c>
      <c r="F241" s="357">
        <v>23</v>
      </c>
      <c r="G241" s="357" t="s">
        <v>1676</v>
      </c>
      <c r="H241" s="359">
        <f>ROWS($G$4:G241)</f>
        <v>238</v>
      </c>
      <c r="I241" s="359" t="str">
        <f>IF('School Level Expenditures'!$B$2=A241,'School Tables'!H241,"")</f>
        <v/>
      </c>
      <c r="J241" s="359" t="str">
        <f>IFERROR(SMALL($I$4:$I$325,ROWS($I$4:I241)),"")</f>
        <v/>
      </c>
      <c r="K241" s="333" t="b">
        <f t="shared" si="8"/>
        <v>0</v>
      </c>
    </row>
    <row r="242" spans="1:11" ht="25.5" x14ac:dyDescent="0.2">
      <c r="A242" s="357">
        <v>113</v>
      </c>
      <c r="B242" s="357" t="s">
        <v>989</v>
      </c>
      <c r="C242" s="357" t="s">
        <v>990</v>
      </c>
      <c r="D242" s="357">
        <v>20330</v>
      </c>
      <c r="E242" s="357" t="s">
        <v>61</v>
      </c>
      <c r="F242" s="357">
        <v>9</v>
      </c>
      <c r="G242" s="357" t="s">
        <v>1694</v>
      </c>
      <c r="H242" s="359">
        <f>ROWS($G$4:G242)</f>
        <v>239</v>
      </c>
      <c r="I242" s="359" t="str">
        <f>IF('School Level Expenditures'!$B$2=A242,'School Tables'!H242,"")</f>
        <v/>
      </c>
      <c r="J242" s="359" t="str">
        <f>IFERROR(SMALL($I$4:$I$325,ROWS($I$4:I242)),"")</f>
        <v/>
      </c>
      <c r="K242" s="333" t="b">
        <f t="shared" si="8"/>
        <v>0</v>
      </c>
    </row>
    <row r="243" spans="1:11" ht="25.5" x14ac:dyDescent="0.2">
      <c r="A243" s="357">
        <v>437</v>
      </c>
      <c r="B243" s="357" t="s">
        <v>1352</v>
      </c>
      <c r="C243" s="357" t="s">
        <v>1353</v>
      </c>
      <c r="D243" s="357">
        <v>20205</v>
      </c>
      <c r="E243" s="357" t="s">
        <v>61</v>
      </c>
      <c r="F243" s="357">
        <v>7</v>
      </c>
      <c r="G243" s="357" t="s">
        <v>1693</v>
      </c>
      <c r="H243" s="359">
        <f>ROWS($G$4:G243)</f>
        <v>240</v>
      </c>
      <c r="I243" s="359" t="str">
        <f>IF('School Level Expenditures'!$B$2=A243,'School Tables'!H243,"")</f>
        <v/>
      </c>
      <c r="J243" s="359" t="str">
        <f>IFERROR(SMALL($I$4:$I$325,ROWS($I$4:I243)),"")</f>
        <v/>
      </c>
      <c r="K243" s="333" t="b">
        <f t="shared" si="8"/>
        <v>0</v>
      </c>
    </row>
    <row r="244" spans="1:11" ht="25.5" x14ac:dyDescent="0.2">
      <c r="A244" s="357">
        <v>439</v>
      </c>
      <c r="B244" s="357" t="s">
        <v>1355</v>
      </c>
      <c r="C244" s="357" t="s">
        <v>1356</v>
      </c>
      <c r="D244" s="357">
        <v>26595</v>
      </c>
      <c r="E244" s="357" t="s">
        <v>61</v>
      </c>
      <c r="F244" s="357">
        <v>51</v>
      </c>
      <c r="G244" s="357" t="s">
        <v>1755</v>
      </c>
      <c r="H244" s="359">
        <f>ROWS($G$4:G244)</f>
        <v>241</v>
      </c>
      <c r="I244" s="359" t="str">
        <f>IF('School Level Expenditures'!$B$2=A244,'School Tables'!H244,"")</f>
        <v/>
      </c>
      <c r="J244" s="359" t="str">
        <f>IFERROR(SMALL($I$4:$I$325,ROWS($I$4:I244)),"")</f>
        <v/>
      </c>
      <c r="K244" s="333" t="b">
        <f t="shared" si="8"/>
        <v>0</v>
      </c>
    </row>
    <row r="245" spans="1:11" ht="25.5" x14ac:dyDescent="0.2">
      <c r="A245" s="357">
        <v>441</v>
      </c>
      <c r="B245" s="357" t="s">
        <v>1359</v>
      </c>
      <c r="C245" s="357" t="s">
        <v>1360</v>
      </c>
      <c r="D245" s="357">
        <v>21375</v>
      </c>
      <c r="E245" s="357" t="s">
        <v>61</v>
      </c>
      <c r="F245" s="357">
        <v>32</v>
      </c>
      <c r="G245" s="357" t="s">
        <v>1756</v>
      </c>
      <c r="H245" s="359">
        <f>ROWS($G$4:G245)</f>
        <v>242</v>
      </c>
      <c r="I245" s="359" t="str">
        <f>IF('School Level Expenditures'!$B$2=A245,'School Tables'!H245,"")</f>
        <v/>
      </c>
      <c r="J245" s="359" t="str">
        <f>IFERROR(SMALL($I$4:$I$325,ROWS($I$4:I245)),"")</f>
        <v/>
      </c>
      <c r="K245" s="333" t="b">
        <f t="shared" si="8"/>
        <v>0</v>
      </c>
    </row>
    <row r="246" spans="1:11" ht="25.5" x14ac:dyDescent="0.2">
      <c r="A246" s="357">
        <v>285</v>
      </c>
      <c r="B246" s="357" t="s">
        <v>1166</v>
      </c>
      <c r="C246" s="357" t="s">
        <v>1168</v>
      </c>
      <c r="D246" s="357">
        <v>21260</v>
      </c>
      <c r="E246" s="357" t="s">
        <v>61</v>
      </c>
      <c r="F246" s="357">
        <v>30</v>
      </c>
      <c r="G246" s="357" t="s">
        <v>1705</v>
      </c>
      <c r="H246" s="359">
        <f>ROWS($G$4:G246)</f>
        <v>243</v>
      </c>
      <c r="I246" s="359" t="str">
        <f>IF('School Level Expenditures'!$B$2=A246,'School Tables'!H246,"")</f>
        <v/>
      </c>
      <c r="J246" s="359" t="str">
        <f>IFERROR(SMALL($I$4:$I$325,ROWS($I$4:I246)),"")</f>
        <v/>
      </c>
      <c r="K246" s="333" t="b">
        <f t="shared" si="8"/>
        <v>0</v>
      </c>
    </row>
    <row r="247" spans="1:11" ht="25.5" x14ac:dyDescent="0.2">
      <c r="A247" s="357">
        <v>447</v>
      </c>
      <c r="B247" s="357" t="s">
        <v>1361</v>
      </c>
      <c r="C247" s="357" t="s">
        <v>1362</v>
      </c>
      <c r="D247" s="357">
        <v>22355</v>
      </c>
      <c r="E247" s="357" t="s">
        <v>61</v>
      </c>
      <c r="F247" s="357">
        <v>48</v>
      </c>
      <c r="G247" s="357" t="s">
        <v>1684</v>
      </c>
      <c r="H247" s="359">
        <f>ROWS($G$4:G247)</f>
        <v>244</v>
      </c>
      <c r="I247" s="359" t="str">
        <f>IF('School Level Expenditures'!$B$2=A247,'School Tables'!H247,"")</f>
        <v/>
      </c>
      <c r="J247" s="359" t="str">
        <f>IFERROR(SMALL($I$4:$I$325,ROWS($I$4:I247)),"")</f>
        <v/>
      </c>
      <c r="K247" s="333" t="b">
        <f t="shared" si="8"/>
        <v>0</v>
      </c>
    </row>
    <row r="248" spans="1:11" ht="38.25" x14ac:dyDescent="0.2">
      <c r="A248" s="357">
        <v>735</v>
      </c>
      <c r="B248" s="357" t="s">
        <v>1521</v>
      </c>
      <c r="C248" s="357" t="s">
        <v>1521</v>
      </c>
      <c r="D248" s="357">
        <v>29065</v>
      </c>
      <c r="E248" s="357" t="s">
        <v>61</v>
      </c>
      <c r="F248" s="357">
        <v>419</v>
      </c>
      <c r="G248" s="357" t="s">
        <v>1521</v>
      </c>
      <c r="H248" s="359">
        <f>ROWS($G$4:G248)</f>
        <v>245</v>
      </c>
      <c r="I248" s="359" t="str">
        <f>IF('School Level Expenditures'!$B$2=A248,'School Tables'!H248,"")</f>
        <v/>
      </c>
      <c r="J248" s="359" t="str">
        <f>IFERROR(SMALL($I$4:$I$325,ROWS($I$4:I248)),"")</f>
        <v/>
      </c>
      <c r="K248" s="333" t="b">
        <f t="shared" si="8"/>
        <v>0</v>
      </c>
    </row>
    <row r="249" spans="1:11" ht="38.25" x14ac:dyDescent="0.2">
      <c r="A249" s="357">
        <v>534</v>
      </c>
      <c r="B249" s="357" t="s">
        <v>1443</v>
      </c>
      <c r="C249" s="357" t="s">
        <v>1448</v>
      </c>
      <c r="D249" s="357">
        <v>22765</v>
      </c>
      <c r="E249" s="357" t="s">
        <v>61</v>
      </c>
      <c r="F249" s="357">
        <v>106</v>
      </c>
      <c r="G249" s="357" t="s">
        <v>1670</v>
      </c>
      <c r="H249" s="359">
        <f>ROWS($G$4:G249)</f>
        <v>246</v>
      </c>
      <c r="I249" s="359" t="str">
        <f>IF('School Level Expenditures'!$B$2=A249,'School Tables'!H249,"")</f>
        <v/>
      </c>
      <c r="J249" s="359" t="str">
        <f>IFERROR(SMALL($I$4:$I$325,ROWS($I$4:I249)),"")</f>
        <v/>
      </c>
      <c r="K249" s="333" t="b">
        <f t="shared" si="8"/>
        <v>0</v>
      </c>
    </row>
    <row r="250" spans="1:11" ht="25.5" x14ac:dyDescent="0.2">
      <c r="A250" s="357">
        <v>371</v>
      </c>
      <c r="B250" s="357" t="s">
        <v>1283</v>
      </c>
      <c r="C250" s="357" t="s">
        <v>1559</v>
      </c>
      <c r="D250" s="357">
        <v>28610</v>
      </c>
      <c r="E250" s="357" t="s">
        <v>1554</v>
      </c>
      <c r="F250" s="357">
        <v>42</v>
      </c>
      <c r="G250" s="357" t="s">
        <v>1666</v>
      </c>
      <c r="H250" s="359">
        <f>ROWS($G$4:G250)</f>
        <v>247</v>
      </c>
      <c r="I250" s="359" t="str">
        <f>IF('School Level Expenditures'!$B$2=A250,'School Tables'!H250,"")</f>
        <v/>
      </c>
      <c r="J250" s="359" t="str">
        <f>IFERROR(SMALL($I$4:$I$325,ROWS($I$4:I250)),"")</f>
        <v/>
      </c>
      <c r="K250" s="333" t="b">
        <f t="shared" si="8"/>
        <v>0</v>
      </c>
    </row>
    <row r="251" spans="1:11" ht="25.5" x14ac:dyDescent="0.2">
      <c r="A251" s="357">
        <v>351</v>
      </c>
      <c r="B251" s="357" t="s">
        <v>1243</v>
      </c>
      <c r="C251" s="357" t="s">
        <v>1245</v>
      </c>
      <c r="D251" s="357">
        <v>21015</v>
      </c>
      <c r="E251" s="357" t="s">
        <v>61</v>
      </c>
      <c r="F251" s="357">
        <v>26</v>
      </c>
      <c r="G251" s="357" t="s">
        <v>1732</v>
      </c>
      <c r="H251" s="359">
        <f>ROWS($G$4:G251)</f>
        <v>248</v>
      </c>
      <c r="I251" s="359" t="str">
        <f>IF('School Level Expenditures'!$B$2=A251,'School Tables'!H251,"")</f>
        <v/>
      </c>
      <c r="J251" s="359" t="str">
        <f>IFERROR(SMALL($I$4:$I$325,ROWS($I$4:I251)),"")</f>
        <v/>
      </c>
      <c r="K251" s="333" t="b">
        <f t="shared" si="8"/>
        <v>0</v>
      </c>
    </row>
    <row r="252" spans="1:11" ht="38.25" x14ac:dyDescent="0.2">
      <c r="A252" s="357">
        <v>71</v>
      </c>
      <c r="B252" s="357" t="s">
        <v>950</v>
      </c>
      <c r="C252" s="357" t="s">
        <v>952</v>
      </c>
      <c r="D252" s="357">
        <v>21800</v>
      </c>
      <c r="E252" s="357" t="s">
        <v>61</v>
      </c>
      <c r="F252" s="357">
        <v>41</v>
      </c>
      <c r="G252" s="357" t="s">
        <v>1686</v>
      </c>
      <c r="H252" s="359">
        <f>ROWS($G$4:G252)</f>
        <v>249</v>
      </c>
      <c r="I252" s="359" t="str">
        <f>IF('School Level Expenditures'!$B$2=A252,'School Tables'!H252,"")</f>
        <v/>
      </c>
      <c r="J252" s="359" t="str">
        <f>IFERROR(SMALL($I$4:$I$325,ROWS($I$4:I252)),"")</f>
        <v/>
      </c>
      <c r="K252" s="333" t="b">
        <f t="shared" si="8"/>
        <v>0</v>
      </c>
    </row>
    <row r="253" spans="1:11" ht="25.5" x14ac:dyDescent="0.2">
      <c r="A253" s="357">
        <v>401</v>
      </c>
      <c r="B253" s="357" t="s">
        <v>1321</v>
      </c>
      <c r="C253" s="357" t="s">
        <v>1324</v>
      </c>
      <c r="D253" s="357">
        <v>21995</v>
      </c>
      <c r="E253" s="357" t="s">
        <v>61</v>
      </c>
      <c r="F253" s="357">
        <v>43</v>
      </c>
      <c r="G253" s="357" t="s">
        <v>1757</v>
      </c>
      <c r="H253" s="359">
        <f>ROWS($G$4:G253)</f>
        <v>250</v>
      </c>
      <c r="I253" s="359" t="str">
        <f>IF('School Level Expenditures'!$B$2=A253,'School Tables'!H253,"")</f>
        <v/>
      </c>
      <c r="J253" s="359" t="str">
        <f>IFERROR(SMALL($I$4:$I$325,ROWS($I$4:I253)),"")</f>
        <v/>
      </c>
      <c r="K253" s="333" t="b">
        <f t="shared" si="8"/>
        <v>0</v>
      </c>
    </row>
    <row r="254" spans="1:11" ht="25.5" x14ac:dyDescent="0.2">
      <c r="A254" s="357">
        <v>41</v>
      </c>
      <c r="B254" s="357" t="s">
        <v>934</v>
      </c>
      <c r="C254" s="357" t="s">
        <v>937</v>
      </c>
      <c r="D254" s="357">
        <v>27680</v>
      </c>
      <c r="E254" s="357" t="s">
        <v>61</v>
      </c>
      <c r="F254" s="357">
        <v>25</v>
      </c>
      <c r="G254" s="357" t="s">
        <v>1744</v>
      </c>
      <c r="H254" s="359">
        <f>ROWS($G$4:G254)</f>
        <v>251</v>
      </c>
      <c r="I254" s="359" t="str">
        <f>IF('School Level Expenditures'!$B$2=A254,'School Tables'!H254,"")</f>
        <v/>
      </c>
      <c r="J254" s="359" t="str">
        <f>IFERROR(SMALL($I$4:$I$325,ROWS($I$4:I254)),"")</f>
        <v/>
      </c>
      <c r="K254" s="333" t="b">
        <f t="shared" si="8"/>
        <v>0</v>
      </c>
    </row>
    <row r="255" spans="1:11" ht="25.5" x14ac:dyDescent="0.2">
      <c r="A255" s="357">
        <v>274</v>
      </c>
      <c r="B255" s="357" t="s">
        <v>1143</v>
      </c>
      <c r="C255" s="357" t="s">
        <v>1144</v>
      </c>
      <c r="D255" s="357">
        <v>22320</v>
      </c>
      <c r="E255" s="357" t="s">
        <v>61</v>
      </c>
      <c r="F255" s="357">
        <v>47</v>
      </c>
      <c r="G255" s="357" t="s">
        <v>1730</v>
      </c>
      <c r="H255" s="359">
        <f>ROWS($G$4:G255)</f>
        <v>252</v>
      </c>
      <c r="I255" s="359" t="str">
        <f>IF('School Level Expenditures'!$B$2=A255,'School Tables'!H255,"")</f>
        <v/>
      </c>
      <c r="J255" s="359" t="str">
        <f>IFERROR(SMALL($I$4:$I$325,ROWS($I$4:I255)),"")</f>
        <v/>
      </c>
      <c r="K255" s="333" t="b">
        <f t="shared" si="8"/>
        <v>0</v>
      </c>
    </row>
    <row r="256" spans="1:11" ht="38.25" x14ac:dyDescent="0.2">
      <c r="A256" s="357">
        <v>457</v>
      </c>
      <c r="B256" s="357" t="s">
        <v>1618</v>
      </c>
      <c r="C256" s="357" t="s">
        <v>1619</v>
      </c>
      <c r="D256" s="357">
        <v>29196</v>
      </c>
      <c r="E256" s="357" t="s">
        <v>61</v>
      </c>
      <c r="F256" s="357">
        <v>78</v>
      </c>
      <c r="G256" s="357" t="s">
        <v>1758</v>
      </c>
      <c r="H256" s="359">
        <f>ROWS($G$4:G256)</f>
        <v>253</v>
      </c>
      <c r="I256" s="359" t="str">
        <f>IF('School Level Expenditures'!$B$2=A256,'School Tables'!H256,"")</f>
        <v/>
      </c>
      <c r="J256" s="359" t="str">
        <f>IFERROR(SMALL($I$4:$I$325,ROWS($I$4:I256)),"")</f>
        <v/>
      </c>
      <c r="K256" s="333" t="b">
        <f t="shared" si="8"/>
        <v>0</v>
      </c>
    </row>
    <row r="257" spans="1:11" ht="38.25" x14ac:dyDescent="0.2">
      <c r="A257" s="357">
        <v>737</v>
      </c>
      <c r="B257" s="357" t="s">
        <v>1522</v>
      </c>
      <c r="C257" s="357" t="s">
        <v>1522</v>
      </c>
      <c r="D257" s="357">
        <v>29070</v>
      </c>
      <c r="E257" s="357" t="s">
        <v>61</v>
      </c>
      <c r="F257" s="357">
        <v>420</v>
      </c>
      <c r="G257" s="357" t="s">
        <v>1522</v>
      </c>
      <c r="H257" s="359">
        <f>ROWS($G$4:G257)</f>
        <v>254</v>
      </c>
      <c r="I257" s="359" t="str">
        <f>IF('School Level Expenditures'!$B$2=A257,'School Tables'!H257,"")</f>
        <v/>
      </c>
      <c r="J257" s="359" t="str">
        <f>IFERROR(SMALL($I$4:$I$325,ROWS($I$4:I257)),"")</f>
        <v/>
      </c>
      <c r="K257" s="333" t="b">
        <f t="shared" si="8"/>
        <v>0</v>
      </c>
    </row>
    <row r="258" spans="1:11" ht="25.5" x14ac:dyDescent="0.2">
      <c r="A258" s="357">
        <v>463</v>
      </c>
      <c r="B258" s="357" t="s">
        <v>1388</v>
      </c>
      <c r="C258" s="357" t="s">
        <v>1389</v>
      </c>
      <c r="D258" s="357">
        <v>22810</v>
      </c>
      <c r="E258" s="357" t="s">
        <v>61</v>
      </c>
      <c r="F258" s="357">
        <v>104</v>
      </c>
      <c r="G258" s="357" t="s">
        <v>1759</v>
      </c>
      <c r="H258" s="359">
        <f>ROWS($G$4:G258)</f>
        <v>255</v>
      </c>
      <c r="I258" s="359" t="str">
        <f>IF('School Level Expenditures'!$B$2=A258,'School Tables'!H258,"")</f>
        <v/>
      </c>
      <c r="J258" s="359" t="str">
        <f>IFERROR(SMALL($I$4:$I$325,ROWS($I$4:I258)),"")</f>
        <v/>
      </c>
      <c r="K258" s="333" t="b">
        <f t="shared" si="8"/>
        <v>0</v>
      </c>
    </row>
    <row r="259" spans="1:11" ht="25.5" x14ac:dyDescent="0.2">
      <c r="A259" s="357">
        <v>467</v>
      </c>
      <c r="B259" s="357" t="s">
        <v>1390</v>
      </c>
      <c r="C259" s="357" t="s">
        <v>1391</v>
      </c>
      <c r="D259" s="357">
        <v>22375</v>
      </c>
      <c r="E259" s="357" t="s">
        <v>61</v>
      </c>
      <c r="F259" s="357">
        <v>48</v>
      </c>
      <c r="G259" s="357" t="s">
        <v>1684</v>
      </c>
      <c r="H259" s="359">
        <f>ROWS($G$4:G259)</f>
        <v>256</v>
      </c>
      <c r="I259" s="359" t="str">
        <f>IF('School Level Expenditures'!$B$2=A259,'School Tables'!H259,"")</f>
        <v/>
      </c>
      <c r="J259" s="359" t="str">
        <f>IFERROR(SMALL($I$4:$I$325,ROWS($I$4:I259)),"")</f>
        <v/>
      </c>
      <c r="K259" s="333" t="b">
        <f t="shared" si="8"/>
        <v>0</v>
      </c>
    </row>
    <row r="260" spans="1:11" ht="25.5" x14ac:dyDescent="0.2">
      <c r="A260" s="357">
        <v>471</v>
      </c>
      <c r="B260" s="357" t="s">
        <v>1392</v>
      </c>
      <c r="C260" s="357" t="s">
        <v>1394</v>
      </c>
      <c r="D260" s="357">
        <v>22475</v>
      </c>
      <c r="E260" s="357" t="s">
        <v>61</v>
      </c>
      <c r="F260" s="357">
        <v>50</v>
      </c>
      <c r="G260" s="357" t="s">
        <v>1718</v>
      </c>
      <c r="H260" s="359">
        <f>ROWS($G$4:G260)</f>
        <v>257</v>
      </c>
      <c r="I260" s="359" t="str">
        <f>IF('School Level Expenditures'!$B$2=A260,'School Tables'!H260,"")</f>
        <v/>
      </c>
      <c r="J260" s="359" t="str">
        <f>IFERROR(SMALL($I$4:$I$325,ROWS($I$4:I260)),"")</f>
        <v/>
      </c>
      <c r="K260" s="333" t="b">
        <f t="shared" si="8"/>
        <v>0</v>
      </c>
    </row>
    <row r="261" spans="1:11" ht="25.5" x14ac:dyDescent="0.2">
      <c r="A261" s="357">
        <v>471</v>
      </c>
      <c r="B261" s="357" t="s">
        <v>1392</v>
      </c>
      <c r="C261" s="357" t="s">
        <v>1393</v>
      </c>
      <c r="D261" s="357">
        <v>22470</v>
      </c>
      <c r="E261" s="357" t="s">
        <v>61</v>
      </c>
      <c r="F261" s="357">
        <v>50</v>
      </c>
      <c r="G261" s="357" t="s">
        <v>1718</v>
      </c>
      <c r="H261" s="359">
        <f>ROWS($G$4:G261)</f>
        <v>258</v>
      </c>
      <c r="I261" s="359" t="str">
        <f>IF('School Level Expenditures'!$B$2=A261,'School Tables'!H261,"")</f>
        <v/>
      </c>
      <c r="J261" s="359" t="str">
        <f>IFERROR(SMALL($I$4:$I$325,ROWS($I$4:I261)),"")</f>
        <v/>
      </c>
      <c r="K261" s="333" t="b">
        <f t="shared" ref="K261:K324" si="9">C261=C262</f>
        <v>0</v>
      </c>
    </row>
    <row r="262" spans="1:11" ht="25.5" x14ac:dyDescent="0.2">
      <c r="A262" s="357">
        <v>473</v>
      </c>
      <c r="B262" s="357" t="s">
        <v>1395</v>
      </c>
      <c r="C262" s="357" t="s">
        <v>1606</v>
      </c>
      <c r="D262" s="357">
        <v>29225</v>
      </c>
      <c r="E262" s="357" t="s">
        <v>1554</v>
      </c>
      <c r="F262" s="357">
        <v>57</v>
      </c>
      <c r="G262" s="357" t="s">
        <v>1701</v>
      </c>
      <c r="H262" s="359">
        <f>ROWS($G$4:G262)</f>
        <v>259</v>
      </c>
      <c r="I262" s="359" t="str">
        <f>IF('School Level Expenditures'!$B$2=A262,'School Tables'!H262,"")</f>
        <v/>
      </c>
      <c r="J262" s="359" t="str">
        <f>IFERROR(SMALL($I$4:$I$325,ROWS($I$4:I262)),"")</f>
        <v/>
      </c>
      <c r="K262" s="333" t="b">
        <f t="shared" si="9"/>
        <v>0</v>
      </c>
    </row>
    <row r="263" spans="1:11" ht="38.25" x14ac:dyDescent="0.2">
      <c r="A263" s="357">
        <v>352</v>
      </c>
      <c r="B263" s="357" t="s">
        <v>1250</v>
      </c>
      <c r="C263" s="357" t="s">
        <v>1256</v>
      </c>
      <c r="D263" s="357">
        <v>22200</v>
      </c>
      <c r="E263" s="357" t="s">
        <v>61</v>
      </c>
      <c r="F263" s="357">
        <v>46</v>
      </c>
      <c r="G263" s="357" t="s">
        <v>1667</v>
      </c>
      <c r="H263" s="359">
        <f>ROWS($G$4:G263)</f>
        <v>260</v>
      </c>
      <c r="I263" s="359" t="str">
        <f>IF('School Level Expenditures'!$B$2=A263,'School Tables'!H263,"")</f>
        <v/>
      </c>
      <c r="J263" s="359" t="str">
        <f>IFERROR(SMALL($I$4:$I$325,ROWS($I$4:I263)),"")</f>
        <v/>
      </c>
      <c r="K263" s="333" t="b">
        <f t="shared" si="9"/>
        <v>0</v>
      </c>
    </row>
    <row r="264" spans="1:11" ht="38.25" x14ac:dyDescent="0.2">
      <c r="A264" s="357">
        <v>582</v>
      </c>
      <c r="B264" s="357" t="s">
        <v>1485</v>
      </c>
      <c r="C264" s="357" t="s">
        <v>1486</v>
      </c>
      <c r="D264" s="357">
        <v>22925</v>
      </c>
      <c r="E264" s="357" t="s">
        <v>61</v>
      </c>
      <c r="F264" s="357">
        <v>59</v>
      </c>
      <c r="G264" s="357" t="s">
        <v>1760</v>
      </c>
      <c r="H264" s="359">
        <f>ROWS($G$4:G264)</f>
        <v>261</v>
      </c>
      <c r="I264" s="359" t="str">
        <f>IF('School Level Expenditures'!$B$2=A264,'School Tables'!H264,"")</f>
        <v/>
      </c>
      <c r="J264" s="359" t="str">
        <f>IFERROR(SMALL($I$4:$I$325,ROWS($I$4:I264)),"")</f>
        <v/>
      </c>
      <c r="K264" s="333" t="b">
        <f t="shared" si="9"/>
        <v>0</v>
      </c>
    </row>
    <row r="265" spans="1:11" ht="38.25" x14ac:dyDescent="0.2">
      <c r="A265" s="357">
        <v>534</v>
      </c>
      <c r="B265" s="357" t="s">
        <v>1443</v>
      </c>
      <c r="C265" s="357" t="s">
        <v>1450</v>
      </c>
      <c r="D265" s="357">
        <v>22775</v>
      </c>
      <c r="E265" s="357" t="s">
        <v>61</v>
      </c>
      <c r="F265" s="357">
        <v>106</v>
      </c>
      <c r="G265" s="357" t="s">
        <v>1670</v>
      </c>
      <c r="H265" s="359">
        <f>ROWS($G$4:G265)</f>
        <v>262</v>
      </c>
      <c r="I265" s="359" t="str">
        <f>IF('School Level Expenditures'!$B$2=A265,'School Tables'!H265,"")</f>
        <v/>
      </c>
      <c r="J265" s="359" t="str">
        <f>IFERROR(SMALL($I$4:$I$325,ROWS($I$4:I265)),"")</f>
        <v/>
      </c>
      <c r="K265" s="333" t="b">
        <f t="shared" si="9"/>
        <v>0</v>
      </c>
    </row>
    <row r="266" spans="1:11" ht="38.25" x14ac:dyDescent="0.2">
      <c r="A266" s="357">
        <v>534</v>
      </c>
      <c r="B266" s="357" t="s">
        <v>1443</v>
      </c>
      <c r="C266" s="357" t="s">
        <v>1444</v>
      </c>
      <c r="D266" s="357">
        <v>27910</v>
      </c>
      <c r="E266" s="357" t="s">
        <v>61</v>
      </c>
      <c r="F266" s="357">
        <v>106</v>
      </c>
      <c r="G266" s="357" t="s">
        <v>1670</v>
      </c>
      <c r="H266" s="359">
        <f>ROWS($G$4:G266)</f>
        <v>263</v>
      </c>
      <c r="I266" s="359" t="str">
        <f>IF('School Level Expenditures'!$B$2=A266,'School Tables'!H266,"")</f>
        <v/>
      </c>
      <c r="J266" s="359" t="str">
        <f>IFERROR(SMALL($I$4:$I$325,ROWS($I$4:I266)),"")</f>
        <v/>
      </c>
      <c r="K266" s="333" t="b">
        <f t="shared" si="9"/>
        <v>0</v>
      </c>
    </row>
    <row r="267" spans="1:11" ht="38.25" x14ac:dyDescent="0.2">
      <c r="A267" s="357">
        <v>269</v>
      </c>
      <c r="B267" s="357" t="s">
        <v>1136</v>
      </c>
      <c r="C267" s="357" t="s">
        <v>1140</v>
      </c>
      <c r="D267" s="357">
        <v>20040</v>
      </c>
      <c r="E267" s="357" t="s">
        <v>61</v>
      </c>
      <c r="F267" s="357">
        <v>2</v>
      </c>
      <c r="G267" s="357" t="s">
        <v>1669</v>
      </c>
      <c r="H267" s="359">
        <f>ROWS($G$4:G267)</f>
        <v>264</v>
      </c>
      <c r="I267" s="359" t="str">
        <f>IF('School Level Expenditures'!$B$2=A267,'School Tables'!H267,"")</f>
        <v/>
      </c>
      <c r="J267" s="359" t="str">
        <f>IFERROR(SMALL($I$4:$I$325,ROWS($I$4:I267)),"")</f>
        <v/>
      </c>
      <c r="K267" s="333" t="b">
        <f t="shared" si="9"/>
        <v>0</v>
      </c>
    </row>
    <row r="268" spans="1:11" ht="38.25" x14ac:dyDescent="0.2">
      <c r="A268" s="357">
        <v>174</v>
      </c>
      <c r="B268" s="357" t="s">
        <v>1033</v>
      </c>
      <c r="C268" s="357" t="s">
        <v>1041</v>
      </c>
      <c r="D268" s="357">
        <v>22995</v>
      </c>
      <c r="E268" s="357" t="s">
        <v>61</v>
      </c>
      <c r="F268" s="357">
        <v>60</v>
      </c>
      <c r="G268" s="357" t="s">
        <v>1662</v>
      </c>
      <c r="H268" s="359">
        <f>ROWS($G$4:G268)</f>
        <v>265</v>
      </c>
      <c r="I268" s="359" t="str">
        <f>IF('School Level Expenditures'!$B$2=A268,'School Tables'!H268,"")</f>
        <v/>
      </c>
      <c r="J268" s="359" t="str">
        <f>IFERROR(SMALL($I$4:$I$325,ROWS($I$4:I268)),"")</f>
        <v/>
      </c>
      <c r="K268" s="333" t="b">
        <f t="shared" si="9"/>
        <v>0</v>
      </c>
    </row>
    <row r="269" spans="1:11" ht="25.5" x14ac:dyDescent="0.2">
      <c r="A269" s="357">
        <v>461</v>
      </c>
      <c r="B269" s="357" t="s">
        <v>1376</v>
      </c>
      <c r="C269" s="357" t="s">
        <v>1385</v>
      </c>
      <c r="D269" s="357">
        <v>22720</v>
      </c>
      <c r="E269" s="357" t="s">
        <v>61</v>
      </c>
      <c r="F269" s="357">
        <v>54</v>
      </c>
      <c r="G269" s="357" t="s">
        <v>1689</v>
      </c>
      <c r="H269" s="359">
        <f>ROWS($G$4:G269)</f>
        <v>266</v>
      </c>
      <c r="I269" s="359" t="str">
        <f>IF('School Level Expenditures'!$B$2=A269,'School Tables'!H269,"")</f>
        <v/>
      </c>
      <c r="J269" s="359" t="str">
        <f>IFERROR(SMALL($I$4:$I$325,ROWS($I$4:I269)),"")</f>
        <v/>
      </c>
      <c r="K269" s="333" t="b">
        <f t="shared" si="9"/>
        <v>0</v>
      </c>
    </row>
    <row r="270" spans="1:11" ht="25.5" x14ac:dyDescent="0.2">
      <c r="A270" s="357">
        <v>485</v>
      </c>
      <c r="B270" s="357" t="s">
        <v>1407</v>
      </c>
      <c r="C270" s="357" t="s">
        <v>1409</v>
      </c>
      <c r="D270" s="357">
        <v>20810</v>
      </c>
      <c r="E270" s="357" t="s">
        <v>61</v>
      </c>
      <c r="F270" s="357">
        <v>21</v>
      </c>
      <c r="G270" s="357" t="s">
        <v>1737</v>
      </c>
      <c r="H270" s="359">
        <f>ROWS($G$4:G270)</f>
        <v>267</v>
      </c>
      <c r="I270" s="359" t="str">
        <f>IF('School Level Expenditures'!$B$2=A270,'School Tables'!H270,"")</f>
        <v/>
      </c>
      <c r="J270" s="359" t="str">
        <f>IFERROR(SMALL($I$4:$I$325,ROWS($I$4:I270)),"")</f>
        <v/>
      </c>
      <c r="K270" s="333" t="b">
        <f t="shared" si="9"/>
        <v>0</v>
      </c>
    </row>
    <row r="271" spans="1:11" ht="25.5" x14ac:dyDescent="0.2">
      <c r="A271" s="357">
        <v>485</v>
      </c>
      <c r="B271" s="357" t="s">
        <v>1407</v>
      </c>
      <c r="C271" s="357" t="s">
        <v>1408</v>
      </c>
      <c r="D271" s="357">
        <v>27995</v>
      </c>
      <c r="E271" s="357" t="s">
        <v>61</v>
      </c>
      <c r="F271" s="357">
        <v>21</v>
      </c>
      <c r="G271" s="357" t="s">
        <v>1737</v>
      </c>
      <c r="H271" s="359">
        <f>ROWS($G$4:G271)</f>
        <v>268</v>
      </c>
      <c r="I271" s="359" t="str">
        <f>IF('School Level Expenditures'!$B$2=A271,'School Tables'!H271,"")</f>
        <v/>
      </c>
      <c r="J271" s="359" t="str">
        <f>IFERROR(SMALL($I$4:$I$325,ROWS($I$4:I271)),"")</f>
        <v/>
      </c>
      <c r="K271" s="333" t="b">
        <f t="shared" si="9"/>
        <v>0</v>
      </c>
    </row>
    <row r="272" spans="1:11" ht="38.25" x14ac:dyDescent="0.2">
      <c r="A272" s="357">
        <v>705</v>
      </c>
      <c r="B272" s="357" t="s">
        <v>1496</v>
      </c>
      <c r="C272" s="357" t="s">
        <v>1496</v>
      </c>
      <c r="D272" s="357">
        <v>28400</v>
      </c>
      <c r="E272" s="357" t="s">
        <v>61</v>
      </c>
      <c r="F272" s="357">
        <v>403</v>
      </c>
      <c r="G272" s="357" t="s">
        <v>1496</v>
      </c>
      <c r="H272" s="359">
        <f>ROWS($G$4:G272)</f>
        <v>269</v>
      </c>
      <c r="I272" s="359" t="str">
        <f>IF('School Level Expenditures'!$B$2=A272,'School Tables'!H272,"")</f>
        <v/>
      </c>
      <c r="J272" s="359" t="str">
        <f>IFERROR(SMALL($I$4:$I$325,ROWS($I$4:I272)),"")</f>
        <v/>
      </c>
      <c r="K272" s="333" t="b">
        <f t="shared" si="9"/>
        <v>0</v>
      </c>
    </row>
    <row r="273" spans="1:11" ht="38.25" x14ac:dyDescent="0.2">
      <c r="A273" s="357">
        <v>276</v>
      </c>
      <c r="B273" s="357" t="s">
        <v>1150</v>
      </c>
      <c r="C273" s="357" t="s">
        <v>1153</v>
      </c>
      <c r="D273" s="357">
        <v>22020</v>
      </c>
      <c r="E273" s="357" t="s">
        <v>61</v>
      </c>
      <c r="F273" s="357">
        <v>65</v>
      </c>
      <c r="G273" s="357" t="s">
        <v>1731</v>
      </c>
      <c r="H273" s="359">
        <f>ROWS($G$4:G273)</f>
        <v>270</v>
      </c>
      <c r="I273" s="359" t="str">
        <f>IF('School Level Expenditures'!$B$2=A273,'School Tables'!H273,"")</f>
        <v/>
      </c>
      <c r="J273" s="359" t="str">
        <f>IFERROR(SMALL($I$4:$I$325,ROWS($I$4:I273)),"")</f>
        <v/>
      </c>
      <c r="K273" s="333" t="b">
        <f t="shared" si="9"/>
        <v>0</v>
      </c>
    </row>
    <row r="274" spans="1:11" ht="25.5" x14ac:dyDescent="0.2">
      <c r="A274" s="357">
        <v>335</v>
      </c>
      <c r="B274" s="357" t="s">
        <v>906</v>
      </c>
      <c r="C274" s="357" t="s">
        <v>1223</v>
      </c>
      <c r="D274" s="357">
        <v>21605</v>
      </c>
      <c r="E274" s="357" t="s">
        <v>61</v>
      </c>
      <c r="F274" s="357">
        <v>37</v>
      </c>
      <c r="G274" s="357" t="s">
        <v>1672</v>
      </c>
      <c r="H274" s="359">
        <f>ROWS($G$4:G274)</f>
        <v>271</v>
      </c>
      <c r="I274" s="359" t="str">
        <f>IF('School Level Expenditures'!$B$2=A274,'School Tables'!H274,"")</f>
        <v/>
      </c>
      <c r="J274" s="359" t="str">
        <f>IFERROR(SMALL($I$4:$I$325,ROWS($I$4:I274)),"")</f>
        <v/>
      </c>
      <c r="K274" s="333" t="b">
        <f t="shared" si="9"/>
        <v>0</v>
      </c>
    </row>
    <row r="275" spans="1:11" ht="25.5" x14ac:dyDescent="0.2">
      <c r="A275" s="357">
        <v>495</v>
      </c>
      <c r="B275" s="357" t="s">
        <v>1422</v>
      </c>
      <c r="C275" s="357" t="s">
        <v>1423</v>
      </c>
      <c r="D275" s="357">
        <v>20815</v>
      </c>
      <c r="E275" s="357" t="s">
        <v>61</v>
      </c>
      <c r="F275" s="357">
        <v>21</v>
      </c>
      <c r="G275" s="357" t="s">
        <v>1737</v>
      </c>
      <c r="H275" s="359">
        <f>ROWS($G$4:G275)</f>
        <v>272</v>
      </c>
      <c r="I275" s="359" t="str">
        <f>IF('School Level Expenditures'!$B$2=A275,'School Tables'!H275,"")</f>
        <v/>
      </c>
      <c r="J275" s="359" t="str">
        <f>IFERROR(SMALL($I$4:$I$325,ROWS($I$4:I275)),"")</f>
        <v/>
      </c>
      <c r="K275" s="333" t="b">
        <f t="shared" si="9"/>
        <v>0</v>
      </c>
    </row>
    <row r="276" spans="1:11" ht="25.5" x14ac:dyDescent="0.2">
      <c r="A276" s="357">
        <v>319</v>
      </c>
      <c r="B276" s="357" t="s">
        <v>1199</v>
      </c>
      <c r="C276" s="357" t="s">
        <v>1202</v>
      </c>
      <c r="D276" s="357">
        <v>20475</v>
      </c>
      <c r="E276" s="357" t="s">
        <v>61</v>
      </c>
      <c r="F276" s="357">
        <v>12</v>
      </c>
      <c r="G276" s="357" t="s">
        <v>1743</v>
      </c>
      <c r="H276" s="359">
        <f>ROWS($G$4:G276)</f>
        <v>273</v>
      </c>
      <c r="I276" s="359" t="str">
        <f>IF('School Level Expenditures'!$B$2=A276,'School Tables'!H276,"")</f>
        <v/>
      </c>
      <c r="J276" s="359" t="str">
        <f>IFERROR(SMALL($I$4:$I$325,ROWS($I$4:I276)),"")</f>
        <v/>
      </c>
      <c r="K276" s="333" t="b">
        <f t="shared" si="9"/>
        <v>0</v>
      </c>
    </row>
    <row r="277" spans="1:11" ht="38.25" x14ac:dyDescent="0.2">
      <c r="A277" s="357">
        <v>131</v>
      </c>
      <c r="B277" s="357" t="s">
        <v>1000</v>
      </c>
      <c r="C277" s="357" t="s">
        <v>1006</v>
      </c>
      <c r="D277" s="357">
        <v>20405</v>
      </c>
      <c r="E277" s="357" t="s">
        <v>61</v>
      </c>
      <c r="F277" s="357">
        <v>10</v>
      </c>
      <c r="G277" s="357" t="s">
        <v>1699</v>
      </c>
      <c r="H277" s="359">
        <f>ROWS($G$4:G277)</f>
        <v>274</v>
      </c>
      <c r="I277" s="359" t="str">
        <f>IF('School Level Expenditures'!$B$2=A277,'School Tables'!H277,"")</f>
        <v/>
      </c>
      <c r="J277" s="359" t="str">
        <f>IFERROR(SMALL($I$4:$I$325,ROWS($I$4:I277)),"")</f>
        <v/>
      </c>
      <c r="K277" s="333" t="b">
        <f t="shared" si="9"/>
        <v>0</v>
      </c>
    </row>
    <row r="278" spans="1:11" ht="38.25" x14ac:dyDescent="0.2">
      <c r="A278" s="357">
        <v>582</v>
      </c>
      <c r="B278" s="357" t="s">
        <v>1485</v>
      </c>
      <c r="C278" s="357" t="s">
        <v>1490</v>
      </c>
      <c r="D278" s="357">
        <v>27070</v>
      </c>
      <c r="E278" s="357" t="s">
        <v>61</v>
      </c>
      <c r="F278" s="357">
        <v>59</v>
      </c>
      <c r="G278" s="357" t="s">
        <v>1760</v>
      </c>
      <c r="H278" s="359">
        <f>ROWS($G$4:G278)</f>
        <v>275</v>
      </c>
      <c r="I278" s="359" t="str">
        <f>IF('School Level Expenditures'!$B$2=A278,'School Tables'!H278,"")</f>
        <v/>
      </c>
      <c r="J278" s="359" t="str">
        <f>IFERROR(SMALL($I$4:$I$325,ROWS($I$4:I278)),"")</f>
        <v/>
      </c>
      <c r="K278" s="333" t="b">
        <f t="shared" si="9"/>
        <v>0</v>
      </c>
    </row>
    <row r="279" spans="1:11" ht="25.5" x14ac:dyDescent="0.2">
      <c r="A279" s="357">
        <v>499</v>
      </c>
      <c r="B279" s="357" t="s">
        <v>1424</v>
      </c>
      <c r="C279" s="357" t="s">
        <v>1425</v>
      </c>
      <c r="D279" s="357">
        <v>22910</v>
      </c>
      <c r="E279" s="357" t="s">
        <v>61</v>
      </c>
      <c r="F279" s="357">
        <v>58</v>
      </c>
      <c r="G279" s="357" t="s">
        <v>1720</v>
      </c>
      <c r="H279" s="359">
        <f>ROWS($G$4:G279)</f>
        <v>276</v>
      </c>
      <c r="I279" s="359" t="str">
        <f>IF('School Level Expenditures'!$B$2=A279,'School Tables'!H279,"")</f>
        <v/>
      </c>
      <c r="J279" s="359" t="str">
        <f>IFERROR(SMALL($I$4:$I$325,ROWS($I$4:I279)),"")</f>
        <v/>
      </c>
      <c r="K279" s="333" t="b">
        <f t="shared" si="9"/>
        <v>0</v>
      </c>
    </row>
    <row r="280" spans="1:11" ht="25.5" x14ac:dyDescent="0.2">
      <c r="A280" s="357">
        <v>501</v>
      </c>
      <c r="B280" s="357" t="s">
        <v>1426</v>
      </c>
      <c r="C280" s="357" t="s">
        <v>1427</v>
      </c>
      <c r="D280" s="357">
        <v>27560</v>
      </c>
      <c r="E280" s="357" t="s">
        <v>61</v>
      </c>
      <c r="F280" s="357">
        <v>7</v>
      </c>
      <c r="G280" s="357" t="s">
        <v>1693</v>
      </c>
      <c r="H280" s="359">
        <f>ROWS($G$4:G280)</f>
        <v>277</v>
      </c>
      <c r="I280" s="359" t="str">
        <f>IF('School Level Expenditures'!$B$2=A280,'School Tables'!H280,"")</f>
        <v/>
      </c>
      <c r="J280" s="359" t="str">
        <f>IFERROR(SMALL($I$4:$I$325,ROWS($I$4:I280)),"")</f>
        <v/>
      </c>
      <c r="K280" s="333" t="b">
        <f t="shared" si="9"/>
        <v>0</v>
      </c>
    </row>
    <row r="281" spans="1:11" ht="25.5" x14ac:dyDescent="0.2">
      <c r="A281" s="357">
        <v>507</v>
      </c>
      <c r="B281" s="357" t="s">
        <v>1430</v>
      </c>
      <c r="C281" s="357" t="s">
        <v>1431</v>
      </c>
      <c r="D281" s="357">
        <v>22100</v>
      </c>
      <c r="E281" s="357" t="s">
        <v>61</v>
      </c>
      <c r="F281" s="357">
        <v>105</v>
      </c>
      <c r="G281" s="357" t="s">
        <v>1761</v>
      </c>
      <c r="H281" s="359">
        <f>ROWS($G$4:G281)</f>
        <v>278</v>
      </c>
      <c r="I281" s="359" t="str">
        <f>IF('School Level Expenditures'!$B$2=A281,'School Tables'!H281,"")</f>
        <v/>
      </c>
      <c r="J281" s="359" t="str">
        <f>IFERROR(SMALL($I$4:$I$325,ROWS($I$4:I281)),"")</f>
        <v/>
      </c>
      <c r="K281" s="333" t="b">
        <f t="shared" si="9"/>
        <v>0</v>
      </c>
    </row>
    <row r="282" spans="1:11" ht="25.5" x14ac:dyDescent="0.2">
      <c r="A282" s="357">
        <v>509</v>
      </c>
      <c r="B282" s="357" t="s">
        <v>1432</v>
      </c>
      <c r="C282" s="357" t="s">
        <v>1433</v>
      </c>
      <c r="D282" s="357">
        <v>22915</v>
      </c>
      <c r="E282" s="357" t="s">
        <v>61</v>
      </c>
      <c r="F282" s="357">
        <v>58</v>
      </c>
      <c r="G282" s="357" t="s">
        <v>1720</v>
      </c>
      <c r="H282" s="359">
        <f>ROWS($G$4:G282)</f>
        <v>279</v>
      </c>
      <c r="I282" s="359" t="str">
        <f>IF('School Level Expenditures'!$B$2=A282,'School Tables'!H282,"")</f>
        <v/>
      </c>
      <c r="J282" s="359" t="str">
        <f>IFERROR(SMALL($I$4:$I$325,ROWS($I$4:I282)),"")</f>
        <v/>
      </c>
      <c r="K282" s="333" t="b">
        <f t="shared" si="9"/>
        <v>0</v>
      </c>
    </row>
    <row r="283" spans="1:11" ht="25.5" x14ac:dyDescent="0.2">
      <c r="A283" s="357">
        <v>511</v>
      </c>
      <c r="B283" s="357" t="s">
        <v>1434</v>
      </c>
      <c r="C283" s="357" t="s">
        <v>1435</v>
      </c>
      <c r="D283" s="357">
        <v>20615</v>
      </c>
      <c r="E283" s="357" t="s">
        <v>61</v>
      </c>
      <c r="F283" s="357">
        <v>16</v>
      </c>
      <c r="G283" s="357" t="s">
        <v>1702</v>
      </c>
      <c r="H283" s="359">
        <f>ROWS($G$4:G283)</f>
        <v>280</v>
      </c>
      <c r="I283" s="359" t="str">
        <f>IF('School Level Expenditures'!$B$2=A283,'School Tables'!H283,"")</f>
        <v/>
      </c>
      <c r="J283" s="359" t="str">
        <f>IFERROR(SMALL($I$4:$I$325,ROWS($I$4:I283)),"")</f>
        <v/>
      </c>
      <c r="K283" s="333" t="b">
        <f t="shared" si="9"/>
        <v>0</v>
      </c>
    </row>
    <row r="284" spans="1:11" ht="51" x14ac:dyDescent="0.2">
      <c r="A284" s="357">
        <v>721</v>
      </c>
      <c r="B284" s="357" t="s">
        <v>1508</v>
      </c>
      <c r="C284" s="357" t="s">
        <v>1508</v>
      </c>
      <c r="D284" s="357">
        <v>28570</v>
      </c>
      <c r="E284" s="357" t="s">
        <v>61</v>
      </c>
      <c r="F284" s="357">
        <v>409</v>
      </c>
      <c r="G284" s="357" t="s">
        <v>1508</v>
      </c>
      <c r="H284" s="359">
        <f>ROWS($G$4:G284)</f>
        <v>281</v>
      </c>
      <c r="I284" s="359" t="str">
        <f>IF('School Level Expenditures'!$B$2=A284,'School Tables'!H284,"")</f>
        <v/>
      </c>
      <c r="J284" s="359" t="str">
        <f>IFERROR(SMALL($I$4:$I$325,ROWS($I$4:I284)),"")</f>
        <v/>
      </c>
      <c r="K284" s="333" t="b">
        <f t="shared" si="9"/>
        <v>0</v>
      </c>
    </row>
    <row r="285" spans="1:11" ht="25.5" x14ac:dyDescent="0.2">
      <c r="A285" s="357">
        <v>515</v>
      </c>
      <c r="B285" s="357" t="s">
        <v>1436</v>
      </c>
      <c r="C285" s="357" t="s">
        <v>1438</v>
      </c>
      <c r="D285" s="357">
        <v>22005</v>
      </c>
      <c r="E285" s="357" t="s">
        <v>61</v>
      </c>
      <c r="F285" s="357">
        <v>85</v>
      </c>
      <c r="G285" s="357" t="s">
        <v>1762</v>
      </c>
      <c r="H285" s="359">
        <f>ROWS($G$4:G285)</f>
        <v>282</v>
      </c>
      <c r="I285" s="359" t="str">
        <f>IF('School Level Expenditures'!$B$2=A285,'School Tables'!H285,"")</f>
        <v/>
      </c>
      <c r="J285" s="359" t="str">
        <f>IFERROR(SMALL($I$4:$I$325,ROWS($I$4:I285)),"")</f>
        <v/>
      </c>
      <c r="K285" s="333" t="b">
        <f t="shared" si="9"/>
        <v>0</v>
      </c>
    </row>
    <row r="286" spans="1:11" ht="25.5" x14ac:dyDescent="0.2">
      <c r="A286" s="357">
        <v>371</v>
      </c>
      <c r="B286" s="357" t="s">
        <v>1283</v>
      </c>
      <c r="C286" s="357" t="s">
        <v>1288</v>
      </c>
      <c r="D286" s="357">
        <v>21850</v>
      </c>
      <c r="E286" s="357" t="s">
        <v>61</v>
      </c>
      <c r="F286" s="357">
        <v>42</v>
      </c>
      <c r="G286" s="357" t="s">
        <v>1666</v>
      </c>
      <c r="H286" s="359">
        <f>ROWS($G$4:G286)</f>
        <v>283</v>
      </c>
      <c r="I286" s="359" t="str">
        <f>IF('School Level Expenditures'!$B$2=A286,'School Tables'!H286,"")</f>
        <v/>
      </c>
      <c r="J286" s="359" t="str">
        <f>IFERROR(SMALL($I$4:$I$325,ROWS($I$4:I286)),"")</f>
        <v/>
      </c>
      <c r="K286" s="333" t="b">
        <f t="shared" si="9"/>
        <v>0</v>
      </c>
    </row>
    <row r="287" spans="1:11" ht="38.25" x14ac:dyDescent="0.2">
      <c r="A287" s="357">
        <v>717</v>
      </c>
      <c r="B287" s="357" t="s">
        <v>1506</v>
      </c>
      <c r="C287" s="357" t="s">
        <v>1506</v>
      </c>
      <c r="D287" s="357">
        <v>28515</v>
      </c>
      <c r="E287" s="357" t="s">
        <v>61</v>
      </c>
      <c r="F287" s="357">
        <v>407</v>
      </c>
      <c r="G287" s="357" t="s">
        <v>1506</v>
      </c>
      <c r="H287" s="359">
        <f>ROWS($G$4:G287)</f>
        <v>284</v>
      </c>
      <c r="I287" s="359" t="str">
        <f>IF('School Level Expenditures'!$B$2=A287,'School Tables'!H287,"")</f>
        <v/>
      </c>
      <c r="J287" s="359" t="str">
        <f>IFERROR(SMALL($I$4:$I$325,ROWS($I$4:I287)),"")</f>
        <v/>
      </c>
      <c r="K287" s="333" t="b">
        <f t="shared" si="9"/>
        <v>0</v>
      </c>
    </row>
    <row r="288" spans="1:11" ht="38.25" x14ac:dyDescent="0.2">
      <c r="A288" s="357">
        <v>276</v>
      </c>
      <c r="B288" s="357" t="s">
        <v>1150</v>
      </c>
      <c r="C288" s="357" t="s">
        <v>1151</v>
      </c>
      <c r="D288" s="357">
        <v>22010</v>
      </c>
      <c r="E288" s="357" t="s">
        <v>61</v>
      </c>
      <c r="F288" s="357">
        <v>65</v>
      </c>
      <c r="G288" s="357" t="s">
        <v>1731</v>
      </c>
      <c r="H288" s="359">
        <f>ROWS($G$4:G288)</f>
        <v>285</v>
      </c>
      <c r="I288" s="359" t="str">
        <f>IF('School Level Expenditures'!$B$2=A288,'School Tables'!H288,"")</f>
        <v/>
      </c>
      <c r="J288" s="359" t="str">
        <f>IFERROR(SMALL($I$4:$I$325,ROWS($I$4:I288)),"")</f>
        <v/>
      </c>
      <c r="K288" s="333" t="b">
        <f t="shared" si="9"/>
        <v>0</v>
      </c>
    </row>
    <row r="289" spans="1:11" ht="25.5" x14ac:dyDescent="0.2">
      <c r="A289" s="357">
        <v>63</v>
      </c>
      <c r="B289" s="357" t="s">
        <v>949</v>
      </c>
      <c r="C289" s="357" t="s">
        <v>1535</v>
      </c>
      <c r="D289" s="357">
        <v>20555</v>
      </c>
      <c r="E289" s="357" t="s">
        <v>61</v>
      </c>
      <c r="F289" s="357">
        <v>16</v>
      </c>
      <c r="G289" s="357" t="s">
        <v>1702</v>
      </c>
      <c r="H289" s="359">
        <f>ROWS($G$4:G289)</f>
        <v>286</v>
      </c>
      <c r="I289" s="359" t="str">
        <f>IF('School Level Expenditures'!$B$2=A289,'School Tables'!H289,"")</f>
        <v/>
      </c>
      <c r="J289" s="359" t="str">
        <f>IFERROR(SMALL($I$4:$I$325,ROWS($I$4:I289)),"")</f>
        <v/>
      </c>
      <c r="K289" s="333" t="b">
        <f t="shared" si="9"/>
        <v>0</v>
      </c>
    </row>
    <row r="290" spans="1:11" ht="25.5" x14ac:dyDescent="0.2">
      <c r="A290" s="357">
        <v>279</v>
      </c>
      <c r="B290" s="357" t="s">
        <v>1157</v>
      </c>
      <c r="C290" s="357" t="s">
        <v>1159</v>
      </c>
      <c r="D290" s="357">
        <v>21170</v>
      </c>
      <c r="E290" s="357" t="s">
        <v>61</v>
      </c>
      <c r="F290" s="357">
        <v>29</v>
      </c>
      <c r="G290" s="357" t="s">
        <v>1691</v>
      </c>
      <c r="H290" s="359">
        <f>ROWS($G$4:G290)</f>
        <v>287</v>
      </c>
      <c r="I290" s="359" t="str">
        <f>IF('School Level Expenditures'!$B$2=A290,'School Tables'!H290,"")</f>
        <v/>
      </c>
      <c r="J290" s="359" t="str">
        <f>IFERROR(SMALL($I$4:$I$325,ROWS($I$4:I290)),"")</f>
        <v/>
      </c>
      <c r="K290" s="333" t="b">
        <f t="shared" si="9"/>
        <v>0</v>
      </c>
    </row>
    <row r="291" spans="1:11" ht="38.25" x14ac:dyDescent="0.2">
      <c r="A291" s="357">
        <v>112</v>
      </c>
      <c r="B291" s="357" t="s">
        <v>977</v>
      </c>
      <c r="C291" s="357" t="s">
        <v>988</v>
      </c>
      <c r="D291" s="357">
        <v>22330</v>
      </c>
      <c r="E291" s="357" t="s">
        <v>61</v>
      </c>
      <c r="F291" s="357">
        <v>1</v>
      </c>
      <c r="G291" s="357" t="s">
        <v>1668</v>
      </c>
      <c r="H291" s="359">
        <f>ROWS($G$4:G291)</f>
        <v>288</v>
      </c>
      <c r="I291" s="359" t="str">
        <f>IF('School Level Expenditures'!$B$2=A291,'School Tables'!H291,"")</f>
        <v/>
      </c>
      <c r="J291" s="359" t="str">
        <f>IFERROR(SMALL($I$4:$I$325,ROWS($I$4:I291)),"")</f>
        <v/>
      </c>
      <c r="K291" s="333" t="b">
        <f t="shared" si="9"/>
        <v>0</v>
      </c>
    </row>
    <row r="292" spans="1:11" ht="63.75" x14ac:dyDescent="0.2">
      <c r="A292" s="357">
        <v>731</v>
      </c>
      <c r="B292" s="357" t="s">
        <v>1517</v>
      </c>
      <c r="C292" s="357" t="s">
        <v>1518</v>
      </c>
      <c r="D292" s="357">
        <v>29055</v>
      </c>
      <c r="E292" s="357" t="s">
        <v>61</v>
      </c>
      <c r="F292" s="357">
        <v>417</v>
      </c>
      <c r="G292" s="357" t="s">
        <v>1517</v>
      </c>
      <c r="H292" s="359">
        <f>ROWS($G$4:G292)</f>
        <v>289</v>
      </c>
      <c r="I292" s="359" t="str">
        <f>IF('School Level Expenditures'!$B$2=A292,'School Tables'!H292,"")</f>
        <v/>
      </c>
      <c r="J292" s="359" t="str">
        <f>IFERROR(SMALL($I$4:$I$325,ROWS($I$4:I292)),"")</f>
        <v/>
      </c>
      <c r="K292" s="333" t="b">
        <f t="shared" si="9"/>
        <v>0</v>
      </c>
    </row>
    <row r="293" spans="1:11" ht="51" x14ac:dyDescent="0.2">
      <c r="A293" s="357">
        <v>741</v>
      </c>
      <c r="B293" s="357" t="s">
        <v>1524</v>
      </c>
      <c r="C293" s="357" t="s">
        <v>1526</v>
      </c>
      <c r="D293" s="357">
        <v>29150</v>
      </c>
      <c r="E293" s="357" t="s">
        <v>61</v>
      </c>
      <c r="F293" s="357">
        <v>423</v>
      </c>
      <c r="G293" s="357" t="s">
        <v>1524</v>
      </c>
      <c r="H293" s="359">
        <f>ROWS($G$4:G293)</f>
        <v>290</v>
      </c>
      <c r="I293" s="359" t="str">
        <f>IF('School Level Expenditures'!$B$2=A293,'School Tables'!H293,"")</f>
        <v/>
      </c>
      <c r="J293" s="359" t="str">
        <f>IFERROR(SMALL($I$4:$I$325,ROWS($I$4:I293)),"")</f>
        <v/>
      </c>
      <c r="K293" s="333" t="b">
        <f t="shared" si="9"/>
        <v>0</v>
      </c>
    </row>
    <row r="294" spans="1:11" ht="25.5" x14ac:dyDescent="0.2">
      <c r="A294" s="357">
        <v>531</v>
      </c>
      <c r="B294" s="357" t="s">
        <v>1441</v>
      </c>
      <c r="C294" s="357" t="s">
        <v>1442</v>
      </c>
      <c r="D294" s="357">
        <v>22380</v>
      </c>
      <c r="E294" s="357" t="s">
        <v>61</v>
      </c>
      <c r="F294" s="357">
        <v>48</v>
      </c>
      <c r="G294" s="357" t="s">
        <v>1684</v>
      </c>
      <c r="H294" s="359">
        <f>ROWS($G$4:G294)</f>
        <v>291</v>
      </c>
      <c r="I294" s="359" t="str">
        <f>IF('School Level Expenditures'!$B$2=A294,'School Tables'!H294,"")</f>
        <v/>
      </c>
      <c r="J294" s="359" t="str">
        <f>IFERROR(SMALL($I$4:$I$325,ROWS($I$4:I294)),"")</f>
        <v/>
      </c>
      <c r="K294" s="333" t="b">
        <f t="shared" si="9"/>
        <v>0</v>
      </c>
    </row>
    <row r="295" spans="1:11" ht="25.5" x14ac:dyDescent="0.2">
      <c r="A295" s="357">
        <v>351</v>
      </c>
      <c r="B295" s="357" t="s">
        <v>1243</v>
      </c>
      <c r="C295" s="357" t="s">
        <v>1248</v>
      </c>
      <c r="D295" s="357">
        <v>21035</v>
      </c>
      <c r="E295" s="357" t="s">
        <v>61</v>
      </c>
      <c r="F295" s="357">
        <v>26</v>
      </c>
      <c r="G295" s="357" t="s">
        <v>1732</v>
      </c>
      <c r="H295" s="359">
        <f>ROWS($G$4:G295)</f>
        <v>292</v>
      </c>
      <c r="I295" s="359" t="str">
        <f>IF('School Level Expenditures'!$B$2=A295,'School Tables'!H295,"")</f>
        <v/>
      </c>
      <c r="J295" s="359" t="str">
        <f>IFERROR(SMALL($I$4:$I$325,ROWS($I$4:I295)),"")</f>
        <v/>
      </c>
      <c r="K295" s="333" t="b">
        <f t="shared" si="9"/>
        <v>0</v>
      </c>
    </row>
    <row r="296" spans="1:11" ht="25.5" x14ac:dyDescent="0.2">
      <c r="A296" s="357">
        <v>427</v>
      </c>
      <c r="B296" s="357" t="s">
        <v>1344</v>
      </c>
      <c r="C296" s="357" t="s">
        <v>1347</v>
      </c>
      <c r="D296" s="357">
        <v>26925</v>
      </c>
      <c r="E296" s="357" t="s">
        <v>61</v>
      </c>
      <c r="F296" s="357">
        <v>53</v>
      </c>
      <c r="G296" s="357" t="s">
        <v>1664</v>
      </c>
      <c r="H296" s="359">
        <f>ROWS($G$4:G296)</f>
        <v>293</v>
      </c>
      <c r="I296" s="359" t="str">
        <f>IF('School Level Expenditures'!$B$2=A296,'School Tables'!H296,"")</f>
        <v/>
      </c>
      <c r="J296" s="359" t="str">
        <f>IFERROR(SMALL($I$4:$I$325,ROWS($I$4:I296)),"")</f>
        <v/>
      </c>
      <c r="K296" s="333" t="b">
        <f t="shared" si="9"/>
        <v>0</v>
      </c>
    </row>
    <row r="297" spans="1:11" ht="38.25" x14ac:dyDescent="0.2">
      <c r="A297" s="357">
        <v>363</v>
      </c>
      <c r="B297" s="357" t="s">
        <v>1271</v>
      </c>
      <c r="C297" s="357" t="s">
        <v>1274</v>
      </c>
      <c r="D297" s="357">
        <v>21725</v>
      </c>
      <c r="E297" s="357" t="s">
        <v>61</v>
      </c>
      <c r="F297" s="357">
        <v>93</v>
      </c>
      <c r="G297" s="357" t="s">
        <v>1697</v>
      </c>
      <c r="H297" s="359">
        <f>ROWS($G$4:G297)</f>
        <v>294</v>
      </c>
      <c r="I297" s="359" t="str">
        <f>IF('School Level Expenditures'!$B$2=A297,'School Tables'!H297,"")</f>
        <v/>
      </c>
      <c r="J297" s="359" t="str">
        <f>IFERROR(SMALL($I$4:$I$325,ROWS($I$4:I297)),"")</f>
        <v/>
      </c>
      <c r="K297" s="333" t="b">
        <f t="shared" si="9"/>
        <v>0</v>
      </c>
    </row>
    <row r="298" spans="1:11" ht="51" x14ac:dyDescent="0.2">
      <c r="A298" s="357">
        <v>208</v>
      </c>
      <c r="B298" s="357" t="s">
        <v>1072</v>
      </c>
      <c r="C298" s="357" t="s">
        <v>1076</v>
      </c>
      <c r="D298" s="357">
        <v>22410</v>
      </c>
      <c r="E298" s="357" t="s">
        <v>61</v>
      </c>
      <c r="F298" s="357">
        <v>49</v>
      </c>
      <c r="G298" s="357" t="s">
        <v>1687</v>
      </c>
      <c r="H298" s="359">
        <f>ROWS($G$4:G298)</f>
        <v>295</v>
      </c>
      <c r="I298" s="359" t="str">
        <f>IF('School Level Expenditures'!$B$2=A298,'School Tables'!H298,"")</f>
        <v/>
      </c>
      <c r="J298" s="359" t="str">
        <f>IFERROR(SMALL($I$4:$I$325,ROWS($I$4:I298)),"")</f>
        <v/>
      </c>
      <c r="K298" s="333" t="b">
        <f t="shared" si="9"/>
        <v>0</v>
      </c>
    </row>
    <row r="299" spans="1:11" ht="38.25" x14ac:dyDescent="0.2">
      <c r="A299" s="357">
        <v>582</v>
      </c>
      <c r="B299" s="357" t="s">
        <v>1485</v>
      </c>
      <c r="C299" s="357" t="s">
        <v>1487</v>
      </c>
      <c r="D299" s="357">
        <v>22945</v>
      </c>
      <c r="E299" s="357" t="s">
        <v>61</v>
      </c>
      <c r="F299" s="357">
        <v>59</v>
      </c>
      <c r="G299" s="357" t="s">
        <v>1760</v>
      </c>
      <c r="H299" s="359">
        <f>ROWS($G$4:G299)</f>
        <v>296</v>
      </c>
      <c r="I299" s="359" t="str">
        <f>IF('School Level Expenditures'!$B$2=A299,'School Tables'!H299,"")</f>
        <v/>
      </c>
      <c r="J299" s="359" t="str">
        <f>IFERROR(SMALL($I$4:$I$325,ROWS($I$4:I299)),"")</f>
        <v/>
      </c>
      <c r="K299" s="333" t="b">
        <f t="shared" si="9"/>
        <v>0</v>
      </c>
    </row>
    <row r="300" spans="1:11" ht="25.5" x14ac:dyDescent="0.2">
      <c r="A300" s="357">
        <v>539</v>
      </c>
      <c r="B300" s="357" t="s">
        <v>1451</v>
      </c>
      <c r="C300" s="357" t="s">
        <v>1452</v>
      </c>
      <c r="D300" s="357">
        <v>20180</v>
      </c>
      <c r="E300" s="357" t="s">
        <v>61</v>
      </c>
      <c r="F300" s="357">
        <v>6</v>
      </c>
      <c r="G300" s="357" t="s">
        <v>1681</v>
      </c>
      <c r="H300" s="359">
        <f>ROWS($G$4:G300)</f>
        <v>297</v>
      </c>
      <c r="I300" s="359" t="str">
        <f>IF('School Level Expenditures'!$B$2=A300,'School Tables'!H300,"")</f>
        <v/>
      </c>
      <c r="J300" s="359" t="str">
        <f>IFERROR(SMALL($I$4:$I$325,ROWS($I$4:I300)),"")</f>
        <v/>
      </c>
      <c r="K300" s="333" t="b">
        <f t="shared" si="9"/>
        <v>0</v>
      </c>
    </row>
    <row r="301" spans="1:11" ht="25.5" x14ac:dyDescent="0.2">
      <c r="A301" s="357">
        <v>175</v>
      </c>
      <c r="B301" s="357" t="s">
        <v>1045</v>
      </c>
      <c r="C301" s="357" t="s">
        <v>1046</v>
      </c>
      <c r="D301" s="357">
        <v>27980</v>
      </c>
      <c r="E301" s="357" t="s">
        <v>61</v>
      </c>
      <c r="F301" s="357">
        <v>61</v>
      </c>
      <c r="G301" s="357" t="s">
        <v>1724</v>
      </c>
      <c r="H301" s="359">
        <f>ROWS($G$4:G301)</f>
        <v>298</v>
      </c>
      <c r="I301" s="359" t="str">
        <f>IF('School Level Expenditures'!$B$2=A301,'School Tables'!H301,"")</f>
        <v/>
      </c>
      <c r="J301" s="359" t="str">
        <f>IFERROR(SMALL($I$4:$I$325,ROWS($I$4:I301)),"")</f>
        <v/>
      </c>
      <c r="K301" s="333" t="b">
        <f t="shared" si="9"/>
        <v>0</v>
      </c>
    </row>
    <row r="302" spans="1:11" ht="38.25" x14ac:dyDescent="0.2">
      <c r="A302" s="357">
        <v>174</v>
      </c>
      <c r="B302" s="357" t="s">
        <v>1033</v>
      </c>
      <c r="C302" s="357" t="s">
        <v>1036</v>
      </c>
      <c r="D302" s="357">
        <v>22970</v>
      </c>
      <c r="E302" s="357" t="s">
        <v>61</v>
      </c>
      <c r="F302" s="357">
        <v>60</v>
      </c>
      <c r="G302" s="357" t="s">
        <v>1662</v>
      </c>
      <c r="H302" s="359">
        <f>ROWS($G$4:G302)</f>
        <v>299</v>
      </c>
      <c r="I302" s="359" t="str">
        <f>IF('School Level Expenditures'!$B$2=A302,'School Tables'!H302,"")</f>
        <v/>
      </c>
      <c r="J302" s="359" t="str">
        <f>IFERROR(SMALL($I$4:$I$325,ROWS($I$4:I302)),"")</f>
        <v/>
      </c>
      <c r="K302" s="333" t="b">
        <f t="shared" si="9"/>
        <v>0</v>
      </c>
    </row>
    <row r="303" spans="1:11" ht="63.75" x14ac:dyDescent="0.2">
      <c r="A303" s="357">
        <v>727</v>
      </c>
      <c r="B303" s="357" t="s">
        <v>1513</v>
      </c>
      <c r="C303" s="357" t="s">
        <v>1514</v>
      </c>
      <c r="D303" s="357">
        <v>28650</v>
      </c>
      <c r="E303" s="357" t="s">
        <v>61</v>
      </c>
      <c r="F303" s="357">
        <v>412</v>
      </c>
      <c r="G303" s="357" t="s">
        <v>1513</v>
      </c>
      <c r="H303" s="359">
        <f>ROWS($G$4:G303)</f>
        <v>300</v>
      </c>
      <c r="I303" s="359" t="str">
        <f>IF('School Level Expenditures'!$B$2=A303,'School Tables'!H303,"")</f>
        <v/>
      </c>
      <c r="J303" s="359" t="str">
        <f>IFERROR(SMALL($I$4:$I$325,ROWS($I$4:I303)),"")</f>
        <v/>
      </c>
      <c r="K303" s="333" t="b">
        <f t="shared" si="9"/>
        <v>0</v>
      </c>
    </row>
    <row r="304" spans="1:11" ht="38.25" x14ac:dyDescent="0.2">
      <c r="A304" s="357">
        <v>174</v>
      </c>
      <c r="B304" s="357" t="s">
        <v>1033</v>
      </c>
      <c r="C304" s="357" t="s">
        <v>1044</v>
      </c>
      <c r="D304" s="357">
        <v>23015</v>
      </c>
      <c r="E304" s="357" t="s">
        <v>61</v>
      </c>
      <c r="F304" s="357">
        <v>60</v>
      </c>
      <c r="G304" s="357" t="s">
        <v>1662</v>
      </c>
      <c r="H304" s="359">
        <f>ROWS($G$4:G304)</f>
        <v>301</v>
      </c>
      <c r="I304" s="359" t="str">
        <f>IF('School Level Expenditures'!$B$2=A304,'School Tables'!H304,"")</f>
        <v/>
      </c>
      <c r="J304" s="359" t="str">
        <f>IFERROR(SMALL($I$4:$I$325,ROWS($I$4:I304)),"")</f>
        <v/>
      </c>
      <c r="K304" s="333" t="b">
        <f t="shared" si="9"/>
        <v>0</v>
      </c>
    </row>
    <row r="305" spans="1:11" ht="38.25" x14ac:dyDescent="0.2">
      <c r="A305" s="357">
        <v>174</v>
      </c>
      <c r="B305" s="357" t="s">
        <v>1033</v>
      </c>
      <c r="C305" s="357" t="s">
        <v>1043</v>
      </c>
      <c r="D305" s="357">
        <v>23010</v>
      </c>
      <c r="E305" s="357" t="s">
        <v>61</v>
      </c>
      <c r="F305" s="357">
        <v>60</v>
      </c>
      <c r="G305" s="357" t="s">
        <v>1662</v>
      </c>
      <c r="H305" s="359">
        <f>ROWS($G$4:G305)</f>
        <v>302</v>
      </c>
      <c r="I305" s="359" t="str">
        <f>IF('School Level Expenditures'!$B$2=A305,'School Tables'!H305,"")</f>
        <v/>
      </c>
      <c r="J305" s="359" t="str">
        <f>IFERROR(SMALL($I$4:$I$325,ROWS($I$4:I305)),"")</f>
        <v/>
      </c>
      <c r="K305" s="333" t="b">
        <f t="shared" si="9"/>
        <v>0</v>
      </c>
    </row>
    <row r="306" spans="1:11" ht="38.25" x14ac:dyDescent="0.2">
      <c r="A306" s="357">
        <v>549</v>
      </c>
      <c r="B306" s="357" t="s">
        <v>1455</v>
      </c>
      <c r="C306" s="357" t="s">
        <v>1456</v>
      </c>
      <c r="D306" s="357">
        <v>20900</v>
      </c>
      <c r="E306" s="357" t="s">
        <v>61</v>
      </c>
      <c r="F306" s="357">
        <v>23</v>
      </c>
      <c r="G306" s="357" t="s">
        <v>1676</v>
      </c>
      <c r="H306" s="359">
        <f>ROWS($G$4:G306)</f>
        <v>303</v>
      </c>
      <c r="I306" s="359" t="str">
        <f>IF('School Level Expenditures'!$B$2=A306,'School Tables'!H306,"")</f>
        <v/>
      </c>
      <c r="J306" s="359" t="str">
        <f>IFERROR(SMALL($I$4:$I$325,ROWS($I$4:I306)),"")</f>
        <v/>
      </c>
      <c r="K306" s="333" t="b">
        <f t="shared" si="9"/>
        <v>0</v>
      </c>
    </row>
    <row r="307" spans="1:11" ht="38.25" x14ac:dyDescent="0.2">
      <c r="A307" s="357">
        <v>551</v>
      </c>
      <c r="B307" s="357" t="s">
        <v>1457</v>
      </c>
      <c r="C307" s="357" t="s">
        <v>1458</v>
      </c>
      <c r="D307" s="357">
        <v>20985</v>
      </c>
      <c r="E307" s="357" t="s">
        <v>61</v>
      </c>
      <c r="F307" s="357">
        <v>34</v>
      </c>
      <c r="G307" s="357" t="s">
        <v>1727</v>
      </c>
      <c r="H307" s="359">
        <f>ROWS($G$4:G307)</f>
        <v>304</v>
      </c>
      <c r="I307" s="359" t="str">
        <f>IF('School Level Expenditures'!$B$2=A307,'School Tables'!H307,"")</f>
        <v/>
      </c>
      <c r="J307" s="359" t="str">
        <f>IFERROR(SMALL($I$4:$I$325,ROWS($I$4:I307)),"")</f>
        <v/>
      </c>
      <c r="K307" s="333" t="b">
        <f t="shared" si="9"/>
        <v>0</v>
      </c>
    </row>
    <row r="308" spans="1:11" ht="25.5" x14ac:dyDescent="0.2">
      <c r="A308" s="357">
        <v>553</v>
      </c>
      <c r="B308" s="357" t="s">
        <v>1459</v>
      </c>
      <c r="C308" s="357" t="s">
        <v>1460</v>
      </c>
      <c r="D308" s="357">
        <v>22385</v>
      </c>
      <c r="E308" s="357" t="s">
        <v>61</v>
      </c>
      <c r="F308" s="357">
        <v>48</v>
      </c>
      <c r="G308" s="357" t="s">
        <v>1684</v>
      </c>
      <c r="H308" s="359">
        <f>ROWS($G$4:G308)</f>
        <v>305</v>
      </c>
      <c r="I308" s="359" t="str">
        <f>IF('School Level Expenditures'!$B$2=A308,'School Tables'!H308,"")</f>
        <v/>
      </c>
      <c r="J308" s="359" t="str">
        <f>IFERROR(SMALL($I$4:$I$325,ROWS($I$4:I308)),"")</f>
        <v/>
      </c>
      <c r="K308" s="333" t="b">
        <f t="shared" si="9"/>
        <v>0</v>
      </c>
    </row>
    <row r="309" spans="1:11" ht="38.25" x14ac:dyDescent="0.2">
      <c r="A309" s="357">
        <v>352</v>
      </c>
      <c r="B309" s="357" t="s">
        <v>1250</v>
      </c>
      <c r="C309" s="357" t="s">
        <v>1257</v>
      </c>
      <c r="D309" s="357">
        <v>22205</v>
      </c>
      <c r="E309" s="357" t="s">
        <v>61</v>
      </c>
      <c r="F309" s="357">
        <v>46</v>
      </c>
      <c r="G309" s="357" t="s">
        <v>1667</v>
      </c>
      <c r="H309" s="359">
        <f>ROWS($G$4:G309)</f>
        <v>306</v>
      </c>
      <c r="I309" s="359" t="str">
        <f>IF('School Level Expenditures'!$B$2=A309,'School Tables'!H309,"")</f>
        <v/>
      </c>
      <c r="J309" s="359" t="str">
        <f>IFERROR(SMALL($I$4:$I$325,ROWS($I$4:I309)),"")</f>
        <v/>
      </c>
      <c r="K309" s="333" t="b">
        <f t="shared" si="9"/>
        <v>0</v>
      </c>
    </row>
    <row r="310" spans="1:11" ht="25.5" x14ac:dyDescent="0.2">
      <c r="A310" s="357">
        <v>335</v>
      </c>
      <c r="B310" s="357" t="s">
        <v>906</v>
      </c>
      <c r="C310" s="357" t="s">
        <v>1225</v>
      </c>
      <c r="D310" s="357">
        <v>21635</v>
      </c>
      <c r="E310" s="357" t="s">
        <v>61</v>
      </c>
      <c r="F310" s="357">
        <v>37</v>
      </c>
      <c r="G310" s="357" t="s">
        <v>1672</v>
      </c>
      <c r="H310" s="359">
        <f>ROWS($G$4:G310)</f>
        <v>307</v>
      </c>
      <c r="I310" s="359" t="str">
        <f>IF('School Level Expenditures'!$B$2=A310,'School Tables'!H310,"")</f>
        <v/>
      </c>
      <c r="J310" s="359" t="str">
        <f>IFERROR(SMALL($I$4:$I$325,ROWS($I$4:I310)),"")</f>
        <v/>
      </c>
      <c r="K310" s="333" t="b">
        <f t="shared" si="9"/>
        <v>0</v>
      </c>
    </row>
    <row r="311" spans="1:11" ht="25.5" x14ac:dyDescent="0.2">
      <c r="A311" s="357">
        <v>235</v>
      </c>
      <c r="B311" s="357" t="s">
        <v>1095</v>
      </c>
      <c r="C311" s="357" t="s">
        <v>1096</v>
      </c>
      <c r="D311" s="357">
        <v>21155</v>
      </c>
      <c r="E311" s="357" t="s">
        <v>61</v>
      </c>
      <c r="F311" s="357">
        <v>29</v>
      </c>
      <c r="G311" s="357" t="s">
        <v>1691</v>
      </c>
      <c r="H311" s="359">
        <f>ROWS($G$4:G311)</f>
        <v>308</v>
      </c>
      <c r="I311" s="359" t="str">
        <f>IF('School Level Expenditures'!$B$2=A311,'School Tables'!H311,"")</f>
        <v/>
      </c>
      <c r="J311" s="359" t="str">
        <f>IFERROR(SMALL($I$4:$I$325,ROWS($I$4:I311)),"")</f>
        <v/>
      </c>
      <c r="K311" s="333" t="b">
        <f t="shared" si="9"/>
        <v>0</v>
      </c>
    </row>
    <row r="312" spans="1:11" ht="25.5" x14ac:dyDescent="0.2">
      <c r="A312" s="357">
        <v>559</v>
      </c>
      <c r="B312" s="357" t="s">
        <v>1464</v>
      </c>
      <c r="C312" s="357" t="s">
        <v>1465</v>
      </c>
      <c r="D312" s="357">
        <v>22390</v>
      </c>
      <c r="E312" s="357" t="s">
        <v>61</v>
      </c>
      <c r="F312" s="357">
        <v>48</v>
      </c>
      <c r="G312" s="357" t="s">
        <v>1684</v>
      </c>
      <c r="H312" s="359">
        <f>ROWS($G$4:G312)</f>
        <v>309</v>
      </c>
      <c r="I312" s="359" t="str">
        <f>IF('School Level Expenditures'!$B$2=A312,'School Tables'!H312,"")</f>
        <v/>
      </c>
      <c r="J312" s="359" t="str">
        <f>IFERROR(SMALL($I$4:$I$325,ROWS($I$4:I312)),"")</f>
        <v/>
      </c>
      <c r="K312" s="333" t="b">
        <f t="shared" si="9"/>
        <v>0</v>
      </c>
    </row>
    <row r="313" spans="1:11" ht="25.5" x14ac:dyDescent="0.2">
      <c r="A313" s="357">
        <v>563</v>
      </c>
      <c r="B313" s="357" t="s">
        <v>1466</v>
      </c>
      <c r="C313" s="357" t="s">
        <v>1467</v>
      </c>
      <c r="D313" s="357">
        <v>21230</v>
      </c>
      <c r="E313" s="357" t="s">
        <v>61</v>
      </c>
      <c r="F313" s="357">
        <v>29</v>
      </c>
      <c r="G313" s="357" t="s">
        <v>1691</v>
      </c>
      <c r="H313" s="359">
        <f>ROWS($G$4:G313)</f>
        <v>310</v>
      </c>
      <c r="I313" s="359" t="str">
        <f>IF('School Level Expenditures'!$B$2=A313,'School Tables'!H313,"")</f>
        <v/>
      </c>
      <c r="J313" s="359" t="str">
        <f>IFERROR(SMALL($I$4:$I$325,ROWS($I$4:I313)),"")</f>
        <v/>
      </c>
      <c r="K313" s="333" t="b">
        <f t="shared" si="9"/>
        <v>0</v>
      </c>
    </row>
    <row r="314" spans="1:11" ht="25.5" x14ac:dyDescent="0.2">
      <c r="A314" s="357">
        <v>335</v>
      </c>
      <c r="B314" s="357" t="s">
        <v>906</v>
      </c>
      <c r="C314" s="357" t="s">
        <v>1605</v>
      </c>
      <c r="D314" s="357">
        <v>21515</v>
      </c>
      <c r="E314" s="357" t="s">
        <v>61</v>
      </c>
      <c r="F314" s="357">
        <v>37</v>
      </c>
      <c r="G314" s="357" t="s">
        <v>1672</v>
      </c>
      <c r="H314" s="359">
        <f>ROWS($G$4:G314)</f>
        <v>311</v>
      </c>
      <c r="I314" s="359" t="str">
        <f>IF('School Level Expenditures'!$B$2=A314,'School Tables'!H314,"")</f>
        <v/>
      </c>
      <c r="J314" s="359" t="str">
        <f>IFERROR(SMALL($I$4:$I$325,ROWS($I$4:I314)),"")</f>
        <v/>
      </c>
      <c r="K314" s="333" t="b">
        <f t="shared" si="9"/>
        <v>0</v>
      </c>
    </row>
    <row r="315" spans="1:11" ht="25.5" x14ac:dyDescent="0.2">
      <c r="A315" s="357">
        <v>279</v>
      </c>
      <c r="B315" s="357" t="s">
        <v>1157</v>
      </c>
      <c r="C315" s="357" t="s">
        <v>1163</v>
      </c>
      <c r="D315" s="357">
        <v>21200</v>
      </c>
      <c r="E315" s="357" t="s">
        <v>61</v>
      </c>
      <c r="F315" s="357">
        <v>29</v>
      </c>
      <c r="G315" s="357" t="s">
        <v>1691</v>
      </c>
      <c r="H315" s="359">
        <f>ROWS($G$4:G315)</f>
        <v>312</v>
      </c>
      <c r="I315" s="359" t="str">
        <f>IF('School Level Expenditures'!$B$2=A315,'School Tables'!H315,"")</f>
        <v/>
      </c>
      <c r="J315" s="359" t="str">
        <f>IFERROR(SMALL($I$4:$I$325,ROWS($I$4:I315)),"")</f>
        <v/>
      </c>
      <c r="K315" s="333" t="b">
        <f t="shared" si="9"/>
        <v>0</v>
      </c>
    </row>
    <row r="316" spans="1:11" ht="51" x14ac:dyDescent="0.2">
      <c r="A316" s="357">
        <v>568</v>
      </c>
      <c r="B316" s="357" t="s">
        <v>1468</v>
      </c>
      <c r="C316" s="357" t="s">
        <v>1469</v>
      </c>
      <c r="D316" s="357">
        <v>26930</v>
      </c>
      <c r="E316" s="357" t="s">
        <v>61</v>
      </c>
      <c r="F316" s="357">
        <v>36</v>
      </c>
      <c r="G316" s="357" t="s">
        <v>1735</v>
      </c>
      <c r="H316" s="359">
        <f>ROWS($G$4:G316)</f>
        <v>313</v>
      </c>
      <c r="I316" s="359" t="str">
        <f>IF('School Level Expenditures'!$B$2=A316,'School Tables'!H316,"")</f>
        <v/>
      </c>
      <c r="J316" s="359" t="str">
        <f>IFERROR(SMALL($I$4:$I$325,ROWS($I$4:I316)),"")</f>
        <v/>
      </c>
      <c r="K316" s="333" t="b">
        <f t="shared" si="9"/>
        <v>0</v>
      </c>
    </row>
    <row r="317" spans="1:11" ht="25.5" x14ac:dyDescent="0.2">
      <c r="A317" s="357">
        <v>461</v>
      </c>
      <c r="B317" s="357" t="s">
        <v>1376</v>
      </c>
      <c r="C317" s="357" t="s">
        <v>1381</v>
      </c>
      <c r="D317" s="357">
        <v>22690</v>
      </c>
      <c r="E317" s="357" t="s">
        <v>61</v>
      </c>
      <c r="F317" s="357">
        <v>54</v>
      </c>
      <c r="G317" s="357" t="s">
        <v>1689</v>
      </c>
      <c r="H317" s="359">
        <f>ROWS($G$4:G317)</f>
        <v>314</v>
      </c>
      <c r="I317" s="359" t="str">
        <f>IF('School Level Expenditures'!$B$2=A317,'School Tables'!H317,"")</f>
        <v/>
      </c>
      <c r="J317" s="359" t="str">
        <f>IFERROR(SMALL($I$4:$I$325,ROWS($I$4:I317)),"")</f>
        <v/>
      </c>
      <c r="K317" s="333" t="b">
        <f t="shared" si="9"/>
        <v>0</v>
      </c>
    </row>
    <row r="318" spans="1:11" ht="25.5" x14ac:dyDescent="0.2">
      <c r="A318" s="357">
        <v>473</v>
      </c>
      <c r="B318" s="357" t="s">
        <v>1395</v>
      </c>
      <c r="C318" s="357" t="s">
        <v>1397</v>
      </c>
      <c r="D318" s="357">
        <v>22860</v>
      </c>
      <c r="E318" s="357" t="s">
        <v>61</v>
      </c>
      <c r="F318" s="357">
        <v>57</v>
      </c>
      <c r="G318" s="357" t="s">
        <v>1701</v>
      </c>
      <c r="H318" s="359">
        <f>ROWS($G$4:G318)</f>
        <v>315</v>
      </c>
      <c r="I318" s="359" t="str">
        <f>IF('School Level Expenditures'!$B$2=A318,'School Tables'!H318,"")</f>
        <v/>
      </c>
      <c r="J318" s="359" t="str">
        <f>IFERROR(SMALL($I$4:$I$325,ROWS($I$4:I318)),"")</f>
        <v/>
      </c>
      <c r="K318" s="333" t="b">
        <f t="shared" si="9"/>
        <v>0</v>
      </c>
    </row>
    <row r="319" spans="1:11" ht="25.5" x14ac:dyDescent="0.2">
      <c r="A319" s="357">
        <v>473</v>
      </c>
      <c r="B319" s="357" t="s">
        <v>1395</v>
      </c>
      <c r="C319" s="357" t="s">
        <v>1398</v>
      </c>
      <c r="D319" s="357">
        <v>22865</v>
      </c>
      <c r="E319" s="357" t="s">
        <v>61</v>
      </c>
      <c r="F319" s="357">
        <v>57</v>
      </c>
      <c r="G319" s="357" t="s">
        <v>1701</v>
      </c>
      <c r="H319" s="359">
        <f>ROWS($G$4:G319)</f>
        <v>316</v>
      </c>
      <c r="I319" s="359" t="str">
        <f>IF('School Level Expenditures'!$B$2=A319,'School Tables'!H319,"")</f>
        <v/>
      </c>
      <c r="J319" s="359" t="str">
        <f>IFERROR(SMALL($I$4:$I$325,ROWS($I$4:I319)),"")</f>
        <v/>
      </c>
      <c r="K319" s="333" t="b">
        <f t="shared" si="9"/>
        <v>0</v>
      </c>
    </row>
    <row r="320" spans="1:11" ht="25.5" x14ac:dyDescent="0.2">
      <c r="A320" s="357">
        <v>573</v>
      </c>
      <c r="B320" s="357" t="s">
        <v>1477</v>
      </c>
      <c r="C320" s="357" t="s">
        <v>1539</v>
      </c>
      <c r="D320" s="357">
        <v>21735</v>
      </c>
      <c r="E320" s="357" t="s">
        <v>61</v>
      </c>
      <c r="F320" s="357">
        <v>94</v>
      </c>
      <c r="G320" s="357" t="s">
        <v>1763</v>
      </c>
      <c r="H320" s="359">
        <f>ROWS($G$4:G320)</f>
        <v>317</v>
      </c>
      <c r="I320" s="359" t="str">
        <f>IF('School Level Expenditures'!$B$2=A320,'School Tables'!H320,"")</f>
        <v/>
      </c>
      <c r="J320" s="359" t="str">
        <f>IFERROR(SMALL($I$4:$I$325,ROWS($I$4:I320)),"")</f>
        <v/>
      </c>
      <c r="K320" s="333" t="b">
        <f t="shared" si="9"/>
        <v>0</v>
      </c>
    </row>
    <row r="321" spans="1:11" ht="51" x14ac:dyDescent="0.2">
      <c r="A321" s="357">
        <v>712</v>
      </c>
      <c r="B321" s="357" t="s">
        <v>1505</v>
      </c>
      <c r="C321" s="357" t="s">
        <v>1505</v>
      </c>
      <c r="D321" s="357">
        <v>29193</v>
      </c>
      <c r="E321" s="357" t="s">
        <v>61</v>
      </c>
      <c r="F321" s="357">
        <v>434</v>
      </c>
      <c r="G321" s="357" t="s">
        <v>1505</v>
      </c>
      <c r="H321" s="359">
        <f>ROWS($G$4:G321)</f>
        <v>318</v>
      </c>
      <c r="I321" s="359" t="str">
        <f>IF('School Level Expenditures'!$B$2=A321,'School Tables'!H321,"")</f>
        <v/>
      </c>
      <c r="J321" s="359" t="str">
        <f>IFERROR(SMALL($I$4:$I$325,ROWS($I$4:I321)),"")</f>
        <v/>
      </c>
      <c r="K321" s="333" t="b">
        <f t="shared" si="9"/>
        <v>0</v>
      </c>
    </row>
    <row r="322" spans="1:11" ht="25.5" x14ac:dyDescent="0.2">
      <c r="A322" s="357">
        <v>575</v>
      </c>
      <c r="B322" s="357" t="s">
        <v>1478</v>
      </c>
      <c r="C322" s="357" t="s">
        <v>1481</v>
      </c>
      <c r="D322" s="357">
        <v>21135</v>
      </c>
      <c r="E322" s="357" t="s">
        <v>61</v>
      </c>
      <c r="F322" s="357">
        <v>95</v>
      </c>
      <c r="G322" s="357" t="s">
        <v>1716</v>
      </c>
      <c r="H322" s="359">
        <f>ROWS($G$4:G322)</f>
        <v>319</v>
      </c>
      <c r="I322" s="359" t="str">
        <f>IF('School Level Expenditures'!$B$2=A322,'School Tables'!H322,"")</f>
        <v/>
      </c>
      <c r="J322" s="359" t="str">
        <f>IFERROR(SMALL($I$4:$I$325,ROWS($I$4:I322)),"")</f>
        <v/>
      </c>
      <c r="K322" s="333" t="b">
        <f t="shared" si="9"/>
        <v>0</v>
      </c>
    </row>
    <row r="323" spans="1:11" ht="25.5" x14ac:dyDescent="0.2">
      <c r="A323" s="357">
        <v>285</v>
      </c>
      <c r="B323" s="357" t="s">
        <v>1166</v>
      </c>
      <c r="C323" s="357" t="s">
        <v>1170</v>
      </c>
      <c r="D323" s="357">
        <v>21285</v>
      </c>
      <c r="E323" s="357" t="s">
        <v>61</v>
      </c>
      <c r="F323" s="357">
        <v>30</v>
      </c>
      <c r="G323" s="357" t="s">
        <v>1705</v>
      </c>
      <c r="H323" s="359">
        <f>ROWS($G$4:G323)</f>
        <v>320</v>
      </c>
      <c r="I323" s="359" t="str">
        <f>IF('School Level Expenditures'!$B$2=A323,'School Tables'!H323,"")</f>
        <v/>
      </c>
      <c r="J323" s="359" t="str">
        <f>IFERROR(SMALL($I$4:$I$325,ROWS($I$4:I323)),"")</f>
        <v/>
      </c>
      <c r="K323" s="333" t="b">
        <f t="shared" si="9"/>
        <v>0</v>
      </c>
    </row>
    <row r="324" spans="1:11" ht="25.5" x14ac:dyDescent="0.2">
      <c r="A324" s="357">
        <v>141</v>
      </c>
      <c r="B324" s="357" t="s">
        <v>1008</v>
      </c>
      <c r="C324" s="357" t="s">
        <v>1013</v>
      </c>
      <c r="D324" s="357">
        <v>20460</v>
      </c>
      <c r="E324" s="357" t="s">
        <v>61</v>
      </c>
      <c r="F324" s="357">
        <v>11</v>
      </c>
      <c r="G324" s="357" t="s">
        <v>1710</v>
      </c>
      <c r="H324" s="359">
        <f>ROWS($G$4:G324)</f>
        <v>321</v>
      </c>
      <c r="I324" s="359" t="str">
        <f>IF('School Level Expenditures'!$B$2=A324,'School Tables'!H324,"")</f>
        <v/>
      </c>
      <c r="J324" s="359" t="str">
        <f>IFERROR(SMALL($I$4:$I$325,ROWS($I$4:I324)),"")</f>
        <v/>
      </c>
      <c r="K324" s="333" t="b">
        <f t="shared" si="9"/>
        <v>0</v>
      </c>
    </row>
    <row r="325" spans="1:11" ht="38.25" x14ac:dyDescent="0.2">
      <c r="A325" s="357">
        <v>238</v>
      </c>
      <c r="B325" s="357" t="s">
        <v>1097</v>
      </c>
      <c r="C325" s="357" t="s">
        <v>1098</v>
      </c>
      <c r="D325" s="357">
        <v>20905</v>
      </c>
      <c r="E325" s="357" t="s">
        <v>61</v>
      </c>
      <c r="F325" s="357">
        <v>23</v>
      </c>
      <c r="G325" s="357" t="s">
        <v>1676</v>
      </c>
      <c r="H325" s="359">
        <f>ROWS($G$4:G325)</f>
        <v>322</v>
      </c>
      <c r="I325" s="359" t="str">
        <f>IF('School Level Expenditures'!$B$2=A325,'School Tables'!H325,"")</f>
        <v/>
      </c>
      <c r="J325" s="359" t="str">
        <f>IFERROR(SMALL($I$4:$I$325,ROWS($I$4:I325)),"")</f>
        <v/>
      </c>
      <c r="K325" s="333" t="b">
        <f t="shared" ref="K325" si="10">C325=C326</f>
        <v>0</v>
      </c>
    </row>
    <row r="326" spans="1:11" x14ac:dyDescent="0.2">
      <c r="A326" s="332"/>
      <c r="B326" s="332"/>
      <c r="C326" s="332"/>
      <c r="D326" s="332"/>
      <c r="E326" s="332"/>
      <c r="F326" s="287"/>
    </row>
    <row r="327" spans="1:11" x14ac:dyDescent="0.2">
      <c r="A327" s="332"/>
      <c r="B327" s="332"/>
      <c r="C327" s="332"/>
      <c r="D327" s="332"/>
      <c r="E327" s="332"/>
      <c r="F327" s="287"/>
    </row>
    <row r="328" spans="1:11" x14ac:dyDescent="0.2">
      <c r="A328" s="332"/>
      <c r="B328" s="332"/>
      <c r="C328" s="332"/>
      <c r="D328" s="332"/>
      <c r="E328" s="332"/>
      <c r="F328" s="287"/>
    </row>
    <row r="329" spans="1:11" x14ac:dyDescent="0.2">
      <c r="A329" s="332"/>
      <c r="B329" s="332"/>
      <c r="C329" s="332"/>
      <c r="D329" s="332"/>
      <c r="E329" s="332"/>
      <c r="F329" s="287"/>
    </row>
    <row r="330" spans="1:11" x14ac:dyDescent="0.2">
      <c r="A330" s="332"/>
      <c r="B330" s="332"/>
      <c r="C330" s="332"/>
      <c r="D330" s="332"/>
      <c r="E330" s="332"/>
      <c r="F330" s="287"/>
    </row>
    <row r="331" spans="1:11" x14ac:dyDescent="0.2">
      <c r="A331" s="332"/>
      <c r="B331" s="332"/>
      <c r="C331" s="332"/>
      <c r="D331" s="332"/>
      <c r="E331" s="332"/>
      <c r="F331" s="287"/>
    </row>
    <row r="332" spans="1:11" x14ac:dyDescent="0.2">
      <c r="A332" s="332"/>
      <c r="B332" s="332"/>
      <c r="C332" s="332"/>
      <c r="D332" s="332"/>
      <c r="E332" s="332"/>
      <c r="F332" s="287"/>
    </row>
    <row r="333" spans="1:11" x14ac:dyDescent="0.2">
      <c r="A333" s="332"/>
      <c r="B333" s="332"/>
      <c r="C333" s="332"/>
      <c r="D333" s="332"/>
      <c r="E333" s="332"/>
      <c r="F333" s="287"/>
    </row>
    <row r="334" spans="1:11" x14ac:dyDescent="0.2">
      <c r="A334" s="332"/>
      <c r="B334" s="332"/>
      <c r="C334" s="332"/>
      <c r="D334" s="332"/>
      <c r="E334" s="332"/>
      <c r="F334" s="287"/>
    </row>
    <row r="335" spans="1:11" x14ac:dyDescent="0.2">
      <c r="A335" s="332"/>
      <c r="B335" s="332"/>
      <c r="C335" s="332"/>
      <c r="D335" s="332"/>
      <c r="E335" s="332"/>
      <c r="F335" s="287"/>
    </row>
    <row r="336" spans="1:11" x14ac:dyDescent="0.2">
      <c r="A336" s="332"/>
      <c r="B336" s="332"/>
      <c r="C336" s="332"/>
      <c r="D336" s="332"/>
      <c r="E336" s="332"/>
      <c r="F336" s="287"/>
    </row>
    <row r="337" spans="1:6" x14ac:dyDescent="0.2">
      <c r="A337" s="332"/>
      <c r="B337" s="332"/>
      <c r="C337" s="332"/>
      <c r="D337" s="332"/>
      <c r="E337" s="332"/>
      <c r="F337" s="287"/>
    </row>
    <row r="338" spans="1:6" x14ac:dyDescent="0.2">
      <c r="A338" s="332"/>
      <c r="B338" s="332"/>
      <c r="C338" s="332"/>
      <c r="D338" s="332"/>
      <c r="E338" s="332"/>
      <c r="F338" s="287"/>
    </row>
    <row r="339" spans="1:6" x14ac:dyDescent="0.2">
      <c r="A339" s="332"/>
      <c r="B339" s="332"/>
      <c r="C339" s="332"/>
      <c r="D339" s="332"/>
      <c r="E339" s="332"/>
      <c r="F339" s="287"/>
    </row>
    <row r="340" spans="1:6" x14ac:dyDescent="0.2">
      <c r="A340" s="332"/>
      <c r="B340" s="332"/>
      <c r="C340" s="332"/>
      <c r="D340" s="332"/>
      <c r="E340" s="332"/>
      <c r="F340" s="287"/>
    </row>
    <row r="341" spans="1:6" x14ac:dyDescent="0.2">
      <c r="A341" s="332"/>
      <c r="B341" s="332"/>
      <c r="C341" s="332"/>
      <c r="D341" s="332"/>
      <c r="E341" s="332"/>
      <c r="F341" s="287"/>
    </row>
    <row r="342" spans="1:6" x14ac:dyDescent="0.2">
      <c r="A342" s="332"/>
      <c r="B342" s="332"/>
      <c r="C342" s="332"/>
      <c r="D342" s="332"/>
      <c r="E342" s="332"/>
      <c r="F342" s="287"/>
    </row>
    <row r="343" spans="1:6" x14ac:dyDescent="0.2">
      <c r="A343" s="332"/>
      <c r="B343" s="332"/>
      <c r="C343" s="332"/>
      <c r="D343" s="332"/>
      <c r="E343" s="332"/>
      <c r="F343" s="287"/>
    </row>
    <row r="344" spans="1:6" x14ac:dyDescent="0.2">
      <c r="A344" s="332"/>
      <c r="B344" s="332"/>
      <c r="C344" s="332"/>
      <c r="D344" s="332"/>
      <c r="E344" s="332"/>
      <c r="F344" s="287"/>
    </row>
    <row r="345" spans="1:6" x14ac:dyDescent="0.2">
      <c r="A345" s="332"/>
      <c r="B345" s="332"/>
      <c r="C345" s="332"/>
      <c r="D345" s="332"/>
      <c r="E345" s="332"/>
      <c r="F345" s="287"/>
    </row>
    <row r="346" spans="1:6" x14ac:dyDescent="0.2">
      <c r="A346" s="332"/>
      <c r="B346" s="332"/>
      <c r="C346" s="332"/>
      <c r="D346" s="332"/>
      <c r="E346" s="332"/>
      <c r="F346" s="287"/>
    </row>
    <row r="347" spans="1:6" x14ac:dyDescent="0.2">
      <c r="A347" s="332"/>
      <c r="B347" s="332"/>
      <c r="C347" s="332"/>
      <c r="D347" s="332"/>
      <c r="E347" s="332"/>
      <c r="F347" s="287"/>
    </row>
    <row r="348" spans="1:6" x14ac:dyDescent="0.2">
      <c r="A348" s="332"/>
      <c r="B348" s="332"/>
      <c r="C348" s="332"/>
      <c r="D348" s="332"/>
      <c r="E348" s="332"/>
      <c r="F348" s="287"/>
    </row>
    <row r="349" spans="1:6" x14ac:dyDescent="0.2">
      <c r="A349" s="332"/>
      <c r="B349" s="332"/>
      <c r="C349" s="332"/>
      <c r="D349" s="332"/>
      <c r="E349" s="332"/>
      <c r="F349" s="287"/>
    </row>
    <row r="350" spans="1:6" x14ac:dyDescent="0.2">
      <c r="A350" s="332"/>
      <c r="B350" s="332"/>
      <c r="C350" s="332"/>
      <c r="D350" s="332"/>
      <c r="E350" s="332"/>
      <c r="F350" s="287"/>
    </row>
    <row r="351" spans="1:6" x14ac:dyDescent="0.2">
      <c r="A351" s="332"/>
      <c r="B351" s="332"/>
      <c r="C351" s="332"/>
      <c r="D351" s="332"/>
      <c r="E351" s="332"/>
      <c r="F351" s="287"/>
    </row>
    <row r="352" spans="1:6" x14ac:dyDescent="0.2">
      <c r="A352" s="332"/>
      <c r="B352" s="332"/>
      <c r="C352" s="332"/>
      <c r="D352" s="332"/>
      <c r="E352" s="332"/>
      <c r="F352" s="287"/>
    </row>
    <row r="353" spans="1:6" x14ac:dyDescent="0.2">
      <c r="A353" s="332"/>
      <c r="B353" s="332"/>
      <c r="C353" s="332"/>
      <c r="D353" s="332"/>
      <c r="E353" s="332"/>
      <c r="F353" s="287"/>
    </row>
    <row r="354" spans="1:6" x14ac:dyDescent="0.2">
      <c r="A354" s="332"/>
      <c r="B354" s="332"/>
      <c r="C354" s="332"/>
      <c r="D354" s="332"/>
      <c r="E354" s="332"/>
      <c r="F354" s="287"/>
    </row>
    <row r="355" spans="1:6" x14ac:dyDescent="0.2">
      <c r="A355" s="332"/>
      <c r="B355" s="332"/>
      <c r="C355" s="332"/>
      <c r="D355" s="332"/>
      <c r="E355" s="332"/>
      <c r="F355" s="287"/>
    </row>
    <row r="356" spans="1:6" x14ac:dyDescent="0.2">
      <c r="A356" s="332"/>
      <c r="B356" s="332"/>
      <c r="C356" s="332"/>
      <c r="D356" s="332"/>
      <c r="E356" s="332"/>
      <c r="F356" s="287"/>
    </row>
    <row r="357" spans="1:6" x14ac:dyDescent="0.2">
      <c r="A357" s="332"/>
      <c r="B357" s="332"/>
      <c r="C357" s="332"/>
      <c r="D357" s="332"/>
      <c r="E357" s="332"/>
      <c r="F357" s="287"/>
    </row>
    <row r="358" spans="1:6" x14ac:dyDescent="0.2">
      <c r="A358" s="332"/>
      <c r="B358" s="332"/>
      <c r="C358" s="332"/>
      <c r="D358" s="332"/>
      <c r="E358" s="332"/>
      <c r="F358" s="287"/>
    </row>
    <row r="359" spans="1:6" x14ac:dyDescent="0.2">
      <c r="A359" s="332"/>
      <c r="B359" s="332"/>
      <c r="C359" s="332"/>
      <c r="D359" s="332"/>
      <c r="E359" s="332"/>
      <c r="F359" s="287"/>
    </row>
    <row r="360" spans="1:6" x14ac:dyDescent="0.2">
      <c r="A360" s="332"/>
      <c r="B360" s="332"/>
      <c r="C360" s="332"/>
      <c r="D360" s="332"/>
      <c r="E360" s="332"/>
      <c r="F360" s="287"/>
    </row>
    <row r="361" spans="1:6" x14ac:dyDescent="0.2">
      <c r="A361" s="332"/>
      <c r="B361" s="332"/>
      <c r="C361" s="332"/>
      <c r="D361" s="332"/>
      <c r="E361" s="332"/>
      <c r="F361" s="287"/>
    </row>
    <row r="362" spans="1:6" x14ac:dyDescent="0.2">
      <c r="A362" s="332"/>
      <c r="B362" s="332"/>
      <c r="C362" s="332"/>
      <c r="D362" s="332"/>
      <c r="E362" s="332"/>
      <c r="F362" s="287"/>
    </row>
    <row r="363" spans="1:6" x14ac:dyDescent="0.2">
      <c r="A363" s="332"/>
      <c r="B363" s="332"/>
      <c r="C363" s="332"/>
      <c r="D363" s="332"/>
      <c r="E363" s="332"/>
      <c r="F363" s="287"/>
    </row>
    <row r="364" spans="1:6" x14ac:dyDescent="0.2">
      <c r="A364" s="332"/>
      <c r="B364" s="332"/>
      <c r="C364" s="332"/>
      <c r="D364" s="332"/>
      <c r="E364" s="332"/>
      <c r="F364" s="287"/>
    </row>
    <row r="365" spans="1:6" x14ac:dyDescent="0.2">
      <c r="A365" s="332"/>
      <c r="B365" s="332"/>
      <c r="C365" s="332"/>
      <c r="D365" s="332"/>
      <c r="E365" s="332"/>
      <c r="F365" s="287"/>
    </row>
    <row r="366" spans="1:6" x14ac:dyDescent="0.2">
      <c r="A366" s="332"/>
      <c r="B366" s="332"/>
      <c r="C366" s="332"/>
      <c r="D366" s="332"/>
      <c r="E366" s="332"/>
      <c r="F366" s="287"/>
    </row>
    <row r="367" spans="1:6" x14ac:dyDescent="0.2">
      <c r="A367" s="332"/>
      <c r="B367" s="332"/>
      <c r="C367" s="332"/>
      <c r="D367" s="332"/>
      <c r="E367" s="332"/>
      <c r="F367" s="287"/>
    </row>
    <row r="368" spans="1:6" x14ac:dyDescent="0.2">
      <c r="A368" s="332"/>
      <c r="B368" s="332"/>
      <c r="C368" s="332"/>
      <c r="D368" s="332"/>
      <c r="E368" s="332"/>
      <c r="F368" s="287"/>
    </row>
    <row r="369" spans="1:6" x14ac:dyDescent="0.2">
      <c r="A369" s="332"/>
      <c r="B369" s="332"/>
      <c r="C369" s="332"/>
      <c r="D369" s="332"/>
      <c r="E369" s="332"/>
      <c r="F369" s="287"/>
    </row>
    <row r="370" spans="1:6" x14ac:dyDescent="0.2">
      <c r="A370" s="332"/>
      <c r="B370" s="332"/>
      <c r="C370" s="332"/>
      <c r="D370" s="332"/>
      <c r="E370" s="332"/>
      <c r="F370" s="287"/>
    </row>
    <row r="371" spans="1:6" x14ac:dyDescent="0.2">
      <c r="A371" s="332"/>
      <c r="B371" s="332"/>
      <c r="C371" s="332"/>
      <c r="D371" s="332"/>
      <c r="E371" s="332"/>
      <c r="F371" s="287"/>
    </row>
    <row r="372" spans="1:6" x14ac:dyDescent="0.2">
      <c r="A372" s="332"/>
      <c r="B372" s="332"/>
      <c r="C372" s="332"/>
      <c r="D372" s="332"/>
      <c r="E372" s="332"/>
      <c r="F372" s="287"/>
    </row>
    <row r="373" spans="1:6" x14ac:dyDescent="0.2">
      <c r="A373" s="332"/>
      <c r="B373" s="332"/>
      <c r="C373" s="332"/>
      <c r="D373" s="332"/>
      <c r="E373" s="332"/>
      <c r="F373" s="287"/>
    </row>
    <row r="374" spans="1:6" x14ac:dyDescent="0.2">
      <c r="A374" s="332"/>
      <c r="B374" s="332"/>
      <c r="C374" s="332"/>
      <c r="D374" s="332"/>
      <c r="E374" s="332"/>
      <c r="F374" s="287"/>
    </row>
    <row r="375" spans="1:6" x14ac:dyDescent="0.2">
      <c r="A375" s="332"/>
      <c r="B375" s="332"/>
      <c r="C375" s="332"/>
      <c r="D375" s="332"/>
      <c r="E375" s="332"/>
      <c r="F375" s="287"/>
    </row>
    <row r="376" spans="1:6" x14ac:dyDescent="0.2">
      <c r="A376" s="332"/>
      <c r="B376" s="332"/>
      <c r="C376" s="332"/>
      <c r="D376" s="332"/>
      <c r="E376" s="332"/>
      <c r="F376" s="287"/>
    </row>
  </sheetData>
  <sheetProtection algorithmName="SHA-512" hashValue="GyE4uNl0/y/IaE3xh3kQdDhSDxIyD7ZRC4xHPanZayfrVmofa8ZxSchMrSFVLVCldu2A0+0yFecGxW5vDWgXXw==" saltValue="9qICEWFrYnNIe4oG8N7FGw==" spinCount="100000" sheet="1" objects="1" scenarios="1"/>
  <sortState xmlns:xlrd2="http://schemas.microsoft.com/office/spreadsheetml/2017/richdata2" ref="AH3:AL208">
    <sortCondition ref="AJ3:AJ208"/>
  </sortState>
  <conditionalFormatting sqref="W3 F3:F376 W100:W125">
    <cfRule type="containsText" dxfId="7" priority="10" operator="containsText" text="TRUE">
      <formula>NOT(ISERROR(SEARCH("TRUE",F3)))</formula>
    </cfRule>
  </conditionalFormatting>
  <conditionalFormatting sqref="O3 O78:O81">
    <cfRule type="containsText" dxfId="6" priority="9" operator="containsText" text="TRUE">
      <formula>NOT(ISERROR(SEARCH("TRUE",O3)))</formula>
    </cfRule>
  </conditionalFormatting>
  <conditionalFormatting sqref="O4:O77">
    <cfRule type="containsText" dxfId="5" priority="7" operator="containsText" text="TRUE">
      <formula>NOT(ISERROR(SEARCH("TRUE",O4)))</formula>
    </cfRule>
  </conditionalFormatting>
  <conditionalFormatting sqref="W4:W99">
    <cfRule type="containsText" dxfId="4" priority="6" operator="containsText" text="TRUE">
      <formula>NOT(ISERROR(SEARCH("TRUE",W4)))</formula>
    </cfRule>
  </conditionalFormatting>
  <conditionalFormatting sqref="AU3:AU183">
    <cfRule type="cellIs" dxfId="3" priority="5" operator="greaterThan">
      <formula>0</formula>
    </cfRule>
  </conditionalFormatting>
  <conditionalFormatting sqref="AU4:AU183">
    <cfRule type="cellIs" dxfId="2" priority="4" operator="notEqual">
      <formula>0</formula>
    </cfRule>
  </conditionalFormatting>
  <conditionalFormatting sqref="K4:K325 AG4:AG99">
    <cfRule type="cellIs" dxfId="1" priority="3" operator="equal">
      <formula>TRUE</formula>
    </cfRule>
  </conditionalFormatting>
  <conditionalFormatting sqref="V4:V75">
    <cfRule type="cellIs" dxfId="0" priority="2" operator="equal">
      <formula>TRUE</formula>
    </cfRule>
  </conditionalFormatting>
  <pageMargins left="0.7" right="0.7" top="0.75" bottom="0.75" header="0.3" footer="0.3"/>
  <pageSetup orientation="portrait" r:id="rId1"/>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4" baseType="variant">
      <vt:variant>
        <vt:lpstr>Worksheets</vt:lpstr>
      </vt:variant>
      <vt:variant>
        <vt:i4>10</vt:i4>
      </vt:variant>
      <vt:variant>
        <vt:lpstr>Named Ranges</vt:lpstr>
      </vt:variant>
      <vt:variant>
        <vt:i4>40</vt:i4>
      </vt:variant>
    </vt:vector>
  </HeadingPairs>
  <TitlesOfParts>
    <vt:vector size="50" baseType="lpstr">
      <vt:lpstr>DOE25</vt:lpstr>
      <vt:lpstr>ESEA OTHER TITLE PROGRAMS</vt:lpstr>
      <vt:lpstr>Food Service Attachment W</vt:lpstr>
      <vt:lpstr>Salaries-Benefits</vt:lpstr>
      <vt:lpstr>Indirect Cost Rate</vt:lpstr>
      <vt:lpstr>School Level Expenditures</vt:lpstr>
      <vt:lpstr>MS-25</vt:lpstr>
      <vt:lpstr>District Profile</vt:lpstr>
      <vt:lpstr>District &amp; DOE Notes</vt:lpstr>
      <vt:lpstr>School Tables</vt:lpstr>
      <vt:lpstr>INDIRECT_COST_RATE</vt:lpstr>
      <vt:lpstr>ms25pg01</vt:lpstr>
      <vt:lpstr>ms25pg02</vt:lpstr>
      <vt:lpstr>ms25pg03</vt:lpstr>
      <vt:lpstr>ms25pg04</vt:lpstr>
      <vt:lpstr>ms25pg06</vt:lpstr>
      <vt:lpstr>page01</vt:lpstr>
      <vt:lpstr>page02</vt:lpstr>
      <vt:lpstr>page03</vt:lpstr>
      <vt:lpstr>page04</vt:lpstr>
      <vt:lpstr>page05</vt:lpstr>
      <vt:lpstr>page06</vt:lpstr>
      <vt:lpstr>page07</vt:lpstr>
      <vt:lpstr>page08</vt:lpstr>
      <vt:lpstr>page09</vt:lpstr>
      <vt:lpstr>page10</vt:lpstr>
      <vt:lpstr>page11</vt:lpstr>
      <vt:lpstr>page12</vt:lpstr>
      <vt:lpstr>page13</vt:lpstr>
      <vt:lpstr>page14</vt:lpstr>
      <vt:lpstr>page15</vt:lpstr>
      <vt:lpstr>page16</vt:lpstr>
      <vt:lpstr>page17</vt:lpstr>
      <vt:lpstr>page18</vt:lpstr>
      <vt:lpstr>page19</vt:lpstr>
      <vt:lpstr>page20</vt:lpstr>
      <vt:lpstr>page21</vt:lpstr>
      <vt:lpstr>page22</vt:lpstr>
      <vt:lpstr>page23</vt:lpstr>
      <vt:lpstr>Page24</vt:lpstr>
      <vt:lpstr>pageall</vt:lpstr>
      <vt:lpstr>pagecheck</vt:lpstr>
      <vt:lpstr>'District &amp; DOE Notes'!Print_Area</vt:lpstr>
      <vt:lpstr>'District Profile'!Print_Area</vt:lpstr>
      <vt:lpstr>'DOE25'!Print_Area</vt:lpstr>
      <vt:lpstr>'Food Service Attachment W'!Print_Area</vt:lpstr>
      <vt:lpstr>'Indirect Cost Rate'!Print_Area</vt:lpstr>
      <vt:lpstr>'Salaries-Benefits'!Print_Area</vt:lpstr>
      <vt:lpstr>'School Level Expenditures'!Print_Area</vt:lpstr>
      <vt:lpstr>'DOE25'!Print_Titles</vt:lpstr>
    </vt:vector>
  </TitlesOfParts>
  <Company>N H Department of Education</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title>DOE-25 Template</dc:title>
  <dc:subject>District Financial Data</dc:subject>
  <dc:creator>Ronald M. Leclerc</dc:creator>
  <dc:description/>
  <cp:lastModifiedBy>Welch, Matthew</cp:lastModifiedBy>
  <cp:lastPrinted>2022-06-03T13:02:42Z</cp:lastPrinted>
  <dcterms:created xsi:type="dcterms:W3CDTF">1997-12-04T19:04:30Z</dcterms:created>
  <dcterms:modified xsi:type="dcterms:W3CDTF">2022-12-19T15:19:00Z</dcterms:modified>
</cp:coreProperties>
</file>