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E07ED2D4-CD18-4FB5-A9ED-9E5BC08D054A}"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524" i="1" l="1"/>
  <c r="H523" i="1"/>
  <c r="H522" i="1"/>
  <c r="B21" i="12"/>
  <c r="B10" i="12"/>
  <c r="B11" i="12"/>
  <c r="B12" i="12"/>
  <c r="H469" i="1"/>
  <c r="H155" i="1"/>
  <c r="E9" i="17"/>
  <c r="I324" i="1"/>
  <c r="J325" i="1"/>
  <c r="G234" i="1"/>
  <c r="F244" i="1"/>
  <c r="H234" i="1"/>
  <c r="H216" i="1"/>
  <c r="H198" i="1"/>
  <c r="F198" i="1"/>
  <c r="F234" i="1"/>
  <c r="F216" i="1"/>
  <c r="H282" i="1"/>
  <c r="H320" i="1"/>
  <c r="H301" i="1"/>
  <c r="F316" i="1"/>
  <c r="F297" i="1"/>
  <c r="F278" i="1"/>
  <c r="J605" i="1"/>
  <c r="I605" i="1"/>
  <c r="H605" i="1"/>
  <c r="J469" i="1"/>
  <c r="H544" i="1"/>
  <c r="H543" i="1"/>
  <c r="H542" i="1"/>
  <c r="F534" i="1"/>
  <c r="F533" i="1"/>
  <c r="F532" i="1"/>
  <c r="G503" i="1"/>
  <c r="H24" i="1"/>
  <c r="J592" i="1"/>
  <c r="J596" i="1"/>
  <c r="F9" i="1"/>
  <c r="H368" i="1"/>
  <c r="G368" i="1"/>
  <c r="L265" i="1"/>
  <c r="C136" i="2"/>
  <c r="H136" i="2" s="1"/>
  <c r="L266" i="1"/>
  <c r="C137" i="2"/>
  <c r="H137" i="2" s="1"/>
  <c r="L347" i="1"/>
  <c r="E137" i="2"/>
  <c r="L388" i="1"/>
  <c r="L389" i="1"/>
  <c r="L394" i="1" s="1"/>
  <c r="C138" i="2" s="1"/>
  <c r="H138" i="2" s="1"/>
  <c r="L390" i="1"/>
  <c r="L391" i="1"/>
  <c r="L392" i="1"/>
  <c r="L393" i="1"/>
  <c r="L404" i="1"/>
  <c r="L408" i="1" s="1"/>
  <c r="C140" i="2" s="1"/>
  <c r="H140" i="2" s="1"/>
  <c r="L405" i="1"/>
  <c r="L406" i="1"/>
  <c r="L407" i="1"/>
  <c r="L269" i="1"/>
  <c r="C142" i="2" s="1"/>
  <c r="L350" i="1"/>
  <c r="E142" i="2" s="1"/>
  <c r="L270" i="1"/>
  <c r="C143" i="2" s="1"/>
  <c r="H143" i="2" s="1"/>
  <c r="L351" i="1"/>
  <c r="E143" i="2"/>
  <c r="D134" i="2"/>
  <c r="L345" i="1"/>
  <c r="E134" i="2"/>
  <c r="F134" i="2"/>
  <c r="K420" i="1"/>
  <c r="K428" i="1"/>
  <c r="K434" i="1"/>
  <c r="K435" i="1" s="1"/>
  <c r="G134" i="2" s="1"/>
  <c r="L251" i="1"/>
  <c r="C113" i="2" s="1"/>
  <c r="H113" i="2" s="1"/>
  <c r="L333" i="1"/>
  <c r="E113" i="2" s="1"/>
  <c r="L252" i="1"/>
  <c r="L253" i="1"/>
  <c r="L254" i="1"/>
  <c r="C114" i="2"/>
  <c r="H114" i="2" s="1"/>
  <c r="L334" i="1"/>
  <c r="L335" i="1"/>
  <c r="L336" i="1"/>
  <c r="E114" i="2"/>
  <c r="C97" i="2"/>
  <c r="H97" i="2" s="1"/>
  <c r="D97" i="2"/>
  <c r="E97" i="2"/>
  <c r="F97" i="2"/>
  <c r="G97" i="2"/>
  <c r="C98" i="2"/>
  <c r="D98" i="2"/>
  <c r="E98" i="2"/>
  <c r="G98" i="2"/>
  <c r="H98" i="2"/>
  <c r="C99" i="2"/>
  <c r="H99" i="2" s="1"/>
  <c r="D99" i="2"/>
  <c r="E99" i="2"/>
  <c r="F99" i="2"/>
  <c r="C101" i="2"/>
  <c r="D101" i="2"/>
  <c r="E101" i="2"/>
  <c r="H101" i="2" s="1"/>
  <c r="F101" i="2"/>
  <c r="C102" i="2"/>
  <c r="D102" i="2"/>
  <c r="H102" i="2" s="1"/>
  <c r="E102" i="2"/>
  <c r="F102" i="2"/>
  <c r="C94" i="2"/>
  <c r="H94" i="2" s="1"/>
  <c r="F94" i="2"/>
  <c r="C93" i="2"/>
  <c r="H93" i="2" s="1"/>
  <c r="F93" i="2"/>
  <c r="C89" i="2"/>
  <c r="H89" i="2" s="1"/>
  <c r="D89" i="2"/>
  <c r="E89" i="2"/>
  <c r="F89" i="2"/>
  <c r="C90" i="2"/>
  <c r="H90" i="2"/>
  <c r="F147" i="1"/>
  <c r="C85" i="2" s="1"/>
  <c r="G147" i="1"/>
  <c r="D85" i="2"/>
  <c r="H147" i="1"/>
  <c r="E85" i="2" s="1"/>
  <c r="I147" i="1"/>
  <c r="F85" i="2"/>
  <c r="C73" i="2"/>
  <c r="F73" i="2"/>
  <c r="H73" i="2"/>
  <c r="C74" i="2"/>
  <c r="H74" i="2" s="1"/>
  <c r="C79" i="2"/>
  <c r="D79" i="2"/>
  <c r="H79" i="2" s="1"/>
  <c r="E79" i="2"/>
  <c r="C80" i="2"/>
  <c r="E80" i="2"/>
  <c r="H80" i="2" s="1"/>
  <c r="C69" i="2"/>
  <c r="D69" i="2"/>
  <c r="E69" i="2"/>
  <c r="H69" i="2" s="1"/>
  <c r="F69" i="2"/>
  <c r="G69" i="2"/>
  <c r="F94" i="1"/>
  <c r="C58" i="2" s="1"/>
  <c r="H58" i="2" s="1"/>
  <c r="H94" i="1"/>
  <c r="E58" i="2" s="1"/>
  <c r="C48" i="2"/>
  <c r="D48" i="2"/>
  <c r="E48" i="2"/>
  <c r="F48" i="2"/>
  <c r="H48" i="2" s="1"/>
  <c r="I455" i="1"/>
  <c r="J49" i="1" s="1"/>
  <c r="G48" i="2" s="1"/>
  <c r="C47" i="2"/>
  <c r="D47" i="2"/>
  <c r="E47" i="2"/>
  <c r="F47" i="2"/>
  <c r="H47" i="2" s="1"/>
  <c r="I460" i="1"/>
  <c r="J48" i="1"/>
  <c r="G47" i="2" s="1"/>
  <c r="C44" i="2"/>
  <c r="D44" i="2"/>
  <c r="E44" i="2"/>
  <c r="F44" i="2"/>
  <c r="I456" i="1"/>
  <c r="J45" i="1"/>
  <c r="G44" i="2" s="1"/>
  <c r="F40" i="2"/>
  <c r="H40" i="2"/>
  <c r="C38" i="2"/>
  <c r="D38" i="2"/>
  <c r="E38" i="2"/>
  <c r="F38" i="2"/>
  <c r="I459" i="1"/>
  <c r="J39" i="1"/>
  <c r="G38" i="2" s="1"/>
  <c r="C36" i="2"/>
  <c r="D36" i="2"/>
  <c r="E36" i="2"/>
  <c r="F36" i="2"/>
  <c r="I458" i="1"/>
  <c r="J37" i="1"/>
  <c r="G36" i="2" s="1"/>
  <c r="C35" i="2"/>
  <c r="D35" i="2"/>
  <c r="H35" i="2" s="1"/>
  <c r="E35" i="2"/>
  <c r="F35" i="2"/>
  <c r="C34" i="2"/>
  <c r="D34" i="2"/>
  <c r="E34" i="2"/>
  <c r="F34" i="2"/>
  <c r="H34" i="2"/>
  <c r="C24" i="2"/>
  <c r="D24" i="2"/>
  <c r="E24" i="2"/>
  <c r="F24" i="2"/>
  <c r="H24" i="2" s="1"/>
  <c r="C25" i="2"/>
  <c r="F25" i="2"/>
  <c r="H25" i="2"/>
  <c r="C26" i="2"/>
  <c r="F26" i="2"/>
  <c r="H26" i="2"/>
  <c r="C27" i="2"/>
  <c r="D27" i="2"/>
  <c r="E27" i="2"/>
  <c r="F27" i="2"/>
  <c r="H27" i="2"/>
  <c r="C28" i="2"/>
  <c r="D28" i="2"/>
  <c r="E28" i="2"/>
  <c r="F28" i="2"/>
  <c r="H28" i="2" s="1"/>
  <c r="C30" i="2"/>
  <c r="D30" i="2"/>
  <c r="E30" i="2"/>
  <c r="H30" i="2" s="1"/>
  <c r="F30" i="2"/>
  <c r="I452" i="1"/>
  <c r="J31" i="1"/>
  <c r="G30" i="2"/>
  <c r="C9" i="2"/>
  <c r="D9" i="2"/>
  <c r="E9" i="2"/>
  <c r="F9" i="2"/>
  <c r="I441" i="1"/>
  <c r="J10" i="1" s="1"/>
  <c r="G9" i="2" s="1"/>
  <c r="C10" i="2"/>
  <c r="H10" i="2"/>
  <c r="F14" i="2"/>
  <c r="H14" i="2" s="1"/>
  <c r="C16" i="2"/>
  <c r="H16" i="2" s="1"/>
  <c r="D16" i="2"/>
  <c r="E16" i="2"/>
  <c r="F16" i="2"/>
  <c r="I445" i="1"/>
  <c r="J17" i="1"/>
  <c r="G16" i="2"/>
  <c r="C17" i="2"/>
  <c r="H17" i="2" s="1"/>
  <c r="D17" i="2"/>
  <c r="E17" i="2"/>
  <c r="F17" i="2"/>
  <c r="I446" i="1"/>
  <c r="J18" i="1"/>
  <c r="G17" i="2"/>
  <c r="C2" i="1"/>
  <c r="B2" i="1"/>
  <c r="G655" i="1"/>
  <c r="E7" i="17"/>
  <c r="AG5" i="15"/>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c r="G653" i="1"/>
  <c r="E43" i="14"/>
  <c r="D43" i="14"/>
  <c r="E33" i="14"/>
  <c r="D33" i="14"/>
  <c r="E21" i="14"/>
  <c r="D21" i="14"/>
  <c r="G36" i="13"/>
  <c r="G29" i="13"/>
  <c r="B22" i="12"/>
  <c r="B5" i="14"/>
  <c r="C5" i="14" s="1"/>
  <c r="F88" i="2"/>
  <c r="E88" i="2"/>
  <c r="D88" i="2"/>
  <c r="C88" i="2"/>
  <c r="H88" i="2" s="1"/>
  <c r="I163" i="1"/>
  <c r="H163" i="1"/>
  <c r="G163" i="1"/>
  <c r="F163" i="1"/>
  <c r="B31" i="16"/>
  <c r="B27" i="16"/>
  <c r="B9" i="16"/>
  <c r="B5" i="16"/>
  <c r="F42" i="14"/>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24" i="14" s="1"/>
  <c r="F5" i="14"/>
  <c r="F4" i="14" s="1"/>
  <c r="F36" i="14"/>
  <c r="B2" i="14"/>
  <c r="AE12" i="15" s="1"/>
  <c r="A2" i="14"/>
  <c r="AE16" i="15"/>
  <c r="AE20" i="15"/>
  <c r="AE32" i="15"/>
  <c r="AE48" i="15"/>
  <c r="AE52" i="15"/>
  <c r="AE64" i="15"/>
  <c r="AE80" i="15"/>
  <c r="AE84" i="15"/>
  <c r="AE96" i="15"/>
  <c r="AE9" i="15"/>
  <c r="AE13" i="15"/>
  <c r="AE29" i="15"/>
  <c r="AE37" i="15"/>
  <c r="AE49" i="15"/>
  <c r="AE53" i="15"/>
  <c r="AE73" i="15"/>
  <c r="AE85" i="15"/>
  <c r="AE4" i="15"/>
  <c r="AE21" i="15"/>
  <c r="AE65" i="15"/>
  <c r="AE89" i="15"/>
  <c r="AE6" i="15"/>
  <c r="AE10" i="15"/>
  <c r="AE22" i="15"/>
  <c r="AE30" i="15"/>
  <c r="AE38" i="15"/>
  <c r="AE42" i="15"/>
  <c r="AE54" i="15"/>
  <c r="AE62" i="15"/>
  <c r="AE70" i="15"/>
  <c r="AE74" i="15"/>
  <c r="AE86" i="15"/>
  <c r="AE94" i="15"/>
  <c r="AE15" i="15"/>
  <c r="AE31" i="15"/>
  <c r="AE79" i="15"/>
  <c r="AE19" i="15"/>
  <c r="AE51" i="15"/>
  <c r="AE67" i="15"/>
  <c r="AE7" i="15"/>
  <c r="AE39" i="15"/>
  <c r="AE71" i="15"/>
  <c r="AE87" i="15"/>
  <c r="AE43" i="15"/>
  <c r="AE75" i="15"/>
  <c r="T8" i="15"/>
  <c r="T12" i="15"/>
  <c r="T24" i="15"/>
  <c r="T32" i="15"/>
  <c r="T40" i="15"/>
  <c r="T44" i="15"/>
  <c r="T56" i="15"/>
  <c r="T64" i="15"/>
  <c r="T72" i="15"/>
  <c r="T4" i="15"/>
  <c r="T13" i="15"/>
  <c r="T21" i="15"/>
  <c r="T29" i="15"/>
  <c r="T33" i="15"/>
  <c r="T45" i="15"/>
  <c r="T53" i="15"/>
  <c r="T6" i="15"/>
  <c r="T14" i="15"/>
  <c r="T38" i="15"/>
  <c r="T54" i="15"/>
  <c r="T61" i="15"/>
  <c r="T66" i="15"/>
  <c r="T71" i="15"/>
  <c r="T51" i="15"/>
  <c r="T65" i="15"/>
  <c r="T75" i="15"/>
  <c r="T7" i="15"/>
  <c r="T15" i="15"/>
  <c r="T39" i="15"/>
  <c r="T55" i="15"/>
  <c r="T62" i="15"/>
  <c r="T67" i="15"/>
  <c r="T73" i="15"/>
  <c r="T43" i="15"/>
  <c r="T10" i="15"/>
  <c r="T18" i="15"/>
  <c r="T26" i="15"/>
  <c r="T34" i="15"/>
  <c r="T58" i="15"/>
  <c r="T69" i="15"/>
  <c r="T74" i="15"/>
  <c r="I6" i="15"/>
  <c r="I10" i="15"/>
  <c r="I22" i="15"/>
  <c r="I30" i="15"/>
  <c r="I34" i="15"/>
  <c r="I38" i="15"/>
  <c r="I42" i="15"/>
  <c r="I54" i="15"/>
  <c r="I62" i="15"/>
  <c r="I66" i="15"/>
  <c r="I70" i="15"/>
  <c r="I74" i="15"/>
  <c r="I86" i="15"/>
  <c r="I94" i="15"/>
  <c r="I98" i="15"/>
  <c r="I102" i="15"/>
  <c r="I106" i="15"/>
  <c r="I15" i="15"/>
  <c r="I23" i="15"/>
  <c r="I27" i="15"/>
  <c r="I31" i="15"/>
  <c r="I35" i="15"/>
  <c r="I47" i="15"/>
  <c r="I55" i="15"/>
  <c r="I59" i="15"/>
  <c r="I63" i="15"/>
  <c r="I67" i="15"/>
  <c r="I79" i="15"/>
  <c r="I87" i="15"/>
  <c r="I91" i="15"/>
  <c r="I95" i="15"/>
  <c r="I99" i="15"/>
  <c r="I111" i="15"/>
  <c r="I119" i="15"/>
  <c r="I123" i="15"/>
  <c r="I127" i="15"/>
  <c r="I131" i="15"/>
  <c r="I143" i="15"/>
  <c r="I151" i="15"/>
  <c r="I155" i="15"/>
  <c r="I159" i="15"/>
  <c r="I163" i="15"/>
  <c r="I175" i="15"/>
  <c r="I183" i="15"/>
  <c r="I187" i="15"/>
  <c r="I191" i="15"/>
  <c r="I195" i="15"/>
  <c r="I207" i="15"/>
  <c r="I215" i="15"/>
  <c r="I219" i="15"/>
  <c r="I223" i="15"/>
  <c r="I227" i="15"/>
  <c r="I239" i="15"/>
  <c r="I247" i="15"/>
  <c r="I251" i="15"/>
  <c r="I8" i="15"/>
  <c r="I12" i="15"/>
  <c r="I24" i="15"/>
  <c r="I32" i="15"/>
  <c r="I36" i="15"/>
  <c r="I40" i="15"/>
  <c r="I44" i="15"/>
  <c r="I56" i="15"/>
  <c r="I64" i="15"/>
  <c r="I68" i="15"/>
  <c r="I72" i="15"/>
  <c r="I76" i="15"/>
  <c r="I88" i="15"/>
  <c r="I96" i="15"/>
  <c r="I100" i="15"/>
  <c r="I104" i="15"/>
  <c r="I108" i="15"/>
  <c r="I120" i="15"/>
  <c r="I128" i="15"/>
  <c r="I132" i="15"/>
  <c r="I136" i="15"/>
  <c r="I140" i="15"/>
  <c r="I152" i="15"/>
  <c r="I160" i="15"/>
  <c r="I164" i="15"/>
  <c r="I168" i="15"/>
  <c r="I172" i="15"/>
  <c r="I184" i="15"/>
  <c r="I192" i="15"/>
  <c r="I196" i="15"/>
  <c r="I200" i="15"/>
  <c r="I204" i="15"/>
  <c r="I216" i="15"/>
  <c r="I224" i="15"/>
  <c r="I228" i="15"/>
  <c r="I232" i="15"/>
  <c r="I236" i="15"/>
  <c r="I248" i="15"/>
  <c r="I29" i="15"/>
  <c r="I45" i="15"/>
  <c r="I61" i="15"/>
  <c r="I77" i="15"/>
  <c r="I117" i="15"/>
  <c r="I133" i="15"/>
  <c r="I141" i="15"/>
  <c r="I149" i="15"/>
  <c r="I157" i="15"/>
  <c r="I181" i="15"/>
  <c r="I197" i="15"/>
  <c r="I205" i="15"/>
  <c r="I213" i="15"/>
  <c r="I221" i="15"/>
  <c r="I245" i="15"/>
  <c r="I256" i="15"/>
  <c r="I260" i="15"/>
  <c r="I264" i="15"/>
  <c r="I268" i="15"/>
  <c r="I280" i="15"/>
  <c r="I288" i="15"/>
  <c r="I292" i="15"/>
  <c r="I296" i="15"/>
  <c r="I300" i="15"/>
  <c r="I312" i="15"/>
  <c r="I320" i="15"/>
  <c r="I324" i="15"/>
  <c r="I9" i="15"/>
  <c r="I25" i="15"/>
  <c r="I73" i="15"/>
  <c r="I105" i="15"/>
  <c r="I114" i="15"/>
  <c r="I122" i="15"/>
  <c r="I130" i="15"/>
  <c r="I154" i="15"/>
  <c r="I170" i="15"/>
  <c r="I178" i="15"/>
  <c r="I186" i="15"/>
  <c r="I194" i="15"/>
  <c r="I218" i="15"/>
  <c r="I250" i="15"/>
  <c r="I255" i="15"/>
  <c r="I259" i="15"/>
  <c r="I263" i="15"/>
  <c r="I291" i="15"/>
  <c r="I315" i="15"/>
  <c r="I17" i="15"/>
  <c r="I33" i="15"/>
  <c r="I49" i="15"/>
  <c r="I97" i="15"/>
  <c r="I118" i="15"/>
  <c r="I126" i="15"/>
  <c r="I134" i="15"/>
  <c r="I142" i="15"/>
  <c r="I166" i="15"/>
  <c r="I182" i="15"/>
  <c r="I190" i="15"/>
  <c r="I198" i="15"/>
  <c r="I206" i="15"/>
  <c r="I230" i="15"/>
  <c r="I246" i="15"/>
  <c r="I253" i="15"/>
  <c r="I257" i="15"/>
  <c r="I261" i="15"/>
  <c r="I273" i="15"/>
  <c r="I281" i="15"/>
  <c r="I285" i="15"/>
  <c r="I289" i="15"/>
  <c r="I293" i="15"/>
  <c r="I305" i="15"/>
  <c r="I313" i="15"/>
  <c r="I317" i="15"/>
  <c r="I321" i="15"/>
  <c r="I325" i="15"/>
  <c r="I283" i="15"/>
  <c r="I307" i="15"/>
  <c r="I323" i="15"/>
  <c r="I5" i="15"/>
  <c r="I21" i="15"/>
  <c r="I69" i="15"/>
  <c r="I101" i="15"/>
  <c r="I113" i="15"/>
  <c r="I121" i="15"/>
  <c r="I129" i="15"/>
  <c r="I153" i="15"/>
  <c r="I169" i="15"/>
  <c r="I177" i="15"/>
  <c r="I185" i="15"/>
  <c r="I193" i="15"/>
  <c r="I217" i="15"/>
  <c r="I233" i="15"/>
  <c r="I241" i="15"/>
  <c r="I249" i="15"/>
  <c r="I254" i="15"/>
  <c r="I266" i="15"/>
  <c r="I274" i="15"/>
  <c r="I278" i="15"/>
  <c r="I282" i="15"/>
  <c r="I286" i="15"/>
  <c r="I298" i="15"/>
  <c r="I306" i="15"/>
  <c r="I310" i="15"/>
  <c r="I314" i="15"/>
  <c r="I318" i="15"/>
  <c r="I242" i="15"/>
  <c r="I287" i="15"/>
  <c r="I299" i="15"/>
  <c r="I311" i="15"/>
  <c r="I319" i="15"/>
  <c r="F33" i="13"/>
  <c r="C45" i="2"/>
  <c r="H45" i="2"/>
  <c r="G51" i="1"/>
  <c r="F51" i="1"/>
  <c r="C37" i="10"/>
  <c r="D39" i="2"/>
  <c r="H39" i="2" s="1"/>
  <c r="G656" i="1"/>
  <c r="F43" i="2"/>
  <c r="E43" i="2"/>
  <c r="D43" i="2"/>
  <c r="H43" i="2" s="1"/>
  <c r="C43" i="2"/>
  <c r="F42" i="2"/>
  <c r="E42" i="2"/>
  <c r="D42" i="2"/>
  <c r="C42" i="2"/>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D6" i="13" s="1"/>
  <c r="C6" i="13" s="1"/>
  <c r="L221" i="1"/>
  <c r="L239" i="1"/>
  <c r="G7" i="13"/>
  <c r="H7" i="13"/>
  <c r="L204" i="1"/>
  <c r="L222" i="1"/>
  <c r="L240" i="1"/>
  <c r="G12" i="13"/>
  <c r="H12" i="13"/>
  <c r="L206" i="1"/>
  <c r="C121" i="2" s="1"/>
  <c r="L224" i="1"/>
  <c r="L242" i="1"/>
  <c r="G14" i="13"/>
  <c r="H14" i="13"/>
  <c r="L208" i="1"/>
  <c r="L226" i="1"/>
  <c r="L244" i="1"/>
  <c r="G15" i="13"/>
  <c r="H15" i="13"/>
  <c r="L209" i="1"/>
  <c r="L227" i="1"/>
  <c r="L245" i="1"/>
  <c r="G17" i="13"/>
  <c r="H17" i="13"/>
  <c r="G18" i="13"/>
  <c r="D18" i="13" s="1"/>
  <c r="C18" i="13" s="1"/>
  <c r="H18" i="13"/>
  <c r="G19" i="13"/>
  <c r="H19" i="13"/>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E112" i="2" s="1"/>
  <c r="L301" i="1"/>
  <c r="L302" i="1"/>
  <c r="L303" i="1"/>
  <c r="L304" i="1"/>
  <c r="L305" i="1"/>
  <c r="L306" i="1"/>
  <c r="L307" i="1"/>
  <c r="L308" i="1"/>
  <c r="L315" i="1"/>
  <c r="L316" i="1"/>
  <c r="L317" i="1"/>
  <c r="L318" i="1"/>
  <c r="L320" i="1"/>
  <c r="L321" i="1"/>
  <c r="L322" i="1"/>
  <c r="C17" i="10" s="1"/>
  <c r="L323" i="1"/>
  <c r="L324" i="1"/>
  <c r="L325" i="1"/>
  <c r="L326" i="1"/>
  <c r="L327" i="1"/>
  <c r="L261" i="1"/>
  <c r="C32" i="10" s="1"/>
  <c r="L262" i="1"/>
  <c r="C132" i="2"/>
  <c r="L343" i="1"/>
  <c r="E132" i="2"/>
  <c r="L342" i="1"/>
  <c r="L256" i="1"/>
  <c r="L337" i="1"/>
  <c r="E130" i="2"/>
  <c r="C11" i="13"/>
  <c r="C10" i="13"/>
  <c r="C9" i="13"/>
  <c r="L362" i="1"/>
  <c r="B4" i="12"/>
  <c r="B36" i="12"/>
  <c r="C36" i="12"/>
  <c r="B40" i="12"/>
  <c r="C40" i="12"/>
  <c r="B27" i="12"/>
  <c r="C27" i="12"/>
  <c r="B31" i="12"/>
  <c r="C31" i="12"/>
  <c r="B9" i="12"/>
  <c r="B13" i="12"/>
  <c r="C9" i="12"/>
  <c r="C13" i="12"/>
  <c r="B18" i="12"/>
  <c r="A22" i="12" s="1"/>
  <c r="C18" i="12"/>
  <c r="C22" i="12"/>
  <c r="B1" i="12"/>
  <c r="L396" i="1"/>
  <c r="L397" i="1"/>
  <c r="L398" i="1"/>
  <c r="L399" i="1"/>
  <c r="L400" i="1"/>
  <c r="L402" i="1" s="1"/>
  <c r="L401" i="1"/>
  <c r="L267" i="1"/>
  <c r="J60" i="1"/>
  <c r="G56" i="2"/>
  <c r="G59" i="2"/>
  <c r="G61" i="2"/>
  <c r="G62" i="2" s="1"/>
  <c r="F2" i="11"/>
  <c r="L614" i="1"/>
  <c r="H664" i="1" s="1"/>
  <c r="L613" i="1"/>
  <c r="G664" i="1"/>
  <c r="L612" i="1"/>
  <c r="F664" i="1"/>
  <c r="C40" i="10"/>
  <c r="F60" i="1"/>
  <c r="G60" i="1"/>
  <c r="D56" i="2" s="1"/>
  <c r="H60" i="1"/>
  <c r="E56" i="2"/>
  <c r="I60" i="1"/>
  <c r="F79" i="1"/>
  <c r="C57" i="2" s="1"/>
  <c r="H57" i="2" s="1"/>
  <c r="H79" i="1"/>
  <c r="E57" i="2" s="1"/>
  <c r="F111" i="1"/>
  <c r="G111" i="1"/>
  <c r="H111" i="1"/>
  <c r="I111" i="1"/>
  <c r="I112" i="1" s="1"/>
  <c r="J111" i="1"/>
  <c r="J112" i="1" s="1"/>
  <c r="F121" i="1"/>
  <c r="F136" i="1"/>
  <c r="G121" i="1"/>
  <c r="G136" i="1"/>
  <c r="H121" i="1"/>
  <c r="H136" i="1"/>
  <c r="H140" i="1"/>
  <c r="H194" i="1" s="1"/>
  <c r="G630" i="1" s="1"/>
  <c r="I121" i="1"/>
  <c r="I136" i="1"/>
  <c r="J121" i="1"/>
  <c r="J140" i="1" s="1"/>
  <c r="J136" i="1"/>
  <c r="F170" i="1"/>
  <c r="H170" i="1"/>
  <c r="L255" i="1"/>
  <c r="I666" i="1"/>
  <c r="I671" i="1"/>
  <c r="I670" i="1"/>
  <c r="C42" i="10"/>
  <c r="L375" i="1"/>
  <c r="L376" i="1"/>
  <c r="L377" i="1"/>
  <c r="L378" i="1"/>
  <c r="L379" i="1"/>
  <c r="L380" i="1"/>
  <c r="L381" i="1"/>
  <c r="B2" i="10"/>
  <c r="L346" i="1"/>
  <c r="E135" i="2"/>
  <c r="L348" i="1"/>
  <c r="K352" i="1"/>
  <c r="L522" i="1"/>
  <c r="F550" i="1" s="1"/>
  <c r="K550" i="1" s="1"/>
  <c r="L523" i="1"/>
  <c r="F551" i="1"/>
  <c r="L524" i="1"/>
  <c r="F552" i="1"/>
  <c r="L527" i="1"/>
  <c r="G550" i="1" s="1"/>
  <c r="G553" i="1" s="1"/>
  <c r="L528" i="1"/>
  <c r="G551" i="1" s="1"/>
  <c r="L529" i="1"/>
  <c r="G552" i="1"/>
  <c r="L532" i="1"/>
  <c r="H550" i="1"/>
  <c r="L533" i="1"/>
  <c r="H551" i="1" s="1"/>
  <c r="H553" i="1" s="1"/>
  <c r="L534" i="1"/>
  <c r="H552" i="1" s="1"/>
  <c r="L537" i="1"/>
  <c r="I550" i="1"/>
  <c r="L538" i="1"/>
  <c r="I551" i="1"/>
  <c r="L539" i="1"/>
  <c r="I552" i="1" s="1"/>
  <c r="K552" i="1" s="1"/>
  <c r="L542" i="1"/>
  <c r="J550" i="1" s="1"/>
  <c r="L543" i="1"/>
  <c r="J551" i="1"/>
  <c r="L544" i="1"/>
  <c r="J552" i="1"/>
  <c r="K271" i="1"/>
  <c r="L271" i="1" s="1"/>
  <c r="J271" i="1"/>
  <c r="I271" i="1"/>
  <c r="H271" i="1"/>
  <c r="G271" i="1"/>
  <c r="F271" i="1"/>
  <c r="C131" i="2"/>
  <c r="E131" i="2"/>
  <c r="H131" i="2"/>
  <c r="A1" i="2"/>
  <c r="A2" i="2"/>
  <c r="C8" i="2"/>
  <c r="D8" i="2"/>
  <c r="E8" i="2"/>
  <c r="F8" i="2"/>
  <c r="I440" i="1"/>
  <c r="J9" i="1"/>
  <c r="C11" i="2"/>
  <c r="D11" i="2"/>
  <c r="E11" i="2"/>
  <c r="F11" i="2"/>
  <c r="I442" i="1"/>
  <c r="J12" i="1"/>
  <c r="G11" i="2"/>
  <c r="H11" i="2" s="1"/>
  <c r="C12" i="2"/>
  <c r="D12" i="2"/>
  <c r="E12" i="2"/>
  <c r="F12" i="2"/>
  <c r="I443" i="1"/>
  <c r="J13" i="1" s="1"/>
  <c r="G12" i="2"/>
  <c r="H12" i="2" s="1"/>
  <c r="C13" i="2"/>
  <c r="D13" i="2"/>
  <c r="E13" i="2"/>
  <c r="F13" i="2"/>
  <c r="I444" i="1"/>
  <c r="J14" i="1"/>
  <c r="G13" i="2" s="1"/>
  <c r="C15" i="2"/>
  <c r="D15" i="2"/>
  <c r="E15" i="2"/>
  <c r="E18" i="2" s="1"/>
  <c r="F15" i="2"/>
  <c r="C21" i="2"/>
  <c r="D21" i="2"/>
  <c r="E21" i="2"/>
  <c r="F21" i="2"/>
  <c r="F31" i="2" s="1"/>
  <c r="F51" i="2" s="1"/>
  <c r="I449" i="1"/>
  <c r="J22" i="1"/>
  <c r="C22" i="2"/>
  <c r="D22" i="2"/>
  <c r="E22" i="2"/>
  <c r="F22" i="2"/>
  <c r="I450" i="1"/>
  <c r="J23" i="1" s="1"/>
  <c r="G22" i="2" s="1"/>
  <c r="H22" i="2"/>
  <c r="C23" i="2"/>
  <c r="D23" i="2"/>
  <c r="E23" i="2"/>
  <c r="F23" i="2"/>
  <c r="I451" i="1"/>
  <c r="J24" i="1"/>
  <c r="G23" i="2" s="1"/>
  <c r="H23" i="2" s="1"/>
  <c r="C29" i="2"/>
  <c r="D29" i="2"/>
  <c r="E29" i="2"/>
  <c r="F29" i="2"/>
  <c r="H29" i="2"/>
  <c r="I457" i="1"/>
  <c r="J43" i="1" s="1"/>
  <c r="C49" i="2"/>
  <c r="H49" i="2" s="1"/>
  <c r="F56" i="2"/>
  <c r="C59" i="2"/>
  <c r="D59" i="2"/>
  <c r="E59" i="2"/>
  <c r="F59" i="2"/>
  <c r="H59" i="2"/>
  <c r="D60" i="2"/>
  <c r="H60" i="2"/>
  <c r="C61" i="2"/>
  <c r="D61" i="2"/>
  <c r="E61" i="2"/>
  <c r="F61" i="2"/>
  <c r="C66" i="2"/>
  <c r="H66" i="2"/>
  <c r="C67" i="2"/>
  <c r="H67" i="2"/>
  <c r="D70" i="2"/>
  <c r="E70" i="2"/>
  <c r="F70" i="2"/>
  <c r="G70" i="2"/>
  <c r="C72" i="2"/>
  <c r="H72" i="2" s="1"/>
  <c r="F72" i="2"/>
  <c r="F78" i="2" s="1"/>
  <c r="C75" i="2"/>
  <c r="C76" i="2"/>
  <c r="E76" i="2"/>
  <c r="F76" i="2"/>
  <c r="H76" i="2"/>
  <c r="C77" i="2"/>
  <c r="D77" i="2"/>
  <c r="E77" i="2"/>
  <c r="F77" i="2"/>
  <c r="G77" i="2"/>
  <c r="G78" i="2" s="1"/>
  <c r="G81" i="2" s="1"/>
  <c r="C87" i="2"/>
  <c r="H87" i="2" s="1"/>
  <c r="E87" i="2"/>
  <c r="F87" i="2"/>
  <c r="F91" i="2" s="1"/>
  <c r="D96" i="2"/>
  <c r="H96" i="2" s="1"/>
  <c r="E96" i="2"/>
  <c r="F96" i="2"/>
  <c r="G96" i="2"/>
  <c r="C100" i="2"/>
  <c r="D100" i="2"/>
  <c r="E100" i="2"/>
  <c r="E103" i="2" s="1"/>
  <c r="F100" i="2"/>
  <c r="H100" i="2"/>
  <c r="E111" i="2"/>
  <c r="C112" i="2"/>
  <c r="D115" i="2"/>
  <c r="F115" i="2"/>
  <c r="G115" i="2"/>
  <c r="E120" i="2"/>
  <c r="H120" i="2" s="1"/>
  <c r="E124" i="2"/>
  <c r="C125" i="2"/>
  <c r="H125" i="2" s="1"/>
  <c r="E125" i="2"/>
  <c r="F128" i="2"/>
  <c r="G128" i="2"/>
  <c r="C130" i="2"/>
  <c r="D144" i="2"/>
  <c r="L264" i="1"/>
  <c r="C135" i="2"/>
  <c r="H135"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G156" i="2" s="1"/>
  <c r="F156" i="2"/>
  <c r="B157" i="2"/>
  <c r="G157" i="2" s="1"/>
  <c r="C157" i="2"/>
  <c r="D157" i="2"/>
  <c r="E157" i="2"/>
  <c r="F157" i="2"/>
  <c r="B158" i="2"/>
  <c r="C158" i="2"/>
  <c r="G158" i="2" s="1"/>
  <c r="D158" i="2"/>
  <c r="E158" i="2"/>
  <c r="F158" i="2"/>
  <c r="B159" i="2"/>
  <c r="C159" i="2"/>
  <c r="D159" i="2"/>
  <c r="E159" i="2"/>
  <c r="F159" i="2"/>
  <c r="B160" i="2"/>
  <c r="C160" i="2"/>
  <c r="G160" i="2" s="1"/>
  <c r="D160" i="2"/>
  <c r="E160" i="2"/>
  <c r="F160" i="2"/>
  <c r="F501" i="1"/>
  <c r="B161" i="2"/>
  <c r="G501" i="1"/>
  <c r="K501" i="1" s="1"/>
  <c r="H501" i="1"/>
  <c r="D161" i="2" s="1"/>
  <c r="I501" i="1"/>
  <c r="E161" i="2" s="1"/>
  <c r="J501" i="1"/>
  <c r="F161" i="2"/>
  <c r="B162" i="2"/>
  <c r="C162" i="2"/>
  <c r="D162" i="2"/>
  <c r="E162" i="2"/>
  <c r="F162" i="2"/>
  <c r="B163" i="2"/>
  <c r="C163" i="2"/>
  <c r="D163" i="2"/>
  <c r="E163" i="2"/>
  <c r="G163" i="2" s="1"/>
  <c r="F163" i="2"/>
  <c r="F504" i="1"/>
  <c r="G504" i="1"/>
  <c r="C164" i="2" s="1"/>
  <c r="H504" i="1"/>
  <c r="D164" i="2"/>
  <c r="I504" i="1"/>
  <c r="E164" i="2" s="1"/>
  <c r="J504" i="1"/>
  <c r="F164" i="2" s="1"/>
  <c r="F19" i="1"/>
  <c r="G618" i="1" s="1"/>
  <c r="G19" i="1"/>
  <c r="G619" i="1"/>
  <c r="H19" i="1"/>
  <c r="G620" i="1" s="1"/>
  <c r="J620" i="1" s="1"/>
  <c r="I19" i="1"/>
  <c r="G621" i="1" s="1"/>
  <c r="F32" i="1"/>
  <c r="F52" i="1" s="1"/>
  <c r="H618" i="1" s="1"/>
  <c r="G32" i="1"/>
  <c r="G52" i="1"/>
  <c r="H619" i="1"/>
  <c r="H32" i="1"/>
  <c r="I32" i="1"/>
  <c r="I52" i="1" s="1"/>
  <c r="H621" i="1" s="1"/>
  <c r="H51" i="1"/>
  <c r="I51" i="1"/>
  <c r="F178" i="1"/>
  <c r="I178" i="1"/>
  <c r="F184" i="1"/>
  <c r="G184" i="1"/>
  <c r="H184" i="1"/>
  <c r="I184" i="1"/>
  <c r="I193" i="1" s="1"/>
  <c r="J184" i="1"/>
  <c r="J193" i="1"/>
  <c r="F189" i="1"/>
  <c r="G189" i="1"/>
  <c r="H189" i="1"/>
  <c r="I189" i="1"/>
  <c r="F212" i="1"/>
  <c r="G212" i="1"/>
  <c r="G258" i="1" s="1"/>
  <c r="G272" i="1" s="1"/>
  <c r="H212" i="1"/>
  <c r="I212" i="1"/>
  <c r="J212" i="1"/>
  <c r="K212" i="1"/>
  <c r="F230" i="1"/>
  <c r="G230" i="1"/>
  <c r="H230" i="1"/>
  <c r="I230" i="1"/>
  <c r="I258" i="1" s="1"/>
  <c r="I272" i="1" s="1"/>
  <c r="J230" i="1"/>
  <c r="K230" i="1"/>
  <c r="F248" i="1"/>
  <c r="G248" i="1"/>
  <c r="H248" i="1"/>
  <c r="I248" i="1"/>
  <c r="J248" i="1"/>
  <c r="K248" i="1"/>
  <c r="K258" i="1" s="1"/>
  <c r="K272" i="1" s="1"/>
  <c r="F257" i="1"/>
  <c r="G257" i="1"/>
  <c r="H257" i="1"/>
  <c r="I257" i="1"/>
  <c r="J257" i="1"/>
  <c r="K257" i="1"/>
  <c r="L257" i="1" s="1"/>
  <c r="F291" i="1"/>
  <c r="G291" i="1"/>
  <c r="G339" i="1" s="1"/>
  <c r="G353" i="1" s="1"/>
  <c r="H291" i="1"/>
  <c r="I291" i="1"/>
  <c r="F310" i="1"/>
  <c r="G310" i="1"/>
  <c r="H310" i="1"/>
  <c r="I310" i="1"/>
  <c r="I339" i="1" s="1"/>
  <c r="I353" i="1" s="1"/>
  <c r="F329" i="1"/>
  <c r="G329" i="1"/>
  <c r="H329" i="1"/>
  <c r="I329" i="1"/>
  <c r="F338" i="1"/>
  <c r="G338" i="1"/>
  <c r="H338" i="1"/>
  <c r="I338" i="1"/>
  <c r="J338" i="1"/>
  <c r="K338" i="1"/>
  <c r="K339" i="1" s="1"/>
  <c r="K353" i="1" s="1"/>
  <c r="F363" i="1"/>
  <c r="G363" i="1"/>
  <c r="H363" i="1"/>
  <c r="I363" i="1"/>
  <c r="G635" i="1"/>
  <c r="J363" i="1"/>
  <c r="K363" i="1"/>
  <c r="I369" i="1"/>
  <c r="I370" i="1" s="1"/>
  <c r="H635" i="1" s="1"/>
  <c r="J635" i="1" s="1"/>
  <c r="F370" i="1"/>
  <c r="G370" i="1"/>
  <c r="H370" i="1"/>
  <c r="L382" i="1"/>
  <c r="F383" i="1"/>
  <c r="G383" i="1"/>
  <c r="H383" i="1"/>
  <c r="I383" i="1"/>
  <c r="J383" i="1"/>
  <c r="K383" i="1"/>
  <c r="F394" i="1"/>
  <c r="G394" i="1"/>
  <c r="H394" i="1"/>
  <c r="I394" i="1"/>
  <c r="I402" i="1"/>
  <c r="I408" i="1"/>
  <c r="F402" i="1"/>
  <c r="G402" i="1"/>
  <c r="H402" i="1"/>
  <c r="F408" i="1"/>
  <c r="F409" i="1" s="1"/>
  <c r="H644" i="1" s="1"/>
  <c r="J644" i="1" s="1"/>
  <c r="G408" i="1"/>
  <c r="G409" i="1" s="1"/>
  <c r="H646" i="1" s="1"/>
  <c r="J646" i="1" s="1"/>
  <c r="H408" i="1"/>
  <c r="L414" i="1"/>
  <c r="L415" i="1"/>
  <c r="L416" i="1"/>
  <c r="L420" i="1" s="1"/>
  <c r="L417" i="1"/>
  <c r="L418" i="1"/>
  <c r="L419" i="1"/>
  <c r="F420" i="1"/>
  <c r="G420" i="1"/>
  <c r="H420" i="1"/>
  <c r="I420" i="1"/>
  <c r="J420" i="1"/>
  <c r="J435" i="1" s="1"/>
  <c r="L422" i="1"/>
  <c r="L423" i="1"/>
  <c r="L428" i="1" s="1"/>
  <c r="L424" i="1"/>
  <c r="L425" i="1"/>
  <c r="L426" i="1"/>
  <c r="L427" i="1"/>
  <c r="F428" i="1"/>
  <c r="G428" i="1"/>
  <c r="G435" i="1" s="1"/>
  <c r="H428" i="1"/>
  <c r="I428" i="1"/>
  <c r="I435" i="1" s="1"/>
  <c r="J428" i="1"/>
  <c r="L430" i="1"/>
  <c r="L431" i="1"/>
  <c r="L432" i="1"/>
  <c r="L433" i="1"/>
  <c r="F434" i="1"/>
  <c r="G434" i="1"/>
  <c r="H434" i="1"/>
  <c r="H435" i="1" s="1"/>
  <c r="I434" i="1"/>
  <c r="J434" i="1"/>
  <c r="F447" i="1"/>
  <c r="G640" i="1" s="1"/>
  <c r="G447" i="1"/>
  <c r="G641" i="1"/>
  <c r="H447" i="1"/>
  <c r="G642" i="1"/>
  <c r="F453" i="1"/>
  <c r="G453" i="1"/>
  <c r="H453" i="1"/>
  <c r="F461" i="1"/>
  <c r="G461" i="1"/>
  <c r="H461" i="1"/>
  <c r="H462" i="1" s="1"/>
  <c r="H642" i="1" s="1"/>
  <c r="F471" i="1"/>
  <c r="G471" i="1"/>
  <c r="G477" i="1" s="1"/>
  <c r="H471" i="1"/>
  <c r="I471" i="1"/>
  <c r="J471" i="1"/>
  <c r="F475" i="1"/>
  <c r="G475" i="1"/>
  <c r="H475" i="1"/>
  <c r="H477" i="1" s="1"/>
  <c r="H625" i="1" s="1"/>
  <c r="J625" i="1" s="1"/>
  <c r="I475" i="1"/>
  <c r="J475" i="1"/>
  <c r="J477" i="1" s="1"/>
  <c r="H627" i="1" s="1"/>
  <c r="K496" i="1"/>
  <c r="K497" i="1"/>
  <c r="K498" i="1"/>
  <c r="K499" i="1"/>
  <c r="K500" i="1"/>
  <c r="K502" i="1"/>
  <c r="K503" i="1"/>
  <c r="F518" i="1"/>
  <c r="G518" i="1"/>
  <c r="H518" i="1"/>
  <c r="I518" i="1"/>
  <c r="F525" i="1"/>
  <c r="G525" i="1"/>
  <c r="H525" i="1"/>
  <c r="I525" i="1"/>
  <c r="J525" i="1"/>
  <c r="J546" i="1" s="1"/>
  <c r="K525" i="1"/>
  <c r="F530" i="1"/>
  <c r="G530" i="1"/>
  <c r="H530" i="1"/>
  <c r="I530" i="1"/>
  <c r="J530" i="1"/>
  <c r="K530" i="1"/>
  <c r="F535" i="1"/>
  <c r="F546" i="1" s="1"/>
  <c r="G535" i="1"/>
  <c r="H535" i="1"/>
  <c r="I535" i="1"/>
  <c r="J535" i="1"/>
  <c r="K535" i="1"/>
  <c r="F540" i="1"/>
  <c r="G540" i="1"/>
  <c r="H540" i="1"/>
  <c r="H546" i="1" s="1"/>
  <c r="I540" i="1"/>
  <c r="J540" i="1"/>
  <c r="K540" i="1"/>
  <c r="F545" i="1"/>
  <c r="G545" i="1"/>
  <c r="H545" i="1"/>
  <c r="I545" i="1"/>
  <c r="J545" i="1"/>
  <c r="K545" i="1"/>
  <c r="L558" i="1"/>
  <c r="L559" i="1"/>
  <c r="L560" i="1"/>
  <c r="F561" i="1"/>
  <c r="G561" i="1"/>
  <c r="H561" i="1"/>
  <c r="I561" i="1"/>
  <c r="I572" i="1" s="1"/>
  <c r="J561" i="1"/>
  <c r="K561" i="1"/>
  <c r="L563" i="1"/>
  <c r="L564" i="1"/>
  <c r="L565" i="1"/>
  <c r="F566" i="1"/>
  <c r="G566" i="1"/>
  <c r="H566" i="1"/>
  <c r="H572" i="1" s="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651" i="1" s="1"/>
  <c r="J599" i="1"/>
  <c r="H652" i="1"/>
  <c r="J652" i="1" s="1"/>
  <c r="K603" i="1"/>
  <c r="K604" i="1"/>
  <c r="K606" i="1" s="1"/>
  <c r="G649" i="1" s="1"/>
  <c r="J649" i="1" s="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46" i="1"/>
  <c r="G651" i="1"/>
  <c r="G652" i="1"/>
  <c r="H653" i="1"/>
  <c r="J653" i="1" s="1"/>
  <c r="G654" i="1"/>
  <c r="H654" i="1"/>
  <c r="J654" i="1" s="1"/>
  <c r="H655" i="1"/>
  <c r="H656" i="1"/>
  <c r="I170" i="1"/>
  <c r="G663" i="1"/>
  <c r="E121" i="2"/>
  <c r="H112" i="2"/>
  <c r="C12" i="10"/>
  <c r="D15" i="13"/>
  <c r="C15" i="13" s="1"/>
  <c r="E13" i="13"/>
  <c r="C120" i="2"/>
  <c r="C119" i="2"/>
  <c r="A40" i="12"/>
  <c r="C13" i="10"/>
  <c r="C110" i="2"/>
  <c r="H61" i="2"/>
  <c r="G662" i="1"/>
  <c r="D78" i="2"/>
  <c r="E119" i="2"/>
  <c r="H409" i="1"/>
  <c r="H645" i="1" s="1"/>
  <c r="J645" i="1" s="1"/>
  <c r="J258" i="1"/>
  <c r="J272" i="1"/>
  <c r="E123" i="2"/>
  <c r="E110" i="2"/>
  <c r="J656" i="1"/>
  <c r="J572" i="1"/>
  <c r="D50" i="2"/>
  <c r="H663" i="1"/>
  <c r="F258" i="1"/>
  <c r="F272" i="1"/>
  <c r="H193" i="1"/>
  <c r="C11" i="10"/>
  <c r="A31" i="12"/>
  <c r="E91" i="2"/>
  <c r="H112" i="1"/>
  <c r="C91" i="2"/>
  <c r="F339" i="1"/>
  <c r="F353" i="1"/>
  <c r="L561" i="1"/>
  <c r="G462" i="1"/>
  <c r="H641" i="1" s="1"/>
  <c r="J641" i="1"/>
  <c r="L310" i="1"/>
  <c r="I546" i="1"/>
  <c r="F462" i="1"/>
  <c r="H640" i="1" s="1"/>
  <c r="J640" i="1" s="1"/>
  <c r="H258" i="1"/>
  <c r="H272" i="1" s="1"/>
  <c r="D31" i="2"/>
  <c r="D51" i="2" s="1"/>
  <c r="E31" i="2"/>
  <c r="F18" i="2"/>
  <c r="F662" i="1"/>
  <c r="F572" i="1"/>
  <c r="D91" i="2"/>
  <c r="D81" i="2"/>
  <c r="G546" i="1"/>
  <c r="F112" i="1"/>
  <c r="L363" i="1"/>
  <c r="B28" i="16"/>
  <c r="L291" i="1"/>
  <c r="F661" i="1" s="1"/>
  <c r="L615" i="1"/>
  <c r="K572" i="1"/>
  <c r="L571" i="1"/>
  <c r="L566" i="1"/>
  <c r="L572" i="1" s="1"/>
  <c r="K546" i="1"/>
  <c r="H52" i="1"/>
  <c r="H620" i="1"/>
  <c r="G112" i="1"/>
  <c r="B10" i="16"/>
  <c r="E118" i="2"/>
  <c r="L212" i="1"/>
  <c r="H648" i="1"/>
  <c r="G626" i="1"/>
  <c r="J626" i="1" s="1"/>
  <c r="L530" i="1"/>
  <c r="F81" i="2"/>
  <c r="F104" i="2" s="1"/>
  <c r="C70" i="2"/>
  <c r="H70" i="2" s="1"/>
  <c r="D62" i="2"/>
  <c r="E62" i="2"/>
  <c r="E63" i="2"/>
  <c r="C26" i="10"/>
  <c r="C18" i="10"/>
  <c r="I477" i="1"/>
  <c r="H626" i="1" s="1"/>
  <c r="F477" i="1"/>
  <c r="H623" i="1"/>
  <c r="J623" i="1" s="1"/>
  <c r="L434" i="1"/>
  <c r="L435" i="1" s="1"/>
  <c r="G639" i="1" s="1"/>
  <c r="J639" i="1" s="1"/>
  <c r="G193" i="1"/>
  <c r="B13" i="16" s="1"/>
  <c r="F193" i="1"/>
  <c r="J553" i="1"/>
  <c r="L352" i="1"/>
  <c r="F130" i="2"/>
  <c r="F144" i="2" s="1"/>
  <c r="G170" i="1"/>
  <c r="B12" i="16"/>
  <c r="I25" i="13"/>
  <c r="L535" i="1"/>
  <c r="I461" i="1"/>
  <c r="I447" i="1"/>
  <c r="G643" i="1" s="1"/>
  <c r="H339" i="1"/>
  <c r="H353" i="1"/>
  <c r="E109" i="2"/>
  <c r="C56" i="2"/>
  <c r="F663" i="1"/>
  <c r="I663" i="1" s="1"/>
  <c r="C25" i="10"/>
  <c r="C21" i="10"/>
  <c r="D19" i="13"/>
  <c r="C19" i="13"/>
  <c r="C62" i="2"/>
  <c r="H62" i="2" s="1"/>
  <c r="G22" i="13"/>
  <c r="C22" i="13" s="1"/>
  <c r="L540" i="1"/>
  <c r="L383" i="1"/>
  <c r="G637" i="1"/>
  <c r="J637" i="1" s="1"/>
  <c r="C111" i="2"/>
  <c r="H111" i="2" s="1"/>
  <c r="H662" i="1"/>
  <c r="C15" i="10"/>
  <c r="A13" i="12"/>
  <c r="D29" i="13"/>
  <c r="C29" i="13"/>
  <c r="D12" i="13"/>
  <c r="C12" i="13" s="1"/>
  <c r="D5" i="13"/>
  <c r="C5" i="13" s="1"/>
  <c r="E8" i="13"/>
  <c r="C8" i="13"/>
  <c r="C35" i="10"/>
  <c r="C29" i="10"/>
  <c r="G650" i="1"/>
  <c r="L545" i="1"/>
  <c r="L525" i="1"/>
  <c r="J339" i="1"/>
  <c r="H649" i="1" s="1"/>
  <c r="J353" i="1"/>
  <c r="D127" i="2"/>
  <c r="C124" i="2"/>
  <c r="H124" i="2" s="1"/>
  <c r="C122" i="2"/>
  <c r="C118" i="2"/>
  <c r="C16" i="10"/>
  <c r="D17" i="13"/>
  <c r="C17" i="13" s="1"/>
  <c r="D7" i="13"/>
  <c r="C7" i="13" s="1"/>
  <c r="E16" i="13"/>
  <c r="C16" i="13" s="1"/>
  <c r="C10" i="10"/>
  <c r="C109" i="2"/>
  <c r="L230" i="1"/>
  <c r="G661" i="1" s="1"/>
  <c r="F62" i="2"/>
  <c r="F63" i="2" s="1"/>
  <c r="C23" i="10"/>
  <c r="G159" i="2"/>
  <c r="G103" i="2"/>
  <c r="F103" i="2"/>
  <c r="C103" i="2"/>
  <c r="E50" i="2"/>
  <c r="C31" i="2"/>
  <c r="E144" i="2"/>
  <c r="F50" i="2"/>
  <c r="C24" i="10"/>
  <c r="H31" i="13"/>
  <c r="H33" i="13"/>
  <c r="J655" i="1"/>
  <c r="F435" i="1"/>
  <c r="G144" i="2"/>
  <c r="G145" i="2"/>
  <c r="G31" i="13"/>
  <c r="J194" i="1"/>
  <c r="G647" i="1" s="1"/>
  <c r="G140" i="1"/>
  <c r="B11" i="16"/>
  <c r="F140" i="1"/>
  <c r="G63" i="2"/>
  <c r="J619" i="1"/>
  <c r="D103" i="2"/>
  <c r="H103" i="2" s="1"/>
  <c r="I140" i="1"/>
  <c r="I664" i="1"/>
  <c r="H119" i="2"/>
  <c r="H118" i="2"/>
  <c r="H110" i="2"/>
  <c r="E51" i="2"/>
  <c r="E115" i="2"/>
  <c r="H109" i="2"/>
  <c r="D128" i="2"/>
  <c r="H127" i="2"/>
  <c r="D63" i="2"/>
  <c r="I662" i="1"/>
  <c r="C27" i="10"/>
  <c r="L546" i="1"/>
  <c r="C39" i="10"/>
  <c r="G33" i="13"/>
  <c r="G665" i="1"/>
  <c r="G673" i="1" s="1"/>
  <c r="C5" i="10" s="1"/>
  <c r="C25" i="13"/>
  <c r="I33" i="13"/>
  <c r="G632" i="1"/>
  <c r="J632" i="1"/>
  <c r="G194" i="1"/>
  <c r="G629" i="1" s="1"/>
  <c r="J629" i="1" s="1"/>
  <c r="C38" i="10"/>
  <c r="D145" i="2"/>
  <c r="G42" i="2" l="1"/>
  <c r="H42" i="2" s="1"/>
  <c r="J51" i="1"/>
  <c r="G668" i="1"/>
  <c r="J650" i="1"/>
  <c r="C63" i="2"/>
  <c r="H77" i="2"/>
  <c r="E78" i="2"/>
  <c r="E81" i="2" s="1"/>
  <c r="E104" i="2" s="1"/>
  <c r="D18" i="2"/>
  <c r="H13" i="2"/>
  <c r="I553" i="1"/>
  <c r="B14" i="16"/>
  <c r="D104" i="2"/>
  <c r="H121" i="2"/>
  <c r="I409" i="1"/>
  <c r="L338" i="1"/>
  <c r="G162" i="2"/>
  <c r="G50" i="2"/>
  <c r="G51" i="2" s="1"/>
  <c r="H75" i="2"/>
  <c r="C78" i="2"/>
  <c r="F194" i="1"/>
  <c r="G628" i="1" s="1"/>
  <c r="J628" i="1" s="1"/>
  <c r="H91" i="2"/>
  <c r="G21" i="2"/>
  <c r="G31" i="2" s="1"/>
  <c r="H31" i="2" s="1"/>
  <c r="J32" i="1"/>
  <c r="B164" i="2"/>
  <c r="G164" i="2" s="1"/>
  <c r="K504" i="1"/>
  <c r="G8" i="2"/>
  <c r="J19" i="1"/>
  <c r="G622" i="1" s="1"/>
  <c r="F665" i="1"/>
  <c r="H15" i="2"/>
  <c r="C20" i="10"/>
  <c r="L248" i="1"/>
  <c r="D14" i="13"/>
  <c r="C14" i="13" s="1"/>
  <c r="C123" i="2"/>
  <c r="B33" i="16"/>
  <c r="H624" i="1"/>
  <c r="J624" i="1" s="1"/>
  <c r="J642" i="1"/>
  <c r="K551" i="1"/>
  <c r="K553" i="1" s="1"/>
  <c r="C19" i="10"/>
  <c r="E122" i="2"/>
  <c r="H122" i="2" s="1"/>
  <c r="B17" i="16"/>
  <c r="B19" i="16" s="1"/>
  <c r="G636" i="1"/>
  <c r="J636" i="1" s="1"/>
  <c r="C13" i="13"/>
  <c r="E33" i="13"/>
  <c r="D35" i="13" s="1"/>
  <c r="J621" i="1"/>
  <c r="H21" i="2"/>
  <c r="K599" i="1"/>
  <c r="G648" i="1" s="1"/>
  <c r="J648" i="1" s="1"/>
  <c r="G572" i="1"/>
  <c r="G104" i="2"/>
  <c r="J630" i="1"/>
  <c r="I194" i="1"/>
  <c r="G631" i="1" s="1"/>
  <c r="J631" i="1" s="1"/>
  <c r="C139" i="2"/>
  <c r="L409" i="1"/>
  <c r="C36" i="10"/>
  <c r="H56" i="2"/>
  <c r="I453" i="1"/>
  <c r="I462" i="1" s="1"/>
  <c r="H643" i="1" s="1"/>
  <c r="J643" i="1" s="1"/>
  <c r="C161" i="2"/>
  <c r="G161" i="2" s="1"/>
  <c r="G24" i="14"/>
  <c r="H24" i="14" s="1"/>
  <c r="I24" i="14" s="1"/>
  <c r="F553" i="1"/>
  <c r="L329" i="1"/>
  <c r="D31" i="13" s="1"/>
  <c r="C31" i="13" s="1"/>
  <c r="G4" i="14"/>
  <c r="H4" i="14" s="1"/>
  <c r="I4" i="14" s="1"/>
  <c r="H44" i="2"/>
  <c r="C115" i="2"/>
  <c r="C18" i="2"/>
  <c r="H132" i="2"/>
  <c r="H9" i="2"/>
  <c r="H38" i="2"/>
  <c r="H142" i="2"/>
  <c r="H36" i="2"/>
  <c r="H85" i="2"/>
  <c r="H134" i="2"/>
  <c r="AE72" i="15"/>
  <c r="AE40" i="15"/>
  <c r="AE8" i="15"/>
  <c r="I271" i="15"/>
  <c r="I302" i="15"/>
  <c r="I270" i="15"/>
  <c r="I225" i="15"/>
  <c r="I161" i="15"/>
  <c r="I85" i="15"/>
  <c r="I295" i="15"/>
  <c r="I309" i="15"/>
  <c r="I277" i="15"/>
  <c r="I238" i="15"/>
  <c r="I174" i="15"/>
  <c r="I110" i="15"/>
  <c r="I303" i="15"/>
  <c r="I234" i="15"/>
  <c r="I162" i="15"/>
  <c r="I89" i="15"/>
  <c r="I316" i="15"/>
  <c r="I284" i="15"/>
  <c r="I252" i="15"/>
  <c r="I189" i="15"/>
  <c r="I125" i="15"/>
  <c r="I13" i="15"/>
  <c r="I220" i="15"/>
  <c r="I188" i="15"/>
  <c r="I156" i="15"/>
  <c r="I124" i="15"/>
  <c r="I92" i="15"/>
  <c r="I60" i="15"/>
  <c r="I28" i="15"/>
  <c r="I243" i="15"/>
  <c r="I211" i="15"/>
  <c r="I179" i="15"/>
  <c r="I147" i="15"/>
  <c r="I115" i="15"/>
  <c r="I83" i="15"/>
  <c r="I51" i="15"/>
  <c r="I19" i="15"/>
  <c r="I90" i="15"/>
  <c r="I58" i="15"/>
  <c r="I26" i="15"/>
  <c r="T63" i="15"/>
  <c r="T70" i="15"/>
  <c r="T47" i="15"/>
  <c r="T59" i="15"/>
  <c r="T46" i="15"/>
  <c r="T49" i="15"/>
  <c r="T17" i="15"/>
  <c r="T60" i="15"/>
  <c r="T28" i="15"/>
  <c r="AE59" i="15"/>
  <c r="AE23" i="15"/>
  <c r="AE95" i="15"/>
  <c r="AE90" i="15"/>
  <c r="AE58" i="15"/>
  <c r="AE26" i="15"/>
  <c r="AE77" i="15"/>
  <c r="AE81" i="15"/>
  <c r="AE33" i="15"/>
  <c r="AE100" i="15"/>
  <c r="AF100" i="15" s="1"/>
  <c r="AE68" i="15"/>
  <c r="AE36" i="15"/>
  <c r="AF20" i="15" s="1"/>
  <c r="I4" i="15"/>
  <c r="I294" i="15"/>
  <c r="I262" i="15"/>
  <c r="I209" i="15"/>
  <c r="I145" i="15"/>
  <c r="I53" i="15"/>
  <c r="I267" i="15"/>
  <c r="I301" i="15"/>
  <c r="I269" i="15"/>
  <c r="I222" i="15"/>
  <c r="I158" i="15"/>
  <c r="I81" i="15"/>
  <c r="I279" i="15"/>
  <c r="I210" i="15"/>
  <c r="I146" i="15"/>
  <c r="I57" i="15"/>
  <c r="I308" i="15"/>
  <c r="I276" i="15"/>
  <c r="I237" i="15"/>
  <c r="I173" i="15"/>
  <c r="I109" i="15"/>
  <c r="I244" i="15"/>
  <c r="I212" i="15"/>
  <c r="I180" i="15"/>
  <c r="I148" i="15"/>
  <c r="I116" i="15"/>
  <c r="I84" i="15"/>
  <c r="I52" i="15"/>
  <c r="I20" i="15"/>
  <c r="I235" i="15"/>
  <c r="I203" i="15"/>
  <c r="I171" i="15"/>
  <c r="I139" i="15"/>
  <c r="I107" i="15"/>
  <c r="I75" i="15"/>
  <c r="I43" i="15"/>
  <c r="I11" i="15"/>
  <c r="I82" i="15"/>
  <c r="I50" i="15"/>
  <c r="I18" i="15"/>
  <c r="T50" i="15"/>
  <c r="T27" i="15"/>
  <c r="T31" i="15"/>
  <c r="T35" i="15"/>
  <c r="T30" i="15"/>
  <c r="T41" i="15"/>
  <c r="T9" i="15"/>
  <c r="T52" i="15"/>
  <c r="T20" i="15"/>
  <c r="AE27" i="15"/>
  <c r="AE99" i="15"/>
  <c r="AF99" i="15" s="1"/>
  <c r="AE63" i="15"/>
  <c r="AE82" i="15"/>
  <c r="AE50" i="15"/>
  <c r="AE18" i="15"/>
  <c r="AE57" i="15"/>
  <c r="AE69" i="15"/>
  <c r="AE25" i="15"/>
  <c r="AE92" i="15"/>
  <c r="AF92" i="15" s="1"/>
  <c r="AE60" i="15"/>
  <c r="AE28" i="15"/>
  <c r="I322" i="15"/>
  <c r="I290" i="15"/>
  <c r="I258" i="15"/>
  <c r="I201" i="15"/>
  <c r="I137" i="15"/>
  <c r="I37" i="15"/>
  <c r="I226" i="15"/>
  <c r="I297" i="15"/>
  <c r="I265" i="15"/>
  <c r="I214" i="15"/>
  <c r="I150" i="15"/>
  <c r="I65" i="15"/>
  <c r="I275" i="15"/>
  <c r="I202" i="15"/>
  <c r="I138" i="15"/>
  <c r="I41" i="15"/>
  <c r="I304" i="15"/>
  <c r="I272" i="15"/>
  <c r="I229" i="15"/>
  <c r="I165" i="15"/>
  <c r="I93" i="15"/>
  <c r="I240" i="15"/>
  <c r="I208" i="15"/>
  <c r="I176" i="15"/>
  <c r="I144" i="15"/>
  <c r="I112" i="15"/>
  <c r="I80" i="15"/>
  <c r="I48" i="15"/>
  <c r="I16" i="15"/>
  <c r="I231" i="15"/>
  <c r="I199" i="15"/>
  <c r="I167" i="15"/>
  <c r="I135" i="15"/>
  <c r="I103" i="15"/>
  <c r="I71" i="15"/>
  <c r="I39" i="15"/>
  <c r="I7" i="15"/>
  <c r="I78" i="15"/>
  <c r="I46" i="15"/>
  <c r="I14" i="15"/>
  <c r="T42" i="15"/>
  <c r="T19" i="15"/>
  <c r="T23" i="15"/>
  <c r="U44" i="15" s="1"/>
  <c r="T11" i="15"/>
  <c r="T22" i="15"/>
  <c r="T37" i="15"/>
  <c r="T5" i="15"/>
  <c r="U25" i="15" s="1"/>
  <c r="T48" i="15"/>
  <c r="T16" i="15"/>
  <c r="U11" i="15" s="1"/>
  <c r="AE11" i="15"/>
  <c r="AE83" i="15"/>
  <c r="AF83" i="15" s="1"/>
  <c r="AE47" i="15"/>
  <c r="AE78" i="15"/>
  <c r="AE46" i="15"/>
  <c r="AE14" i="15"/>
  <c r="AE45" i="15"/>
  <c r="AE61" i="15"/>
  <c r="AE17" i="15"/>
  <c r="AE88" i="15"/>
  <c r="AE56" i="15"/>
  <c r="AE24" i="15"/>
  <c r="T57" i="15"/>
  <c r="T25" i="15"/>
  <c r="T68" i="15"/>
  <c r="T36" i="15"/>
  <c r="AE91" i="15"/>
  <c r="AE55" i="15"/>
  <c r="AE35" i="15"/>
  <c r="AE98" i="15"/>
  <c r="AF98" i="15" s="1"/>
  <c r="AE66" i="15"/>
  <c r="AE34" i="15"/>
  <c r="AE97" i="15"/>
  <c r="AE93" i="15"/>
  <c r="AF93" i="15" s="1"/>
  <c r="AE41" i="15"/>
  <c r="AE5" i="15"/>
  <c r="AE76" i="15"/>
  <c r="AF75" i="15" s="1"/>
  <c r="AE44" i="15"/>
  <c r="C50" i="2"/>
  <c r="C51" i="2" s="1"/>
  <c r="H51" i="2" s="1"/>
  <c r="J618" i="1"/>
  <c r="F145" i="2"/>
  <c r="H130" i="2"/>
  <c r="U13" i="15" l="1"/>
  <c r="U72" i="15"/>
  <c r="U9" i="15"/>
  <c r="A31" i="14" s="1" a="1"/>
  <c r="A31" i="14" s="1"/>
  <c r="U61" i="15"/>
  <c r="H661" i="1"/>
  <c r="G36" i="14"/>
  <c r="H36" i="14" s="1"/>
  <c r="I36" i="14" s="1"/>
  <c r="L258" i="1"/>
  <c r="L272" i="1" s="1"/>
  <c r="G633" i="1" s="1"/>
  <c r="J633" i="1" s="1"/>
  <c r="AF57" i="15"/>
  <c r="AF90" i="15"/>
  <c r="AF89" i="15"/>
  <c r="U39" i="15"/>
  <c r="U58" i="15"/>
  <c r="AF41" i="15"/>
  <c r="AF91" i="15"/>
  <c r="AF16" i="15"/>
  <c r="AF15" i="15"/>
  <c r="AF17" i="15"/>
  <c r="AF9" i="15"/>
  <c r="AF11" i="15"/>
  <c r="AF10" i="15"/>
  <c r="AF18" i="15"/>
  <c r="AF68" i="15"/>
  <c r="AF67" i="15"/>
  <c r="AF95" i="15"/>
  <c r="U16" i="15"/>
  <c r="U18" i="15"/>
  <c r="U51" i="15"/>
  <c r="U31" i="15"/>
  <c r="U10" i="15"/>
  <c r="A32" i="14" s="1" a="1"/>
  <c r="A32" i="14" s="1"/>
  <c r="B32" i="14" s="1"/>
  <c r="C32" i="14" s="1" a="1"/>
  <c r="C32" i="14" s="1"/>
  <c r="U12" i="15"/>
  <c r="U40" i="15"/>
  <c r="U68" i="15"/>
  <c r="U29" i="15"/>
  <c r="U14" i="15"/>
  <c r="C28" i="10"/>
  <c r="H63" i="2"/>
  <c r="AF84" i="15"/>
  <c r="AF88" i="15"/>
  <c r="AF86" i="15"/>
  <c r="AF87" i="15"/>
  <c r="U74" i="15"/>
  <c r="AF48" i="15"/>
  <c r="AF49" i="15"/>
  <c r="AF50" i="15"/>
  <c r="AF21" i="15"/>
  <c r="AF22" i="15"/>
  <c r="AF23" i="15"/>
  <c r="U45" i="15"/>
  <c r="H115" i="2"/>
  <c r="U59" i="15"/>
  <c r="U15" i="15"/>
  <c r="U50" i="15"/>
  <c r="U42" i="15"/>
  <c r="U36" i="15"/>
  <c r="U64" i="15"/>
  <c r="U57" i="15"/>
  <c r="AF4" i="15"/>
  <c r="A38" i="14" s="1" a="1"/>
  <c r="A38" i="14" s="1"/>
  <c r="AF5" i="15"/>
  <c r="A39" i="14" s="1" a="1"/>
  <c r="A39" i="14" s="1"/>
  <c r="U56" i="15"/>
  <c r="AF45" i="15"/>
  <c r="AF28" i="15"/>
  <c r="AF82" i="15"/>
  <c r="AF32" i="15"/>
  <c r="AF31" i="15"/>
  <c r="AF30" i="15"/>
  <c r="AF33" i="15"/>
  <c r="AF29" i="15"/>
  <c r="AF59" i="15"/>
  <c r="AF85" i="15"/>
  <c r="U23" i="15"/>
  <c r="U62" i="15"/>
  <c r="U43" i="15"/>
  <c r="U71" i="15"/>
  <c r="U63" i="15"/>
  <c r="U34" i="15"/>
  <c r="U32" i="15"/>
  <c r="AF73" i="15"/>
  <c r="B22" i="16"/>
  <c r="AF53" i="15"/>
  <c r="AF52" i="15"/>
  <c r="AF51" i="15"/>
  <c r="AF55" i="15"/>
  <c r="AF54" i="15"/>
  <c r="AF36" i="15"/>
  <c r="AF61" i="15"/>
  <c r="AF97" i="15"/>
  <c r="AF96" i="15"/>
  <c r="AF34" i="15"/>
  <c r="AF13" i="15"/>
  <c r="AF14" i="15"/>
  <c r="U5" i="15"/>
  <c r="A27" i="14" s="1" a="1"/>
  <c r="A27" i="14" s="1"/>
  <c r="U70" i="15"/>
  <c r="U21" i="15"/>
  <c r="U67" i="15"/>
  <c r="AF60" i="15"/>
  <c r="AF62" i="15"/>
  <c r="AF63" i="15"/>
  <c r="AF81" i="15"/>
  <c r="AF79" i="15"/>
  <c r="AF80" i="15"/>
  <c r="AF94" i="15"/>
  <c r="AF19" i="15"/>
  <c r="U49" i="15"/>
  <c r="U46" i="15"/>
  <c r="U35" i="15"/>
  <c r="U27" i="15"/>
  <c r="U55" i="15"/>
  <c r="U8" i="15"/>
  <c r="A30" i="14" s="1" a="1"/>
  <c r="A30" i="14" s="1"/>
  <c r="U60" i="15"/>
  <c r="F673" i="1"/>
  <c r="C4" i="10" s="1"/>
  <c r="F668" i="1"/>
  <c r="AF77" i="15"/>
  <c r="AF6" i="15"/>
  <c r="A40" i="14" s="1" a="1"/>
  <c r="A40" i="14" s="1"/>
  <c r="AF8" i="15"/>
  <c r="A42" i="14" s="1" a="1"/>
  <c r="A42" i="14" s="1"/>
  <c r="AF7" i="15"/>
  <c r="A41" i="14" s="1" a="1"/>
  <c r="A41" i="14" s="1"/>
  <c r="U48" i="15"/>
  <c r="U54" i="15"/>
  <c r="C41" i="10"/>
  <c r="D36" i="10"/>
  <c r="U17" i="15"/>
  <c r="U73" i="15"/>
  <c r="U38" i="15"/>
  <c r="U30" i="15"/>
  <c r="U7" i="15"/>
  <c r="A29" i="14" s="1" a="1"/>
  <c r="A29" i="14" s="1"/>
  <c r="U26" i="15"/>
  <c r="U28" i="15"/>
  <c r="D33" i="13"/>
  <c r="D36" i="13" s="1"/>
  <c r="AF12" i="15"/>
  <c r="AF46" i="15"/>
  <c r="AF42" i="15"/>
  <c r="AF44" i="15"/>
  <c r="AF43" i="15"/>
  <c r="AF24" i="15"/>
  <c r="AF25" i="15"/>
  <c r="AF27" i="15"/>
  <c r="AF26" i="15"/>
  <c r="AF39" i="15"/>
  <c r="AF40" i="15"/>
  <c r="AF37" i="15"/>
  <c r="AF38" i="15"/>
  <c r="U24" i="15"/>
  <c r="U6" i="15"/>
  <c r="A28" i="14" s="1" a="1"/>
  <c r="A28" i="14" s="1"/>
  <c r="U66" i="15"/>
  <c r="U52" i="15"/>
  <c r="U41" i="15"/>
  <c r="U69" i="15"/>
  <c r="U65" i="15"/>
  <c r="U19" i="15"/>
  <c r="U47" i="15"/>
  <c r="G638" i="1"/>
  <c r="J638" i="1" s="1"/>
  <c r="H647" i="1"/>
  <c r="J647" i="1" s="1"/>
  <c r="H123" i="2"/>
  <c r="C128" i="2"/>
  <c r="J622" i="1"/>
  <c r="G627" i="1"/>
  <c r="J52" i="1"/>
  <c r="H622" i="1" s="1"/>
  <c r="AF65" i="15"/>
  <c r="AF64" i="15"/>
  <c r="AF66" i="15"/>
  <c r="AF78" i="15"/>
  <c r="AF76" i="15"/>
  <c r="AF35" i="15"/>
  <c r="AF56" i="15"/>
  <c r="AF47" i="15"/>
  <c r="AF69" i="15"/>
  <c r="J11" i="15"/>
  <c r="A13" i="14" s="1" a="1"/>
  <c r="A13" i="14" s="1"/>
  <c r="B13" i="14" s="1"/>
  <c r="C13" i="14" s="1"/>
  <c r="J43" i="15"/>
  <c r="J75" i="15"/>
  <c r="J107" i="15"/>
  <c r="J139" i="15"/>
  <c r="J171" i="15"/>
  <c r="J203" i="15"/>
  <c r="J235" i="15"/>
  <c r="J267" i="15"/>
  <c r="J299" i="15"/>
  <c r="J20" i="15"/>
  <c r="J52" i="15"/>
  <c r="J84" i="15"/>
  <c r="J116" i="15"/>
  <c r="J148" i="15"/>
  <c r="J25" i="15"/>
  <c r="J57" i="15"/>
  <c r="J89" i="15"/>
  <c r="J121" i="15"/>
  <c r="J153" i="15"/>
  <c r="J185" i="15"/>
  <c r="J217" i="15"/>
  <c r="J249" i="15"/>
  <c r="J281" i="15"/>
  <c r="J50" i="15"/>
  <c r="J82" i="15"/>
  <c r="J114" i="15"/>
  <c r="J146" i="15"/>
  <c r="J178" i="15"/>
  <c r="J220" i="15"/>
  <c r="J284" i="15"/>
  <c r="J324" i="15"/>
  <c r="J230" i="15"/>
  <c r="J290" i="15"/>
  <c r="J168" i="15"/>
  <c r="J240" i="15"/>
  <c r="J297" i="15"/>
  <c r="J319" i="15"/>
  <c r="J304" i="15"/>
  <c r="J266" i="15"/>
  <c r="J15" i="15"/>
  <c r="A17" i="14" s="1" a="1"/>
  <c r="A17" i="14" s="1"/>
  <c r="B17" i="14" s="1"/>
  <c r="C17" i="14" s="1"/>
  <c r="J47" i="15"/>
  <c r="J79" i="15"/>
  <c r="J111" i="15"/>
  <c r="J143" i="15"/>
  <c r="J175" i="15"/>
  <c r="J207" i="15"/>
  <c r="J239" i="15"/>
  <c r="J271" i="15"/>
  <c r="J303" i="15"/>
  <c r="J24" i="15"/>
  <c r="J56" i="15"/>
  <c r="J88" i="15"/>
  <c r="J120" i="15"/>
  <c r="J152" i="15"/>
  <c r="J29" i="15"/>
  <c r="J61" i="15"/>
  <c r="J93" i="15"/>
  <c r="J125" i="15"/>
  <c r="J157" i="15"/>
  <c r="J189" i="15"/>
  <c r="J221" i="15"/>
  <c r="J253" i="15"/>
  <c r="J6" i="15"/>
  <c r="A8" i="14" s="1" a="1"/>
  <c r="A8" i="14" s="1"/>
  <c r="B8" i="14" s="1"/>
  <c r="C8" i="14" s="1"/>
  <c r="J22" i="15"/>
  <c r="J54" i="15"/>
  <c r="J86" i="15"/>
  <c r="J118" i="15"/>
  <c r="J150" i="15"/>
  <c r="J182" i="15"/>
  <c r="J228" i="15"/>
  <c r="J289" i="15"/>
  <c r="J164" i="15"/>
  <c r="J238" i="15"/>
  <c r="J296" i="15"/>
  <c r="J184" i="15"/>
  <c r="J248" i="15"/>
  <c r="J302" i="15"/>
  <c r="J202" i="15"/>
  <c r="J323" i="15"/>
  <c r="J19" i="15"/>
  <c r="J51" i="15"/>
  <c r="J83" i="15"/>
  <c r="J115" i="15"/>
  <c r="J147" i="15"/>
  <c r="J179" i="15"/>
  <c r="J211" i="15"/>
  <c r="J243" i="15"/>
  <c r="J275" i="15"/>
  <c r="J307" i="15"/>
  <c r="J28" i="15"/>
  <c r="J60" i="15"/>
  <c r="J92" i="15"/>
  <c r="J124" i="15"/>
  <c r="J156" i="15"/>
  <c r="J33" i="15"/>
  <c r="J65" i="15"/>
  <c r="J97" i="15"/>
  <c r="J129" i="15"/>
  <c r="J161" i="15"/>
  <c r="J193" i="15"/>
  <c r="J225" i="15"/>
  <c r="J257" i="15"/>
  <c r="J10" i="15"/>
  <c r="A12" i="14" s="1" a="1"/>
  <c r="A12" i="14" s="1"/>
  <c r="B12" i="14" s="1"/>
  <c r="C12" i="14" s="1"/>
  <c r="J26" i="15"/>
  <c r="J58" i="15"/>
  <c r="J90" i="15"/>
  <c r="J122" i="15"/>
  <c r="J154" i="15"/>
  <c r="J160" i="15"/>
  <c r="J236" i="15"/>
  <c r="J294" i="15"/>
  <c r="J180" i="15"/>
  <c r="J246" i="15"/>
  <c r="J301" i="15"/>
  <c r="J192" i="15"/>
  <c r="J256" i="15"/>
  <c r="J308" i="15"/>
  <c r="J234" i="15"/>
  <c r="J293" i="15"/>
  <c r="J23" i="15"/>
  <c r="J55" i="15"/>
  <c r="J87" i="15"/>
  <c r="J119" i="15"/>
  <c r="J151" i="15"/>
  <c r="J183" i="15"/>
  <c r="J215" i="15"/>
  <c r="J247" i="15"/>
  <c r="J279" i="15"/>
  <c r="J311" i="15"/>
  <c r="J32" i="15"/>
  <c r="J64" i="15"/>
  <c r="J96" i="15"/>
  <c r="J128" i="15"/>
  <c r="J5" i="15"/>
  <c r="A7" i="14" s="1" a="1"/>
  <c r="A7" i="14" s="1"/>
  <c r="B7" i="14" s="1"/>
  <c r="C7" i="14" s="1"/>
  <c r="J37" i="15"/>
  <c r="J69" i="15"/>
  <c r="J101" i="15"/>
  <c r="J133" i="15"/>
  <c r="J165" i="15"/>
  <c r="J197" i="15"/>
  <c r="J229" i="15"/>
  <c r="J261" i="15"/>
  <c r="J14" i="15"/>
  <c r="A16" i="14" s="1" a="1"/>
  <c r="A16" i="14" s="1"/>
  <c r="B16" i="14" s="1"/>
  <c r="C16" i="14" s="1"/>
  <c r="J30" i="15"/>
  <c r="J62" i="15"/>
  <c r="J94" i="15"/>
  <c r="J126" i="15"/>
  <c r="J158" i="15"/>
  <c r="J176" i="15"/>
  <c r="J244" i="15"/>
  <c r="J300" i="15"/>
  <c r="J190" i="15"/>
  <c r="J254" i="15"/>
  <c r="J306" i="15"/>
  <c r="J200" i="15"/>
  <c r="J264" i="15"/>
  <c r="J313" i="15"/>
  <c r="J172" i="15"/>
  <c r="J314" i="15"/>
  <c r="J194" i="15"/>
  <c r="J27" i="15"/>
  <c r="J59" i="15"/>
  <c r="J91" i="15"/>
  <c r="J123" i="15"/>
  <c r="J155" i="15"/>
  <c r="J187" i="15"/>
  <c r="J219" i="15"/>
  <c r="J251" i="15"/>
  <c r="J283" i="15"/>
  <c r="J315" i="15"/>
  <c r="J36" i="15"/>
  <c r="J68" i="15"/>
  <c r="J100" i="15"/>
  <c r="J132" i="15"/>
  <c r="J9" i="15"/>
  <c r="A11" i="14" s="1" a="1"/>
  <c r="A11" i="14" s="1"/>
  <c r="B11" i="14" s="1"/>
  <c r="C11" i="14" s="1"/>
  <c r="J41" i="15"/>
  <c r="J73" i="15"/>
  <c r="J105" i="15"/>
  <c r="J137" i="15"/>
  <c r="J169" i="15"/>
  <c r="J201" i="15"/>
  <c r="J233" i="15"/>
  <c r="J265" i="15"/>
  <c r="J18" i="15"/>
  <c r="A20" i="14" s="1" a="1"/>
  <c r="A20" i="14" s="1"/>
  <c r="B20" i="14" s="1"/>
  <c r="C20" i="14" s="1"/>
  <c r="J34" i="15"/>
  <c r="J66" i="15"/>
  <c r="J98" i="15"/>
  <c r="J130" i="15"/>
  <c r="J162" i="15"/>
  <c r="J188" i="15"/>
  <c r="J252" i="15"/>
  <c r="J305" i="15"/>
  <c r="J198" i="15"/>
  <c r="J262" i="15"/>
  <c r="J312" i="15"/>
  <c r="J208" i="15"/>
  <c r="J272" i="15"/>
  <c r="J318" i="15"/>
  <c r="J210" i="15"/>
  <c r="J186" i="15"/>
  <c r="J226" i="15"/>
  <c r="J35" i="15"/>
  <c r="J67" i="15"/>
  <c r="J99" i="15"/>
  <c r="J131" i="15"/>
  <c r="J163" i="15"/>
  <c r="J195" i="15"/>
  <c r="J227" i="15"/>
  <c r="J259" i="15"/>
  <c r="J291" i="15"/>
  <c r="J12" i="15"/>
  <c r="A14" i="14" s="1" a="1"/>
  <c r="A14" i="14" s="1"/>
  <c r="B14" i="14" s="1"/>
  <c r="C14" i="14" s="1"/>
  <c r="J44" i="15"/>
  <c r="J76" i="15"/>
  <c r="J108" i="15"/>
  <c r="J140" i="15"/>
  <c r="J17" i="15"/>
  <c r="A19" i="14" s="1" a="1"/>
  <c r="A19" i="14" s="1"/>
  <c r="B19" i="14" s="1"/>
  <c r="C19" i="14" s="1"/>
  <c r="J49" i="15"/>
  <c r="J81" i="15"/>
  <c r="J113" i="15"/>
  <c r="J145" i="15"/>
  <c r="J177" i="15"/>
  <c r="J209" i="15"/>
  <c r="J241" i="15"/>
  <c r="J273" i="15"/>
  <c r="J42" i="15"/>
  <c r="J74" i="15"/>
  <c r="J106" i="15"/>
  <c r="J138" i="15"/>
  <c r="J170" i="15"/>
  <c r="J204" i="15"/>
  <c r="J268" i="15"/>
  <c r="J316" i="15"/>
  <c r="J214" i="15"/>
  <c r="J278" i="15"/>
  <c r="J321" i="15"/>
  <c r="J224" i="15"/>
  <c r="J286" i="15"/>
  <c r="J4" i="15"/>
  <c r="A6" i="14" s="1" a="1"/>
  <c r="A6" i="14" s="1"/>
  <c r="B6" i="14" s="1"/>
  <c r="C6" i="14" s="1"/>
  <c r="J274" i="15"/>
  <c r="J250" i="15"/>
  <c r="J288" i="15"/>
  <c r="J63" i="15"/>
  <c r="J191" i="15"/>
  <c r="J8" i="15"/>
  <c r="A10" i="14" s="1" a="1"/>
  <c r="A10" i="14" s="1"/>
  <c r="B10" i="14" s="1"/>
  <c r="C10" i="14" s="1"/>
  <c r="J136" i="15"/>
  <c r="J109" i="15"/>
  <c r="J237" i="15"/>
  <c r="J70" i="15"/>
  <c r="J196" i="15"/>
  <c r="J270" i="15"/>
  <c r="J322" i="15"/>
  <c r="J80" i="15"/>
  <c r="J320" i="15"/>
  <c r="J71" i="15"/>
  <c r="J199" i="15"/>
  <c r="J16" i="15"/>
  <c r="A18" i="14" s="1" a="1"/>
  <c r="A18" i="14" s="1"/>
  <c r="B18" i="14" s="1"/>
  <c r="C18" i="14" s="1"/>
  <c r="J144" i="15"/>
  <c r="J117" i="15"/>
  <c r="J245" i="15"/>
  <c r="J78" i="15"/>
  <c r="J212" i="15"/>
  <c r="J285" i="15"/>
  <c r="J53" i="15"/>
  <c r="J232" i="15"/>
  <c r="J95" i="15"/>
  <c r="J223" i="15"/>
  <c r="J40" i="15"/>
  <c r="J13" i="15"/>
  <c r="A15" i="14" s="1" a="1"/>
  <c r="A15" i="14" s="1"/>
  <c r="B15" i="14" s="1"/>
  <c r="C15" i="14" s="1"/>
  <c r="J141" i="15"/>
  <c r="J269" i="15"/>
  <c r="J102" i="15"/>
  <c r="J260" i="15"/>
  <c r="J317" i="15"/>
  <c r="J242" i="15"/>
  <c r="J263" i="15"/>
  <c r="J282" i="15"/>
  <c r="J103" i="15"/>
  <c r="J231" i="15"/>
  <c r="J48" i="15"/>
  <c r="J21" i="15"/>
  <c r="J149" i="15"/>
  <c r="J277" i="15"/>
  <c r="J110" i="15"/>
  <c r="J276" i="15"/>
  <c r="J325" i="15"/>
  <c r="J298" i="15"/>
  <c r="J135" i="15"/>
  <c r="J142" i="15"/>
  <c r="J127" i="15"/>
  <c r="J255" i="15"/>
  <c r="J72" i="15"/>
  <c r="J45" i="15"/>
  <c r="J173" i="15"/>
  <c r="J134" i="15"/>
  <c r="J310" i="15"/>
  <c r="J216" i="15"/>
  <c r="J218" i="15"/>
  <c r="J7" i="15"/>
  <c r="A9" i="14" s="1" a="1"/>
  <c r="A9" i="14" s="1"/>
  <c r="B9" i="14" s="1"/>
  <c r="C9" i="14" s="1"/>
  <c r="J181" i="15"/>
  <c r="J31" i="15"/>
  <c r="J159" i="15"/>
  <c r="J287" i="15"/>
  <c r="J104" i="15"/>
  <c r="J77" i="15"/>
  <c r="J205" i="15"/>
  <c r="J38" i="15"/>
  <c r="J166" i="15"/>
  <c r="J206" i="15"/>
  <c r="J280" i="15"/>
  <c r="J258" i="15"/>
  <c r="J39" i="15"/>
  <c r="J167" i="15"/>
  <c r="J295" i="15"/>
  <c r="J112" i="15"/>
  <c r="J85" i="15"/>
  <c r="J213" i="15"/>
  <c r="J46" i="15"/>
  <c r="J174" i="15"/>
  <c r="J222" i="15"/>
  <c r="J292" i="15"/>
  <c r="J309" i="15"/>
  <c r="AF58" i="15"/>
  <c r="AF72" i="15"/>
  <c r="AF70" i="15"/>
  <c r="AF71" i="15"/>
  <c r="U53" i="15"/>
  <c r="L339" i="1"/>
  <c r="L353" i="1" s="1"/>
  <c r="G634" i="1" s="1"/>
  <c r="J634" i="1" s="1"/>
  <c r="AF74" i="15"/>
  <c r="U20" i="15"/>
  <c r="U4" i="15"/>
  <c r="A26" i="14" s="1" a="1"/>
  <c r="A26" i="14" s="1"/>
  <c r="U37" i="15"/>
  <c r="U33" i="15"/>
  <c r="U22" i="15"/>
  <c r="U75" i="15"/>
  <c r="C141" i="2"/>
  <c r="H141" i="2" s="1"/>
  <c r="H139" i="2"/>
  <c r="H8" i="2"/>
  <c r="G18" i="2"/>
  <c r="H18" i="2" s="1"/>
  <c r="H78" i="2"/>
  <c r="C81" i="2"/>
  <c r="H81" i="2" s="1"/>
  <c r="E128" i="2"/>
  <c r="E145" i="2" s="1"/>
  <c r="H50" i="2"/>
  <c r="B42" i="14" l="1"/>
  <c r="C42" i="14"/>
  <c r="B39" i="14"/>
  <c r="C39" i="14"/>
  <c r="H128" i="2"/>
  <c r="B40" i="14"/>
  <c r="C40" i="14"/>
  <c r="C38" i="14"/>
  <c r="B38" i="14"/>
  <c r="D25" i="10"/>
  <c r="D15" i="10"/>
  <c r="D23" i="10"/>
  <c r="D21" i="10"/>
  <c r="D10" i="10"/>
  <c r="D24" i="10"/>
  <c r="D11" i="10"/>
  <c r="C30" i="10"/>
  <c r="D16" i="10"/>
  <c r="D18" i="10"/>
  <c r="D27" i="10"/>
  <c r="D12" i="10"/>
  <c r="D17" i="10"/>
  <c r="D22" i="10"/>
  <c r="D13" i="10"/>
  <c r="D26" i="10"/>
  <c r="D20" i="10"/>
  <c r="H665" i="1"/>
  <c r="I661" i="1"/>
  <c r="I665" i="1" s="1"/>
  <c r="C26" i="14"/>
  <c r="B26" i="14"/>
  <c r="C144" i="2"/>
  <c r="H144" i="2" s="1"/>
  <c r="D19" i="10"/>
  <c r="B28" i="14"/>
  <c r="C28" i="14"/>
  <c r="D37" i="10"/>
  <c r="D35" i="10"/>
  <c r="D40" i="10"/>
  <c r="D38" i="10"/>
  <c r="D39" i="10"/>
  <c r="B31" i="14"/>
  <c r="C31" i="14"/>
  <c r="B29" i="14"/>
  <c r="C29" i="14"/>
  <c r="C30" i="14"/>
  <c r="B30" i="14"/>
  <c r="J627" i="1"/>
  <c r="H657" i="1"/>
  <c r="C41" i="14"/>
  <c r="B41" i="14"/>
  <c r="B27" i="14"/>
  <c r="C27" i="14"/>
  <c r="C104" i="2"/>
  <c r="H104" i="2" s="1"/>
  <c r="D28" i="10" l="1"/>
  <c r="D41" i="10"/>
  <c r="I668" i="1"/>
  <c r="I673" i="1"/>
  <c r="C7" i="10" s="1"/>
  <c r="H668" i="1"/>
  <c r="H673" i="1"/>
  <c r="C6" i="10" s="1"/>
  <c r="C145" i="2"/>
  <c r="H145"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<sst xmlns="http://schemas.openxmlformats.org/spreadsheetml/2006/main" count="6535" uniqueCount="1807">
  <si>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</si>
  <si>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</si>
  <si>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</si>
  <si>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</si>
  <si>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</si>
  <si>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</si>
  <si>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</si>
  <si>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</si>
  <si>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</si>
  <si>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</si>
  <si>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</si>
  <si>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</si>
  <si>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</si>
  <si>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</si>
  <si>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</si>
  <si>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</si>
  <si>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</si>
  <si>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</si>
  <si>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</si>
  <si>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</si>
  <si>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</si>
  <si>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</si>
  <si>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</si>
  <si>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</si>
  <si>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</si>
  <si>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</si>
  <si>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</si>
  <si>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</si>
  <si>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</si>
  <si>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</si>
  <si>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</si>
  <si>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</si>
  <si>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</si>
  <si>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</si>
  <si>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</si>
  <si>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</si>
  <si>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</si>
  <si>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</si>
  <si>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</si>
  <si>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</si>
  <si>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</si>
  <si>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</si>
  <si>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</si>
  <si>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</si>
  <si>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</si>
  <si>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</si>
  <si>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</si>
  <si>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</si>
  <si>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</si>
  <si>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</si>
  <si>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</si>
  <si>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</si>
  <si>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</si>
  <si>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</si>
  <si>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</si>
  <si>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</si>
  <si>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</si>
  <si>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</si>
  <si>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</si>
  <si>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</si>
  <si>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</si>
  <si>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</si>
  <si>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</si>
  <si>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</si>
  <si>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</si>
  <si>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</si>
  <si>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</si>
  <si>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</si>
  <si>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</si>
  <si>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</si>
  <si>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</si>
  <si>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</si>
  <si>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</si>
  <si>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</si>
  <si>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</si>
  <si>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</si>
  <si>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</si>
  <si>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</si>
  <si>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</si>
  <si>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</si>
  <si>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</si>
  <si>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</si>
  <si>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</si>
  <si>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</si>
  <si>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</si>
  <si>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</si>
  <si>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</si>
  <si>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</si>
  <si>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</si>
  <si>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</si>
  <si>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</si>
  <si>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</si>
  <si>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</si>
  <si>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</si>
  <si>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</si>
  <si>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</si>
  <si>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</si>
  <si>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</si>
  <si>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</si>
  <si>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</si>
  <si>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</si>
  <si>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</si>
  <si>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</si>
  <si>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</si>
  <si>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</si>
  <si>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</si>
  <si>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</si>
  <si>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</si>
  <si>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</si>
  <si>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</si>
  <si>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</si>
  <si>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</si>
  <si>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</si>
  <si>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</si>
  <si>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</si>
  <si>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</si>
  <si>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</si>
  <si>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</si>
  <si>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</si>
  <si>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</si>
  <si>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</si>
  <si>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</si>
  <si>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</si>
  <si>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</si>
  <si>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</si>
  <si>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</si>
  <si>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</si>
  <si>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</si>
  <si>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</si>
  <si>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</si>
  <si>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</si>
  <si>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</si>
  <si>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</si>
  <si>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</si>
  <si>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</si>
  <si>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</si>
  <si>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</si>
  <si>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</si>
  <si>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</si>
  <si>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</si>
  <si>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</si>
  <si>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</si>
  <si>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</si>
  <si>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</si>
  <si>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</si>
  <si>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</si>
  <si>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</si>
  <si>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</si>
  <si>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</si>
  <si>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</si>
  <si>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</si>
  <si>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</si>
  <si>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</si>
  <si>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</si>
  <si>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</si>
  <si>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</si>
  <si>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</si>
  <si>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</si>
  <si>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</si>
  <si>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</si>
  <si>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</si>
  <si>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</si>
  <si>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</si>
  <si>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</si>
  <si>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</si>
  <si>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</si>
  <si>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</si>
  <si>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</si>
  <si>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</si>
  <si>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</si>
  <si>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</si>
  <si>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</si>
  <si>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</si>
  <si>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</si>
  <si>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</si>
  <si>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</si>
  <si>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</si>
  <si>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</si>
  <si>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</si>
  <si>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</si>
  <si>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</si>
  <si>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</si>
  <si>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</si>
  <si>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</si>
  <si>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</si>
  <si>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</si>
  <si>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</si>
  <si>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</si>
  <si>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</si>
  <si>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</si>
  <si>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</si>
  <si>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</si>
  <si>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</si>
  <si>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</si>
  <si>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</si>
  <si>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</si>
  <si>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</si>
  <si>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</si>
  <si>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</si>
  <si>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</si>
  <si>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</si>
  <si>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</si>
  <si>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</si>
  <si>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</si>
  <si>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</si>
  <si>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</si>
  <si>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</si>
  <si>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</si>
  <si>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</si>
  <si>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</si>
  <si>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</si>
  <si>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</si>
  <si>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</si>
  <si>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</si>
  <si>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</si>
  <si>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</si>
  <si>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</si>
  <si>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</si>
  <si>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</si>
  <si>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</si>
  <si>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</si>
  <si>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</si>
  <si>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</si>
  <si>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</si>
  <si>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</si>
  <si>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</si>
  <si>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</si>
  <si>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</si>
  <si>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</si>
  <si>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</si>
  <si>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</si>
  <si>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</si>
  <si>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</si>
  <si>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</si>
  <si>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</si>
  <si>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</si>
  <si>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</si>
  <si>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</si>
  <si>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</si>
  <si>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</si>
  <si>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</si>
  <si>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</si>
  <si>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</si>
  <si>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</si>
  <si>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</si>
  <si>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</si>
  <si>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</si>
  <si>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</si>
  <si>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</si>
  <si>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</si>
  <si>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</si>
  <si>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</si>
  <si>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</si>
  <si>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</si>
  <si>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</si>
  <si>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</si>
  <si>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</si>
  <si>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</si>
  <si>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</si>
  <si>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</si>
  <si>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</si>
  <si>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</si>
  <si>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</si>
  <si>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</si>
  <si>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</si>
  <si>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</si>
  <si>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</si>
  <si>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</si>
  <si>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</si>
  <si>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</si>
  <si>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</si>
  <si>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</si>
  <si>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</si>
  <si>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</si>
  <si>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</si>
  <si>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</si>
  <si>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</si>
  <si>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</si>
  <si>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</si>
  <si>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</si>
  <si>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</si>
  <si>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</si>
  <si>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</si>
  <si>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</si>
  <si>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</si>
  <si>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</si>
  <si>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</si>
  <si>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</si>
  <si>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</si>
  <si>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</si>
  <si>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</si>
  <si>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</si>
  <si>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</si>
  <si>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</si>
  <si>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</si>
  <si>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</si>
  <si>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</si>
  <si>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</si>
  <si>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</si>
  <si>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</si>
  <si>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</si>
  <si>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</si>
  <si>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</si>
  <si>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</si>
  <si>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</si>
  <si>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</si>
  <si>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</si>
  <si>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</si>
  <si>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</si>
  <si>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</si>
  <si>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</si>
  <si>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</si>
  <si>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</si>
  <si>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</si>
  <si>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</si>
  <si>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</si>
  <si>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</si>
  <si>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</si>
  <si>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</si>
  <si>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</si>
  <si>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</si>
  <si>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</si>
  <si>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</si>
  <si>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</si>
  <si>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</si>
  <si>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</si>
  <si>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</si>
  <si>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</si>
  <si>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</si>
  <si>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</si>
  <si>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</si>
  <si>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</si>
  <si>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</si>
  <si>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</si>
  <si>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</si>
  <si>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</si>
  <si>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</si>
  <si>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</si>
  <si>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</si>
  <si>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</si>
  <si>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</si>
  <si>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</si>
  <si>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</si>
  <si>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</si>
  <si>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</si>
  <si>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</si>
  <si>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</si>
  <si>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</si>
  <si>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</si>
  <si>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</si>
  <si>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</si>
  <si>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</si>
  <si>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</si>
  <si>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</si>
  <si>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</si>
  <si>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</si>
  <si>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</si>
  <si>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</si>
  <si>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</si>
  <si>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</si>
  <si>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</si>
  <si>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</si>
  <si>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</si>
  <si>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</si>
  <si>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</si>
  <si>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</si>
  <si>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</si>
  <si>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</si>
  <si>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</si>
  <si>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</si>
  <si>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</si>
  <si>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</si>
  <si>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</si>
  <si>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</si>
  <si>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</si>
  <si>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</si>
  <si>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</si>
  <si>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</si>
  <si>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</si>
  <si>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</si>
  <si>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</si>
  <si>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</si>
  <si>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</si>
  <si>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</si>
  <si>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</si>
  <si>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</si>
  <si>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</si>
  <si>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</si>
  <si>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</si>
  <si>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</si>
  <si>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</si>
  <si>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</si>
  <si>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</si>
  <si>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</si>
  <si>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</si>
  <si>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</si>
  <si>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</si>
  <si>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</si>
  <si>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</si>
  <si>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</si>
  <si>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</si>
  <si>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</si>
  <si>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</si>
  <si>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</si>
  <si>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</si>
  <si>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</si>
  <si>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</si>
  <si>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</si>
  <si>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</si>
  <si>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</si>
  <si>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</si>
  <si>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</si>
  <si>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</si>
  <si>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</si>
  <si>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</si>
  <si>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</si>
  <si>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</si>
  <si>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</si>
  <si>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</si>
  <si>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</si>
  <si>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</si>
  <si>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</si>
  <si>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</si>
  <si>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</si>
  <si>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</si>
  <si>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</si>
  <si>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</si>
  <si>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</si>
  <si>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</si>
  <si>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</si>
  <si>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</si>
  <si>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</si>
  <si>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</si>
  <si>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</si>
  <si>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</si>
  <si>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</si>
  <si>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</si>
  <si>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</si>
  <si>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</si>
  <si>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</si>
  <si>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</si>
  <si>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</si>
  <si>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</si>
  <si>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</si>
  <si>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</si>
  <si>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</si>
  <si>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</si>
  <si>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</si>
  <si>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</si>
  <si>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</si>
  <si>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</si>
  <si>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</si>
  <si>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</si>
  <si>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</si>
  <si>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</si>
  <si>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</si>
  <si>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</si>
  <si>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</si>
  <si>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</si>
  <si>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</si>
  <si>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</si>
  <si>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</si>
  <si>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</si>
  <si>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</si>
  <si>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</si>
  <si>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</si>
  <si>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</si>
  <si>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</si>
  <si>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</si>
  <si>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</si>
  <si>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</si>
  <si>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</si>
  <si>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</si>
  <si>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</si>
  <si>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</si>
  <si>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</si>
  <si>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</si>
  <si>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</si>
  <si>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</si>
  <si>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</si>
  <si>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</si>
  <si>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</si>
  <si>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</si>
  <si>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</si>
  <si>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</si>
  <si>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</si>
  <si>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</si>
  <si>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</si>
  <si>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</si>
  <si>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</si>
  <si>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</si>
  <si>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</si>
  <si>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</si>
  <si>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</si>
  <si>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</si>
  <si>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</si>
  <si>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</si>
  <si>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</si>
  <si>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</si>
  <si>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</si>
  <si>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</si>
  <si>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</si>
  <si>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</si>
  <si>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</si>
  <si>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</si>
  <si>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</si>
  <si>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</si>
  <si>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</si>
  <si>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</si>
  <si>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</si>
  <si>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</si>
  <si>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</si>
  <si>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</si>
  <si>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</si>
  <si>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</si>
  <si>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</si>
  <si>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</si>
  <si>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</si>
  <si>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</si>
  <si>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</si>
  <si>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</si>
  <si>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</si>
  <si>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</si>
  <si>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</si>
  <si>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</si>
  <si>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</si>
  <si>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</si>
  <si>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</si>
  <si>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</si>
  <si>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</si>
  <si>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</si>
  <si>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</si>
  <si>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</si>
  <si>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</si>
  <si>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</si>
  <si>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</si>
  <si>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</si>
  <si>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</si>
  <si>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</si>
  <si>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</si>
  <si>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</si>
  <si>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</si>
  <si>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</si>
  <si>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</si>
  <si>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</si>
  <si>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</si>
  <si>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</si>
  <si>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</si>
  <si>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</si>
  <si>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</si>
  <si>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</si>
  <si>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</si>
  <si>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</si>
  <si>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</si>
  <si>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</si>
  <si>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</si>
  <si>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</si>
  <si>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</si>
  <si>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</si>
  <si>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</si>
  <si>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</si>
  <si>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</si>
  <si>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</si>
  <si>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</si>
  <si>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</si>
  <si>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</si>
  <si>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</si>
  <si>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</si>
  <si>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</si>
  <si>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</si>
  <si>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</si>
  <si>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</si>
  <si>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</si>
  <si>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</si>
  <si>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</si>
  <si>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</si>
  <si>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</si>
  <si>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</si>
  <si>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</si>
  <si>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</si>
  <si>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</si>
  <si>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</si>
  <si>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</si>
  <si>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</si>
  <si>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</si>
  <si>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</si>
  <si>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</si>
  <si>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</si>
  <si>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</si>
  <si>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</si>
  <si>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</si>
  <si>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</si>
  <si>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</si>
  <si>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</si>
  <si>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</si>
  <si>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</si>
  <si>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</si>
  <si>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</si>
  <si>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</si>
  <si>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</si>
  <si>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</si>
  <si>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</si>
  <si>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</si>
  <si>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</si>
  <si>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</si>
  <si>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</si>
  <si>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</si>
  <si>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</si>
  <si>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</si>
  <si>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</si>
  <si>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</si>
  <si>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</si>
  <si>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</si>
  <si>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</si>
  <si>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</si>
  <si>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</si>
  <si>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</si>
  <si>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</si>
  <si>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</si>
  <si>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</si>
  <si>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</si>
  <si>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</si>
  <si>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</si>
  <si>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</si>
  <si>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</si>
  <si>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</si>
  <si>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</si>
  <si>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</si>
  <si>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</si>
  <si>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</si>
  <si>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</si>
  <si>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</si>
  <si>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</si>
  <si>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</si>
  <si>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</si>
  <si>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</si>
  <si>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</si>
  <si>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</si>
  <si>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</si>
  <si>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</si>
  <si>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</si>
  <si>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</si>
  <si>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</si>
  <si>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</si>
  <si>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</si>
  <si>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</si>
  <si>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</si>
  <si>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</si>
  <si>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</si>
  <si>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</si>
  <si>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</si>
  <si>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</si>
  <si>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</si>
  <si>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</si>
  <si>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</si>
  <si>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</si>
  <si>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</si>
  <si>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</si>
  <si>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</si>
  <si>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</si>
  <si>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</si>
  <si>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</si>
  <si>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</si>
  <si>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</si>
  <si>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</si>
  <si>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</si>
  <si>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</si>
  <si>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</si>
  <si>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</si>
  <si>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</si>
  <si>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</si>
  <si>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</si>
  <si>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</si>
  <si>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</si>
  <si>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</si>
  <si>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</si>
  <si>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</si>
  <si>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</si>
  <si>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</si>
  <si>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</si>
  <si>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</si>
  <si>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</si>
  <si>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</si>
  <si>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</si>
  <si>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</si>
  <si>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</si>
  <si>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</si>
  <si>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</si>
  <si>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</si>
  <si>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</si>
  <si>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</si>
  <si>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</si>
  <si>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</si>
  <si>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</si>
  <si>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</si>
  <si>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</si>
  <si>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</si>
  <si>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</si>
  <si>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</si>
  <si>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</si>
  <si>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</si>
  <si>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</si>
  <si>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</si>
  <si>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</si>
  <si>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</si>
  <si>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</si>
  <si>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</si>
  <si>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</si>
  <si>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</si>
  <si>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</si>
  <si>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</si>
  <si>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</si>
  <si>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</si>
  <si>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</si>
  <si>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</si>
  <si>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</si>
  <si>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</si>
  <si>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</si>
  <si>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</si>
  <si>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</si>
  <si>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</si>
  <si>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</si>
  <si>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</si>
  <si>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</si>
  <si>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</si>
  <si>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</si>
  <si>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</si>
  <si>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</si>
  <si>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</si>
  <si>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</si>
  <si>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</si>
  <si>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</si>
  <si>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</si>
  <si>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</si>
  <si>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</si>
  <si>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</si>
  <si>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</si>
  <si>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</si>
  <si>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</si>
  <si>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</si>
  <si>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</si>
  <si>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</si>
  <si>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</si>
  <si>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</si>
  <si>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</si>
  <si>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</si>
  <si>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</si>
  <si>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</si>
  <si>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</si>
  <si>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</si>
  <si>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</si>
  <si>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</si>
  <si>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</si>
  <si>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</si>
  <si>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</si>
  <si>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</si>
  <si>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</si>
  <si>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</si>
  <si>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</si>
  <si>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</si>
  <si>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</si>
  <si>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</si>
  <si>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</si>
  <si>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</si>
  <si>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</si>
  <si>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</si>
  <si>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</si>
  <si>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</si>
  <si>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</si>
  <si>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</si>
  <si>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</si>
  <si>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</si>
  <si>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</si>
  <si>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</si>
  <si>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</si>
  <si>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</si>
  <si>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</si>
  <si>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</si>
  <si>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</si>
  <si>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</si>
  <si>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</si>
  <si>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</si>
  <si>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</si>
  <si>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</si>
  <si>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</si>
  <si>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</si>
  <si>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</si>
  <si>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</si>
  <si>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</si>
  <si>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</si>
  <si>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</si>
  <si>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</si>
  <si>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</si>
  <si>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</si>
  <si>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</si>
  <si>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</si>
  <si>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</si>
  <si>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</si>
  <si>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</si>
  <si>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</si>
  <si>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</si>
  <si>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</si>
  <si>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</si>
  <si>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</si>
  <si>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</si>
  <si>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</si>
  <si>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</si>
  <si>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</si>
  <si>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</si>
  <si>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</si>
  <si>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</si>
  <si>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</si>
  <si>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</si>
  <si>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</si>
  <si>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</si>
  <si>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</si>
  <si>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</si>
  <si>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</si>
  <si>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</si>
  <si>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</si>
  <si>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</si>
  <si>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</si>
  <si>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</si>
  <si>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</si>
  <si>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</si>
  <si>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</si>
  <si>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</si>
  <si>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</si>
  <si>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</si>
  <si>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</si>
  <si>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</si>
  <si>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</si>
  <si>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</si>
  <si>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</si>
  <si>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</si>
  <si>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</si>
  <si>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</si>
  <si>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</si>
  <si>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</si>
  <si>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</si>
  <si>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</si>
  <si>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</si>
  <si>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</si>
  <si>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</si>
  <si>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</si>
  <si>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</si>
  <si>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</si>
  <si>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</si>
  <si>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</si>
  <si>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</si>
  <si>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</si>
  <si>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</si>
  <si>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</si>
  <si>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</si>
  <si>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</si>
  <si>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</si>
  <si>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</si>
  <si>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</si>
  <si>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</si>
  <si>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</si>
  <si>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</si>
  <si>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</si>
  <si>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</si>
  <si>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</si>
  <si>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</si>
  <si>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</si>
  <si>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</si>
  <si>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</si>
  <si>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</si>
  <si>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</si>
  <si>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</si>
  <si>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</si>
  <si>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</si>
  <si>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</si>
  <si>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</si>
  <si>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</si>
  <si>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</si>
  <si>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</si>
  <si>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</si>
  <si>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</si>
  <si>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</si>
  <si>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</si>
  <si>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</si>
  <si>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</si>
  <si>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</si>
  <si>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</si>
  <si>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</si>
  <si>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</si>
  <si>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</si>
  <si>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</si>
  <si>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</si>
  <si>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</si>
  <si>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</si>
  <si>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</si>
  <si>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</si>
  <si>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</si>
  <si>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</si>
  <si>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</si>
  <si>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</si>
  <si>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</si>
  <si>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</si>
  <si>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</si>
  <si>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</si>
  <si>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</si>
  <si>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</si>
  <si>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</si>
  <si>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</si>
  <si>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</si>
  <si>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</si>
  <si>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</si>
  <si>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</si>
  <si>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</si>
  <si>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</si>
  <si>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</si>
  <si>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</si>
  <si>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</si>
  <si>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</si>
  <si>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</si>
  <si>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</si>
  <si>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</si>
  <si>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</si>
  <si>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</si>
  <si>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</si>
  <si>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</si>
  <si>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</si>
  <si>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</si>
  <si>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</si>
  <si>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</si>
  <si>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</si>
  <si>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</si>
  <si>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</si>
  <si>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</si>
  <si>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</si>
  <si>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</si>
  <si>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</si>
  <si>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</si>
  <si>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</si>
  <si>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</si>
  <si>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</si>
  <si>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</si>
  <si>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</si>
  <si>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</si>
  <si>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</si>
  <si>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</si>
  <si>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</si>
  <si>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</si>
  <si>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</si>
  <si>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</si>
  <si>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</si>
  <si>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</si>
  <si>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</si>
  <si>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</si>
  <si>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</si>
  <si>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</si>
  <si>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</si>
  <si>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</si>
  <si>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</si>
  <si>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</si>
  <si>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</si>
  <si>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</si>
  <si>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</si>
  <si>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</si>
  <si>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</si>
  <si>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</si>
  <si>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</si>
  <si>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</si>
  <si>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</si>
  <si>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</si>
  <si>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</si>
  <si>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</si>
  <si>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</si>
  <si>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</si>
  <si>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</si>
  <si>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</si>
  <si>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</si>
  <si>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</si>
  <si>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</si>
  <si>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</si>
  <si>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</si>
  <si>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</si>
  <si>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</si>
  <si>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</si>
  <si>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</si>
  <si>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</si>
  <si>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</si>
  <si>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</si>
  <si>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</si>
  <si>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</si>
  <si>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</si>
  <si>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</si>
  <si>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</si>
  <si>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</si>
  <si>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</si>
  <si>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</si>
  <si>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</si>
  <si>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</si>
  <si>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</si>
  <si>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</si>
  <si>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</si>
  <si>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</si>
  <si>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</si>
  <si>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</si>
  <si>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</si>
  <si>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</si>
  <si>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</si>
  <si>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</si>
  <si>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</si>
  <si>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</si>
  <si>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</si>
  <si>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</si>
  <si>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</si>
  <si>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</si>
  <si>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</si>
  <si>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</si>
  <si>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</si>
  <si>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</si>
  <si>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</si>
  <si>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</si>
  <si>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</si>
  <si>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</si>
  <si>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</si>
  <si>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</si>
  <si>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</si>
  <si>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</si>
  <si>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</si>
  <si>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</si>
  <si>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</si>
  <si>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</si>
  <si>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</si>
  <si>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</si>
  <si>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</si>
  <si>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</si>
  <si>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</si>
  <si>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</si>
  <si>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</si>
  <si>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</si>
  <si>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</si>
  <si>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</si>
  <si>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</si>
  <si>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</si>
  <si>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</si>
  <si>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</si>
  <si>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</si>
  <si>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</si>
  <si>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</si>
  <si>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</si>
  <si>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</si>
  <si>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</si>
  <si>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</si>
  <si>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</si>
  <si>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</si>
  <si>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</si>
  <si>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</si>
  <si>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</si>
  <si>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</si>
  <si>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</si>
  <si>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</si>
  <si>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</si>
  <si>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</si>
  <si>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</si>
  <si>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</si>
  <si>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</si>
  <si>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</si>
  <si>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</si>
  <si>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</si>
  <si>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</si>
  <si>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</si>
  <si>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</si>
  <si>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</si>
  <si>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</si>
  <si>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</si>
  <si>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</si>
  <si>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</si>
  <si>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</si>
  <si>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</si>
  <si>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</si>
  <si>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</si>
  <si>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</si>
  <si>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</si>
  <si>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</si>
  <si>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</si>
  <si>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</si>
  <si>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</si>
  <si>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</si>
  <si>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</si>
  <si>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</si>
  <si>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</si>
  <si>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</si>
  <si>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</si>
  <si>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</si>
  <si>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</si>
  <si>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</si>
  <si>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</si>
  <si>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</si>
  <si>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</si>
  <si>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</si>
  <si>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</si>
  <si>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</si>
  <si>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</si>
  <si>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</si>
  <si>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</si>
  <si>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</si>
  <si>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</si>
  <si>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</si>
  <si>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</si>
  <si>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</si>
  <si>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</si>
  <si>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</si>
  <si>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</si>
  <si>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</si>
  <si>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</si>
  <si>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</si>
  <si>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</si>
  <si>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</si>
  <si>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</si>
  <si>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</si>
  <si>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</si>
  <si>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</si>
  <si>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</si>
  <si>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</si>
  <si>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</si>
  <si>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</si>
  <si>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</si>
  <si>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</si>
  <si>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</si>
  <si>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</si>
  <si>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</si>
  <si>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</si>
  <si>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</si>
  <si>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</si>
  <si>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</si>
  <si>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</si>
  <si>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</si>
  <si>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</si>
  <si>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</si>
  <si>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</si>
  <si>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</si>
  <si>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</si>
  <si>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</si>
  <si>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</si>
  <si>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</si>
  <si>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</si>
  <si>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</si>
  <si>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</si>
  <si>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</si>
  <si>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</si>
  <si>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</si>
  <si>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</si>
  <si>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</si>
  <si>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</si>
  <si>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</si>
  <si>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</si>
  <si>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</si>
  <si>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</si>
  <si>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</si>
  <si>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</si>
  <si>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</si>
  <si>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</si>
  <si>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</si>
  <si>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</si>
  <si>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</si>
  <si>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</si>
  <si>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</si>
  <si>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</si>
  <si>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</si>
  <si>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</si>
  <si>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</si>
  <si>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</si>
  <si>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</si>
  <si>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</si>
  <si>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</si>
  <si>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</si>
  <si>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</si>
  <si>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</si>
  <si>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</si>
  <si>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</si>
  <si>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</si>
  <si>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</si>
  <si>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</si>
  <si>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</si>
  <si>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</si>
  <si>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</si>
  <si>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</si>
  <si>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</si>
  <si>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</si>
  <si>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</si>
  <si>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</si>
  <si>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</si>
  <si>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</si>
  <si>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</si>
  <si>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</si>
  <si>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</si>
  <si>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</si>
  <si>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</si>
  <si>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</si>
  <si>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</si>
  <si>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</si>
  <si>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</si>
  <si>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</si>
  <si>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</si>
  <si>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</si>
  <si>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</si>
  <si>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</si>
  <si>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</si>
  <si>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</si>
  <si>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</si>
  <si>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</si>
  <si>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</si>
  <si>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</si>
  <si>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</si>
  <si>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</si>
  <si>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</si>
  <si>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</si>
  <si>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</si>
  <si>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</si>
  <si>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</si>
  <si>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</si>
  <si>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</si>
  <si>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</si>
  <si>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</si>
  <si>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</si>
  <si>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</si>
  <si>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</si>
  <si>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</si>
  <si>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</si>
  <si>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</si>
  <si>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</si>
  <si>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</si>
  <si>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</si>
  <si>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</si>
  <si>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</si>
  <si>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</si>
  <si>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</si>
  <si>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</si>
  <si>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</si>
  <si>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</si>
  <si>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</si>
  <si>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</si>
  <si>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</si>
  <si>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</si>
  <si>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</si>
  <si>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</si>
  <si>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</si>
  <si>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</si>
  <si>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</si>
  <si>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</si>
  <si>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</si>
  <si>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</si>
  <si>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</si>
  <si>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</si>
  <si>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</si>
  <si>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</si>
  <si>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</si>
  <si>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</si>
  <si>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</si>
  <si>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</si>
  <si>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</si>
  <si>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</si>
  <si>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</si>
  <si>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</si>
  <si>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</si>
  <si>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</si>
  <si>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</si>
  <si>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</si>
  <si>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</si>
  <si>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</si>
  <si>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</si>
  <si>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</si>
  <si>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</si>
  <si>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</si>
  <si>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</si>
  <si>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</si>
  <si>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</si>
  <si>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</si>
  <si>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</si>
  <si>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</si>
  <si>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</si>
  <si>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</si>
  <si>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</si>
  <si>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</si>
  <si>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</si>
  <si>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</si>
  <si>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</si>
  <si>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</si>
  <si>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</si>
  <si>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</si>
  <si>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</si>
  <si>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</si>
  <si>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</si>
  <si>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</si>
  <si>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</si>
  <si>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</si>
  <si>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</si>
  <si>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</si>
  <si>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</si>
  <si>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</si>
  <si>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</si>
  <si>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</si>
  <si>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</si>
  <si>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</si>
  <si>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</si>
  <si>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</si>
  <si>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</si>
  <si>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</si>
  <si>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</si>
  <si>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</si>
  <si>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</si>
  <si>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</si>
  <si>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</si>
  <si>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</si>
  <si>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</si>
  <si>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</si>
  <si>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</si>
  <si>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</si>
  <si>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</si>
  <si>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</si>
  <si>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</si>
  <si>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</si>
  <si>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</si>
  <si>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</si>
  <si>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</si>
  <si>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</si>
  <si>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</si>
  <si>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</si>
  <si>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</si>
  <si>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</si>
  <si>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</si>
  <si>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</si>
  <si>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</si>
  <si>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</si>
  <si>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</si>
  <si>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</si>
  <si>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</si>
  <si>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</si>
  <si>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</si>
  <si>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</si>
  <si>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</si>
  <si>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</si>
  <si>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</si>
  <si>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</si>
  <si>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</si>
  <si>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</si>
  <si>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</si>
  <si>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</si>
  <si>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</si>
  <si>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</si>
  <si>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</si>
  <si>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</si>
  <si>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</si>
  <si>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</si>
  <si>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</si>
  <si>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</si>
  <si>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</si>
  <si>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</si>
  <si>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</si>
  <si>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</si>
  <si>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</si>
  <si>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</si>
  <si>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</si>
  <si>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</si>
  <si>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</si>
  <si>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</si>
  <si>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</si>
  <si>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</si>
  <si>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</si>
  <si>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</si>
  <si>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</si>
  <si>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</si>
  <si>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</si>
  <si>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</si>
  <si>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</si>
  <si>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</si>
  <si>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</si>
  <si>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</si>
  <si>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</si>
  <si>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</si>
  <si>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</si>
  <si>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</si>
  <si>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</si>
  <si>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</si>
  <si>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</si>
  <si>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</si>
  <si>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</si>
  <si>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</si>
  <si>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</si>
  <si>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</si>
  <si>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</si>
  <si>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</si>
  <si>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</si>
  <si>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</si>
  <si>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</si>
  <si>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</si>
  <si>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</si>
  <si>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</si>
  <si>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</si>
  <si>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</si>
  <si>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</si>
  <si>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</si>
  <si>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</si>
  <si>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</si>
  <si>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</si>
  <si>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</si>
  <si>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</si>
  <si>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</si>
  <si>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</si>
  <si>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</si>
  <si>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</si>
  <si>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</si>
  <si>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</si>
  <si>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</si>
  <si>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</si>
  <si>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</si>
  <si>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</si>
  <si>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</si>
  <si>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</si>
  <si>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</si>
  <si>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</si>
  <si>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</si>
  <si>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</si>
  <si>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</si>
  <si>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</si>
  <si>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</si>
  <si>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</si>
  <si>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</si>
  <si>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</si>
  <si>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</si>
  <si>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</si>
  <si>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</si>
  <si>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</si>
  <si>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</si>
  <si>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</si>
  <si>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</si>
  <si>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</si>
  <si>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</si>
  <si>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</si>
  <si>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</si>
  <si>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</si>
  <si>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</si>
  <si>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</si>
  <si>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</si>
  <si>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</si>
  <si>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</si>
  <si>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</si>
  <si>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</si>
  <si>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</si>
  <si>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</si>
  <si>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</si>
  <si>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</si>
  <si>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</si>
  <si>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</si>
  <si>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</si>
  <si>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</si>
  <si>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</si>
  <si>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</si>
  <si>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</si>
  <si>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</si>
  <si>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</si>
  <si>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</si>
  <si>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</si>
  <si>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</si>
  <si>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</si>
  <si>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</si>
  <si>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</si>
  <si>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</si>
  <si>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</si>
  <si>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</si>
  <si>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</si>
  <si>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</si>
  <si>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</si>
  <si>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</si>
  <si>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</si>
  <si>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</si>
  <si>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</si>
  <si>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</si>
  <si>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</si>
  <si>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</si>
  <si>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</si>
  <si>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</si>
  <si>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</si>
  <si>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</si>
  <si>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</si>
  <si>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</si>
  <si>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</si>
  <si>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</si>
  <si>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</si>
  <si>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</si>
  <si>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</si>
  <si>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</si>
  <si>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</si>
  <si>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</si>
  <si>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</si>
  <si>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</si>
  <si>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</si>
  <si>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</si>
  <si>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</si>
  <si>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</si>
  <si>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</si>
  <si>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</si>
  <si>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</si>
  <si>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</si>
  <si>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</si>
  <si>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</si>
  <si>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</si>
  <si>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</si>
  <si>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</si>
  <si>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</si>
  <si>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</si>
  <si>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</si>
  <si>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</si>
  <si>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</si>
  <si>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</si>
  <si>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</si>
  <si>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</si>
  <si>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</si>
  <si>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</si>
  <si>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</si>
  <si>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</si>
  <si>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</si>
  <si>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</si>
  <si>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</si>
  <si>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</si>
  <si>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</si>
  <si>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</si>
  <si>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</si>
  <si>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</si>
  <si>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</si>
  <si>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</si>
  <si>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</si>
  <si>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</si>
  <si>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</si>
  <si>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</si>
  <si>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</si>
  <si>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</si>
  <si>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</si>
  <si>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</si>
  <si>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</si>
  <si>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</si>
  <si>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</si>
  <si>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</si>
  <si>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</si>
  <si>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</si>
  <si>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</si>
  <si>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</si>
  <si>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</si>
  <si>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</si>
  <si>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</si>
  <si>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</si>
  <si>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</si>
  <si>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</si>
  <si>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</si>
  <si>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</si>
  <si>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</si>
  <si>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</si>
  <si>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</si>
  <si>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</si>
  <si>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</si>
  <si>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</si>
  <si>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</si>
  <si>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</si>
  <si>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</si>
  <si>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</si>
  <si>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</si>
  <si>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</si>
  <si>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</si>
  <si>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</si>
  <si>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</si>
  <si>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</si>
  <si>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</si>
  <si>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</si>
  <si>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</si>
  <si>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</si>
  <si>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</si>
  <si>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</si>
  <si>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</si>
  <si>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</si>
  <si>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</si>
  <si>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</si>
  <si>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</si>
  <si>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</si>
  <si>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</si>
  <si>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</si>
  <si>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</si>
  <si>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</si>
  <si>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</si>
  <si>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</si>
  <si>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</si>
  <si>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</si>
  <si>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</si>
  <si>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</si>
  <si>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</si>
  <si>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</si>
  <si>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</si>
  <si>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</si>
  <si>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</si>
  <si>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</si>
  <si>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</si>
  <si>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</si>
  <si>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</si>
  <si>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</si>
  <si>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</si>
  <si>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</si>
  <si>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</si>
  <si>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</si>
  <si>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</si>
  <si>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</si>
  <si>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</si>
  <si>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</si>
  <si>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</si>
  <si>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</si>
  <si>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</si>
  <si>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</si>
  <si>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</si>
  <si>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</si>
  <si>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</si>
  <si>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</si>
  <si>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</si>
  <si>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</si>
  <si>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</si>
  <si>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</si>
  <si>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</si>
  <si>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</si>
  <si>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</si>
  <si>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</si>
  <si>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</si>
  <si>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</si>
  <si>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</si>
  <si>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</si>
  <si>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</si>
  <si>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</si>
  <si>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</si>
  <si>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</si>
  <si>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</si>
  <si>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</si>
  <si>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</si>
  <si>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</si>
  <si>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</si>
  <si>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</si>
  <si>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</si>
  <si>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</si>
  <si>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</si>
  <si>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</si>
  <si>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</si>
  <si>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</si>
  <si>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</si>
  <si>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</si>
  <si>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</si>
  <si>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</si>
  <si>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</si>
  <si>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</si>
  <si>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</si>
  <si>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</si>
  <si>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</si>
  <si>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</si>
  <si>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</si>
  <si>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</si>
  <si>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</si>
  <si>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</si>
  <si>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</si>
  <si>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</si>
  <si>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</si>
  <si>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</si>
  <si>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</si>
  <si>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</si>
  <si>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</si>
  <si>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</si>
  <si>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</si>
  <si>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</si>
  <si>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</si>
  <si>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</si>
  <si>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</si>
  <si>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</si>
  <si>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</si>
  <si>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</si>
  <si>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</si>
  <si>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</si>
  <si>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</si>
  <si>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</si>
  <si>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</si>
  <si>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</si>
  <si>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</si>
  <si>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</si>
  <si>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</si>
  <si>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</si>
  <si>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</si>
  <si>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</si>
  <si>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</si>
  <si>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</si>
  <si>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</si>
  <si>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</si>
  <si>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</si>
  <si>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</si>
  <si>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</si>
  <si>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</si>
  <si>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</si>
  <si>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</si>
  <si>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</si>
  <si>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</si>
  <si>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</si>
  <si>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</si>
  <si>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</si>
  <si>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</si>
  <si>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</si>
  <si>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</si>
  <si>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</si>
  <si>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</si>
  <si>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</si>
  <si>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</si>
  <si>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</si>
  <si>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</si>
  <si>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</si>
  <si>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</si>
  <si>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</si>
  <si>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</si>
  <si>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</si>
  <si>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</si>
  <si>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</si>
  <si>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</si>
  <si>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</si>
  <si>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</si>
  <si>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</si>
  <si>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</si>
  <si>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</si>
  <si>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</si>
  <si>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</si>
  <si>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</si>
  <si>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</si>
  <si>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</si>
  <si>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</si>
  <si>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</si>
  <si>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</si>
  <si>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</si>
  <si>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</si>
  <si>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</si>
  <si>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</si>
  <si>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</si>
  <si>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</si>
  <si>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</si>
  <si>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</si>
  <si>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</si>
  <si>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</si>
  <si>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</si>
  <si>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</si>
  <si>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</si>
  <si>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</si>
  <si>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</si>
  <si>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</si>
  <si>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</si>
  <si>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</si>
  <si>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</si>
  <si>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</si>
  <si>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</si>
  <si>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</si>
  <si>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</si>
  <si>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</si>
  <si>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</si>
  <si>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</si>
  <si>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</si>
  <si>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</si>
  <si>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</si>
  <si>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</si>
  <si>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</si>
  <si>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</si>
  <si>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</si>
  <si>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</si>
  <si>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</si>
  <si>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</si>
  <si>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</si>
  <si>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</si>
  <si>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</si>
  <si>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</si>
  <si>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</si>
  <si>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</si>
  <si>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</si>
  <si>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</si>
  <si>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</si>
  <si>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</si>
  <si>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</si>
  <si>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</si>
  <si>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</si>
  <si>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</si>
  <si>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</si>
  <si>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</si>
  <si>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</si>
  <si>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</si>
  <si>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</si>
  <si>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</si>
  <si>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</si>
  <si>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</si>
  <si>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</si>
  <si>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</si>
  <si>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</si>
  <si>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</si>
  <si>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</si>
  <si>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</si>
  <si>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</si>
  <si>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</si>
  <si>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</si>
  <si>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</si>
  <si>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</si>
  <si>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</si>
  <si>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</si>
  <si>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</si>
  <si>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08/22</t>
  </si>
  <si>
    <t>08/31</t>
  </si>
  <si>
    <t>08/15/02</t>
  </si>
  <si>
    <t>08/15/2016</t>
  </si>
  <si>
    <t xml:space="preserve">Audit Adjustment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</si>
</sst>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4" fillId="0" borderId="0" xfId="0" applyNumberFormat="1" applyFont="1" applyAlignment="1" applyProtection="1">
      <alignment horizontal="center"/>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4" zoomScaleNormal="100" workbookViewId="0">
      <selection activeCell="H667" sqref="H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1057</v>
      </c>
      <c r="B2" s="126">
        <f>INDEX('School Tables'!$AH$3:$AH$208,MATCH('DOE25'!A2,'School Tables'!$AJ$3:$AJ$208,0))</f>
        <v>191</v>
      </c>
      <c r="C2" s="126">
        <f>INDEX('School Tables'!$AI$3:$AI$208,MATCH('DOE25'!A2,'School Tables'!$AJ$3:$AJ$208,0))</f>
        <v>191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1777288+136227</f>
        <v>1913515</v>
      </c>
      <c r="G9" s="18">
        <v>150</v>
      </c>
      <c r="H9" s="18"/>
      <c r="I9" s="18"/>
      <c r="J9" s="67">
        <f>SUM(I440)</f>
        <v>0</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c r="G12" s="18">
        <v>135945</v>
      </c>
      <c r="H12" s="18"/>
      <c r="I12" s="18"/>
      <c r="J12" s="67">
        <f>SUM(I442)</f>
        <v>1161413</v>
      </c>
      <c r="K12" s="24" t="s">
        <v>288</v>
      </c>
      <c r="L12" s="24" t="s">
        <v>288</v>
      </c>
      <c r="M12" s="8"/>
      <c r="N12" s="265"/>
    </row>
    <row r="13" spans="1:14" s="3" customFormat="1" ht="12.2" customHeight="1" x14ac:dyDescent="0.15">
      <c r="A13" s="1" t="s">
        <v>604</v>
      </c>
      <c r="B13" s="2" t="s">
        <v>289</v>
      </c>
      <c r="C13" s="6">
        <v>5</v>
      </c>
      <c r="D13" s="2" t="s">
        <v>428</v>
      </c>
      <c r="E13" s="6">
        <v>140</v>
      </c>
      <c r="F13" s="18"/>
      <c r="G13" s="18">
        <v>20033</v>
      </c>
      <c r="H13" s="18">
        <v>241773</v>
      </c>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v>1574058</v>
      </c>
      <c r="G14" s="18"/>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v>2470</v>
      </c>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3487573</v>
      </c>
      <c r="G19" s="41">
        <f>SUM(G9:G18)</f>
        <v>158598</v>
      </c>
      <c r="H19" s="41">
        <f>SUM(H9:H18)</f>
        <v>241773</v>
      </c>
      <c r="I19" s="41">
        <f>SUM(I9:I18)</f>
        <v>0</v>
      </c>
      <c r="J19" s="41">
        <f>SUM(J9:J18)</f>
        <v>1161413</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v>50704</v>
      </c>
      <c r="G22" s="18"/>
      <c r="H22" s="18"/>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v>221468</v>
      </c>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689350</v>
      </c>
      <c r="G24" s="18"/>
      <c r="H24" s="18">
        <f>1465+18840</f>
        <v>20305</v>
      </c>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v>22050</v>
      </c>
      <c r="G30" s="18">
        <v>16426</v>
      </c>
      <c r="H30" s="18"/>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762104</v>
      </c>
      <c r="G32" s="41">
        <f>SUM(G22:G31)</f>
        <v>16426</v>
      </c>
      <c r="H32" s="41">
        <f>SUM(H22:H31)</f>
        <v>241773</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v>142172</v>
      </c>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1161413</v>
      </c>
      <c r="K43" s="24" t="s">
        <v>288</v>
      </c>
      <c r="L43" s="24" t="s">
        <v>288</v>
      </c>
      <c r="M43" s="8"/>
      <c r="N43" s="265"/>
    </row>
    <row r="44" spans="1:14" s="3" customFormat="1" ht="12.2" customHeight="1" x14ac:dyDescent="0.15">
      <c r="A44" s="1" t="s">
        <v>837</v>
      </c>
      <c r="B44" s="6">
        <v>1</v>
      </c>
      <c r="C44" s="6">
        <v>30</v>
      </c>
      <c r="D44" s="2" t="s">
        <v>653</v>
      </c>
      <c r="E44" s="6">
        <v>755</v>
      </c>
      <c r="F44" s="18">
        <v>292500</v>
      </c>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v>476991</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c r="H48" s="18"/>
      <c r="I48" s="18"/>
      <c r="J48" s="13">
        <f>SUM(I460)</f>
        <v>0</v>
      </c>
      <c r="K48" s="24" t="s">
        <v>288</v>
      </c>
      <c r="L48" s="24" t="s">
        <v>288</v>
      </c>
      <c r="M48" s="8"/>
      <c r="N48" s="265"/>
    </row>
    <row r="49" spans="1:14" s="3" customFormat="1" ht="12.2" customHeight="1" x14ac:dyDescent="0.15">
      <c r="A49" s="1" t="s">
        <v>859</v>
      </c>
      <c r="B49" s="2" t="s">
        <v>289</v>
      </c>
      <c r="C49" s="6">
        <v>34</v>
      </c>
      <c r="D49" s="2"/>
      <c r="E49" s="6">
        <v>753</v>
      </c>
      <c r="F49" s="18"/>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v>1955978</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2725469</v>
      </c>
      <c r="G51" s="41">
        <f>SUM(G35:G50)</f>
        <v>142172</v>
      </c>
      <c r="H51" s="41">
        <f>SUM(H35:H50)</f>
        <v>0</v>
      </c>
      <c r="I51" s="41">
        <f>SUM(I35:I50)</f>
        <v>0</v>
      </c>
      <c r="J51" s="41">
        <f>SUM(J35:J50)</f>
        <v>1161413</v>
      </c>
      <c r="K51" s="45" t="s">
        <v>288</v>
      </c>
      <c r="L51" s="45" t="s">
        <v>288</v>
      </c>
      <c r="N51" s="263"/>
    </row>
    <row r="52" spans="1:14" s="3" customFormat="1" ht="12.2" customHeight="1" thickTop="1" x14ac:dyDescent="0.15">
      <c r="A52" s="38" t="s">
        <v>455</v>
      </c>
      <c r="B52" s="39" t="s">
        <v>289</v>
      </c>
      <c r="C52" s="6">
        <v>37</v>
      </c>
      <c r="D52" s="39" t="s">
        <v>653</v>
      </c>
      <c r="E52" s="39"/>
      <c r="F52" s="41">
        <f>F51+F32</f>
        <v>3487573</v>
      </c>
      <c r="G52" s="41">
        <f>G51+G32</f>
        <v>158598</v>
      </c>
      <c r="H52" s="41">
        <f>H51+H32</f>
        <v>241773</v>
      </c>
      <c r="I52" s="41">
        <f>I51+I32</f>
        <v>0</v>
      </c>
      <c r="J52" s="41">
        <f>J51+J32</f>
        <v>1161413</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15217635</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15217635</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v>106253</v>
      </c>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v>3335145</v>
      </c>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3441398</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13541</v>
      </c>
      <c r="G96" s="18"/>
      <c r="H96" s="18"/>
      <c r="I96" s="18"/>
      <c r="J96" s="18">
        <v>1163</v>
      </c>
      <c r="K96" s="24" t="s">
        <v>288</v>
      </c>
      <c r="L96" s="24" t="s">
        <v>288</v>
      </c>
      <c r="M96" s="8"/>
      <c r="N96" s="265"/>
    </row>
    <row r="97" spans="1:14" s="3" customFormat="1" ht="12.2" customHeight="1" x14ac:dyDescent="0.15">
      <c r="A97" s="1" t="s">
        <v>503</v>
      </c>
      <c r="B97" s="2" t="s">
        <v>315</v>
      </c>
      <c r="C97" s="6">
        <v>12</v>
      </c>
      <c r="D97" s="2" t="s">
        <v>430</v>
      </c>
      <c r="E97" s="6">
        <v>1600</v>
      </c>
      <c r="F97" s="24" t="s">
        <v>288</v>
      </c>
      <c r="G97" s="18">
        <v>284894</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533387</v>
      </c>
      <c r="G110" s="18">
        <v>32104</v>
      </c>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546928</v>
      </c>
      <c r="G111" s="41">
        <f>SUM(G96:G110)</f>
        <v>316998</v>
      </c>
      <c r="H111" s="41">
        <f>SUM(H96:H110)</f>
        <v>0</v>
      </c>
      <c r="I111" s="41">
        <f>SUM(I96:I110)</f>
        <v>0</v>
      </c>
      <c r="J111" s="41">
        <f>SUM(J96:J110)</f>
        <v>1163</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19205961</v>
      </c>
      <c r="G112" s="41">
        <f>G60+G111</f>
        <v>316998</v>
      </c>
      <c r="H112" s="41">
        <f>H60+H79+H94+H111</f>
        <v>0</v>
      </c>
      <c r="I112" s="41">
        <f>I60+I111</f>
        <v>0</v>
      </c>
      <c r="J112" s="41">
        <f>J60+J111</f>
        <v>1163</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985351</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3862024</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4847375</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v>314594</v>
      </c>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53781</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v>9281</v>
      </c>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7482</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377656</v>
      </c>
      <c r="G136" s="41">
        <f>SUM(G123:G135)</f>
        <v>7482</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5225031</v>
      </c>
      <c r="G140" s="41">
        <f>G121+SUM(G136:G137)</f>
        <v>7482</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v>22333</v>
      </c>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121542</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f>98767-12349</f>
        <v>86418</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114412</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291234</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v>12349</v>
      </c>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v>453092</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22333</v>
      </c>
      <c r="G163" s="41">
        <f>SUM(G150:G162)</f>
        <v>114412</v>
      </c>
      <c r="H163" s="41">
        <f>SUM(H150:H162)</f>
        <v>964635</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22333</v>
      </c>
      <c r="G170" s="41">
        <f>G147+G163+SUM(G164:G169)</f>
        <v>114412</v>
      </c>
      <c r="H170" s="41">
        <f>H147+H163+SUM(H164:H169)</f>
        <v>964635</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v>156734</v>
      </c>
      <c r="H180" s="18"/>
      <c r="I180" s="18"/>
      <c r="J180" s="18">
        <v>292500</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156734</v>
      </c>
      <c r="H184" s="41">
        <f>SUM(H180:H183)</f>
        <v>0</v>
      </c>
      <c r="I184" s="41">
        <f>SUM(I180:I183)</f>
        <v>0</v>
      </c>
      <c r="J184" s="41">
        <f>SUM(J180:J183)</f>
        <v>292500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v>161285</v>
      </c>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161285</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161285</v>
      </c>
      <c r="G193" s="41">
        <f>G184+SUM(G189:G192)</f>
        <v>156734</v>
      </c>
      <c r="H193" s="41">
        <f>+H184+SUM(H189:H192)</f>
        <v>0</v>
      </c>
      <c r="I193" s="41">
        <f>I178+I184+SUM(I189:I192)</f>
        <v>0</v>
      </c>
      <c r="J193" s="41">
        <f>J184</f>
        <v>292500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24614610</v>
      </c>
      <c r="G194" s="47">
        <f>G112+G140+G170+G193</f>
        <v>595626</v>
      </c>
      <c r="H194" s="47">
        <f>H112+H140+H170+H193</f>
        <v>964635</v>
      </c>
      <c r="I194" s="47">
        <f>I112+I140+I170+I193</f>
        <v>0</v>
      </c>
      <c r="J194" s="47">
        <f>J112+J140+J193</f>
        <v>293663</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f>1955293+7293</f>
        <v>1962586</v>
      </c>
      <c r="G198" s="18">
        <v>1181722</v>
      </c>
      <c r="H198" s="18">
        <f>9812+1368</f>
        <v>11180</v>
      </c>
      <c r="I198" s="18">
        <v>67991</v>
      </c>
      <c r="J198" s="18">
        <v>14949</v>
      </c>
      <c r="K198" s="18"/>
      <c r="L198" s="19">
        <f>SUM(F198:K198)</f>
        <v>3238428</v>
      </c>
      <c r="M198" s="8"/>
      <c r="N198" s="265"/>
    </row>
    <row r="199" spans="1:14" s="3" customFormat="1" ht="12.2" customHeight="1" x14ac:dyDescent="0.15">
      <c r="A199" s="1" t="s">
        <v>439</v>
      </c>
      <c r="B199" s="2" t="s">
        <v>341</v>
      </c>
      <c r="C199" s="2" t="s">
        <v>291</v>
      </c>
      <c r="D199" s="2" t="s">
        <v>431</v>
      </c>
      <c r="E199" s="6">
        <v>1200</v>
      </c>
      <c r="F199" s="18">
        <v>700701</v>
      </c>
      <c r="G199" s="18">
        <v>423483</v>
      </c>
      <c r="H199" s="18">
        <v>205556</v>
      </c>
      <c r="I199" s="18">
        <v>1663</v>
      </c>
      <c r="J199" s="18">
        <v>10958</v>
      </c>
      <c r="K199" s="18"/>
      <c r="L199" s="19">
        <f>SUM(F199:K199)</f>
        <v>1342361</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v>98222</v>
      </c>
      <c r="G201" s="18">
        <v>59363</v>
      </c>
      <c r="H201" s="18">
        <v>0</v>
      </c>
      <c r="I201" s="18">
        <v>6918</v>
      </c>
      <c r="J201" s="18">
        <v>0</v>
      </c>
      <c r="K201" s="18"/>
      <c r="L201" s="19">
        <f>SUM(F201:K201)</f>
        <v>164503</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196510</v>
      </c>
      <c r="G203" s="18">
        <v>118765</v>
      </c>
      <c r="H203" s="18">
        <v>9214</v>
      </c>
      <c r="I203" s="18">
        <v>4294</v>
      </c>
      <c r="J203" s="18">
        <v>0</v>
      </c>
      <c r="K203" s="18"/>
      <c r="L203" s="19">
        <f t="shared" ref="L203:L209" si="0">SUM(F203:K203)</f>
        <v>328783</v>
      </c>
      <c r="M203" s="8"/>
      <c r="N203" s="265"/>
    </row>
    <row r="204" spans="1:14" s="3" customFormat="1" ht="12.2" customHeight="1" x14ac:dyDescent="0.15">
      <c r="A204" s="1" t="s">
        <v>443</v>
      </c>
      <c r="B204" s="2" t="s">
        <v>341</v>
      </c>
      <c r="C204" s="2" t="s">
        <v>295</v>
      </c>
      <c r="D204" s="2" t="s">
        <v>431</v>
      </c>
      <c r="E204" s="6">
        <v>2200</v>
      </c>
      <c r="F204" s="18">
        <v>134920</v>
      </c>
      <c r="G204" s="18">
        <v>52078</v>
      </c>
      <c r="H204" s="18">
        <v>27143</v>
      </c>
      <c r="I204" s="18">
        <v>69166</v>
      </c>
      <c r="J204" s="18">
        <v>56429</v>
      </c>
      <c r="K204" s="18">
        <v>1066</v>
      </c>
      <c r="L204" s="19">
        <f t="shared" si="0"/>
        <v>340802</v>
      </c>
      <c r="M204" s="8"/>
      <c r="N204" s="265"/>
    </row>
    <row r="205" spans="1:14" s="3" customFormat="1" ht="12.2" customHeight="1" x14ac:dyDescent="0.15">
      <c r="A205" s="1" t="s">
        <v>444</v>
      </c>
      <c r="B205" s="2" t="s">
        <v>341</v>
      </c>
      <c r="C205" s="2" t="s">
        <v>296</v>
      </c>
      <c r="D205" s="2" t="s">
        <v>431</v>
      </c>
      <c r="E205" s="6">
        <v>2300</v>
      </c>
      <c r="F205" s="18">
        <v>71730</v>
      </c>
      <c r="G205" s="18">
        <v>36416</v>
      </c>
      <c r="H205" s="18">
        <v>43470</v>
      </c>
      <c r="I205" s="18">
        <v>0</v>
      </c>
      <c r="J205" s="18">
        <v>0</v>
      </c>
      <c r="K205" s="18">
        <v>2838</v>
      </c>
      <c r="L205" s="19">
        <f t="shared" si="0"/>
        <v>154454</v>
      </c>
      <c r="M205" s="8"/>
      <c r="N205" s="265"/>
    </row>
    <row r="206" spans="1:14" s="3" customFormat="1" ht="12.2" customHeight="1" x14ac:dyDescent="0.15">
      <c r="A206" s="1" t="s">
        <v>445</v>
      </c>
      <c r="B206" s="2" t="s">
        <v>341</v>
      </c>
      <c r="C206" s="2" t="s">
        <v>297</v>
      </c>
      <c r="D206" s="2" t="s">
        <v>431</v>
      </c>
      <c r="E206" s="6">
        <v>2400</v>
      </c>
      <c r="F206" s="18">
        <v>250431</v>
      </c>
      <c r="G206" s="18">
        <v>151353</v>
      </c>
      <c r="H206" s="18">
        <v>17192</v>
      </c>
      <c r="I206" s="18">
        <v>801</v>
      </c>
      <c r="J206" s="18">
        <v>0</v>
      </c>
      <c r="K206" s="18">
        <v>808</v>
      </c>
      <c r="L206" s="19">
        <f t="shared" si="0"/>
        <v>420585</v>
      </c>
      <c r="M206" s="8"/>
      <c r="N206" s="265"/>
    </row>
    <row r="207" spans="1:14" s="3" customFormat="1" ht="12.2" customHeight="1" x14ac:dyDescent="0.15">
      <c r="A207" s="1" t="s">
        <v>446</v>
      </c>
      <c r="B207" s="2" t="s">
        <v>341</v>
      </c>
      <c r="C207" s="2" t="s">
        <v>298</v>
      </c>
      <c r="D207" s="2" t="s">
        <v>431</v>
      </c>
      <c r="E207" s="6">
        <v>2500</v>
      </c>
      <c r="F207" s="18">
        <v>77216</v>
      </c>
      <c r="G207" s="18">
        <v>39200</v>
      </c>
      <c r="H207" s="18">
        <v>21530</v>
      </c>
      <c r="I207" s="18">
        <v>2040</v>
      </c>
      <c r="J207" s="18">
        <v>0</v>
      </c>
      <c r="K207" s="18">
        <v>1233</v>
      </c>
      <c r="L207" s="19">
        <f t="shared" si="0"/>
        <v>141219</v>
      </c>
      <c r="M207" s="8"/>
      <c r="N207" s="265"/>
    </row>
    <row r="208" spans="1:14" s="3" customFormat="1" ht="12.2" customHeight="1" x14ac:dyDescent="0.15">
      <c r="A208" s="1" t="s">
        <v>447</v>
      </c>
      <c r="B208" s="2" t="s">
        <v>341</v>
      </c>
      <c r="C208" s="2" t="s">
        <v>299</v>
      </c>
      <c r="D208" s="2" t="s">
        <v>431</v>
      </c>
      <c r="E208" s="6">
        <v>2600</v>
      </c>
      <c r="F208" s="18">
        <v>272104</v>
      </c>
      <c r="G208" s="18">
        <v>164452</v>
      </c>
      <c r="H208" s="18">
        <v>130392</v>
      </c>
      <c r="I208" s="18">
        <v>141752</v>
      </c>
      <c r="J208" s="18">
        <v>8011</v>
      </c>
      <c r="K208" s="18">
        <v>0</v>
      </c>
      <c r="L208" s="19">
        <f t="shared" si="0"/>
        <v>716711</v>
      </c>
      <c r="M208" s="8"/>
      <c r="N208" s="265"/>
    </row>
    <row r="209" spans="1:14" s="3" customFormat="1" ht="12.2" customHeight="1" x14ac:dyDescent="0.15">
      <c r="A209" s="1" t="s">
        <v>448</v>
      </c>
      <c r="B209" s="2" t="s">
        <v>341</v>
      </c>
      <c r="C209" s="2" t="s">
        <v>300</v>
      </c>
      <c r="D209" s="2" t="s">
        <v>431</v>
      </c>
      <c r="E209" s="6">
        <v>2700</v>
      </c>
      <c r="F209" s="18">
        <v>0</v>
      </c>
      <c r="G209" s="18">
        <v>0</v>
      </c>
      <c r="H209" s="18">
        <v>176810</v>
      </c>
      <c r="I209" s="18">
        <v>0</v>
      </c>
      <c r="J209" s="18">
        <v>0</v>
      </c>
      <c r="K209" s="18">
        <v>0</v>
      </c>
      <c r="L209" s="19">
        <f t="shared" si="0"/>
        <v>176810</v>
      </c>
      <c r="M209" s="8"/>
      <c r="N209" s="265"/>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3764420</v>
      </c>
      <c r="G212" s="41">
        <f t="shared" si="1"/>
        <v>2226832</v>
      </c>
      <c r="H212" s="41">
        <f t="shared" si="1"/>
        <v>642487</v>
      </c>
      <c r="I212" s="41">
        <f t="shared" si="1"/>
        <v>294625</v>
      </c>
      <c r="J212" s="41">
        <f t="shared" si="1"/>
        <v>90347</v>
      </c>
      <c r="K212" s="41">
        <f t="shared" si="1"/>
        <v>5945</v>
      </c>
      <c r="L212" s="41">
        <f t="shared" si="1"/>
        <v>7024656</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f>1780411+7293</f>
        <v>1787704</v>
      </c>
      <c r="G216" s="18">
        <v>1076029</v>
      </c>
      <c r="H216" s="18">
        <f>10201+1368</f>
        <v>11569</v>
      </c>
      <c r="I216" s="18">
        <v>37315</v>
      </c>
      <c r="J216" s="18">
        <v>9910</v>
      </c>
      <c r="K216" s="18"/>
      <c r="L216" s="19">
        <f>SUM(F216:K216)</f>
        <v>2922527</v>
      </c>
      <c r="M216" s="8"/>
      <c r="N216" s="265"/>
    </row>
    <row r="217" spans="1:14" s="3" customFormat="1" ht="12.2" customHeight="1" x14ac:dyDescent="0.15">
      <c r="A217" s="1" t="s">
        <v>439</v>
      </c>
      <c r="B217" s="2" t="s">
        <v>346</v>
      </c>
      <c r="C217" s="2" t="s">
        <v>291</v>
      </c>
      <c r="D217" s="2" t="s">
        <v>431</v>
      </c>
      <c r="E217" s="6">
        <v>1200</v>
      </c>
      <c r="F217" s="18">
        <v>482978</v>
      </c>
      <c r="G217" s="18">
        <v>291898</v>
      </c>
      <c r="H217" s="18">
        <v>122688</v>
      </c>
      <c r="I217" s="18">
        <v>1326</v>
      </c>
      <c r="J217" s="18">
        <v>3623</v>
      </c>
      <c r="K217" s="18"/>
      <c r="L217" s="19">
        <f>SUM(F217:K217)</f>
        <v>902513</v>
      </c>
      <c r="M217" s="8"/>
      <c r="N217" s="265"/>
    </row>
    <row r="218" spans="1:14" s="3" customFormat="1" ht="12.2" customHeight="1" x14ac:dyDescent="0.15">
      <c r="A218" s="1" t="s">
        <v>440</v>
      </c>
      <c r="B218" s="2" t="s">
        <v>346</v>
      </c>
      <c r="C218" s="2" t="s">
        <v>292</v>
      </c>
      <c r="D218" s="2" t="s">
        <v>431</v>
      </c>
      <c r="E218" s="6">
        <v>1300</v>
      </c>
      <c r="F218" s="18"/>
      <c r="G218" s="18">
        <v>0</v>
      </c>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v>52369</v>
      </c>
      <c r="G219" s="18">
        <v>31650</v>
      </c>
      <c r="H219" s="18">
        <v>22047</v>
      </c>
      <c r="I219" s="18">
        <v>14642</v>
      </c>
      <c r="J219" s="18">
        <v>3166</v>
      </c>
      <c r="K219" s="18"/>
      <c r="L219" s="19">
        <f>SUM(F219:K219)</f>
        <v>123874</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v>161835</v>
      </c>
      <c r="G221" s="18">
        <v>97808</v>
      </c>
      <c r="H221" s="18">
        <v>41204</v>
      </c>
      <c r="I221" s="18">
        <v>2376</v>
      </c>
      <c r="J221" s="18">
        <v>0</v>
      </c>
      <c r="K221" s="18"/>
      <c r="L221" s="19">
        <f t="shared" ref="L221:L227" si="2">SUM(F221:K221)</f>
        <v>303223</v>
      </c>
      <c r="M221" s="8"/>
      <c r="N221" s="265"/>
    </row>
    <row r="222" spans="1:14" s="3" customFormat="1" ht="12.2" customHeight="1" x14ac:dyDescent="0.15">
      <c r="A222" s="1" t="s">
        <v>443</v>
      </c>
      <c r="B222" s="2" t="s">
        <v>346</v>
      </c>
      <c r="C222" s="2" t="s">
        <v>295</v>
      </c>
      <c r="D222" s="2" t="s">
        <v>431</v>
      </c>
      <c r="E222" s="6">
        <v>2200</v>
      </c>
      <c r="F222" s="18">
        <v>114645</v>
      </c>
      <c r="G222" s="18">
        <v>51993</v>
      </c>
      <c r="H222" s="18">
        <v>21525</v>
      </c>
      <c r="I222" s="18">
        <v>82457</v>
      </c>
      <c r="J222" s="18">
        <v>59269</v>
      </c>
      <c r="K222" s="18">
        <v>1066</v>
      </c>
      <c r="L222" s="19">
        <f t="shared" si="2"/>
        <v>330955</v>
      </c>
      <c r="M222" s="8"/>
      <c r="N222" s="265"/>
    </row>
    <row r="223" spans="1:14" s="3" customFormat="1" ht="12.2" customHeight="1" x14ac:dyDescent="0.15">
      <c r="A223" s="1" t="s">
        <v>444</v>
      </c>
      <c r="B223" s="2" t="s">
        <v>346</v>
      </c>
      <c r="C223" s="2" t="s">
        <v>296</v>
      </c>
      <c r="D223" s="2" t="s">
        <v>431</v>
      </c>
      <c r="E223" s="6">
        <v>2300</v>
      </c>
      <c r="F223" s="18">
        <v>71730</v>
      </c>
      <c r="G223" s="18">
        <v>36416</v>
      </c>
      <c r="H223" s="18">
        <v>43470</v>
      </c>
      <c r="I223" s="18">
        <v>0</v>
      </c>
      <c r="J223" s="18">
        <v>0</v>
      </c>
      <c r="K223" s="18">
        <v>2838</v>
      </c>
      <c r="L223" s="19">
        <f t="shared" si="2"/>
        <v>154454</v>
      </c>
      <c r="M223" s="8"/>
      <c r="N223" s="265"/>
    </row>
    <row r="224" spans="1:14" s="3" customFormat="1" ht="12.2" customHeight="1" x14ac:dyDescent="0.15">
      <c r="A224" s="1" t="s">
        <v>445</v>
      </c>
      <c r="B224" s="2" t="s">
        <v>346</v>
      </c>
      <c r="C224" s="2" t="s">
        <v>297</v>
      </c>
      <c r="D224" s="2" t="s">
        <v>431</v>
      </c>
      <c r="E224" s="6">
        <v>2400</v>
      </c>
      <c r="F224" s="18">
        <v>366396</v>
      </c>
      <c r="G224" s="18">
        <v>221439</v>
      </c>
      <c r="H224" s="18">
        <v>15577</v>
      </c>
      <c r="I224" s="18">
        <v>490</v>
      </c>
      <c r="J224" s="18">
        <v>0</v>
      </c>
      <c r="K224" s="18">
        <v>2933</v>
      </c>
      <c r="L224" s="19">
        <f t="shared" si="2"/>
        <v>606835</v>
      </c>
      <c r="M224" s="8"/>
      <c r="N224" s="265"/>
    </row>
    <row r="225" spans="1:14" s="3" customFormat="1" ht="12.2" customHeight="1" x14ac:dyDescent="0.15">
      <c r="A225" s="1" t="s">
        <v>446</v>
      </c>
      <c r="B225" s="2" t="s">
        <v>346</v>
      </c>
      <c r="C225" s="2" t="s">
        <v>298</v>
      </c>
      <c r="D225" s="2" t="s">
        <v>431</v>
      </c>
      <c r="E225" s="6">
        <v>2500</v>
      </c>
      <c r="F225" s="18">
        <v>77216</v>
      </c>
      <c r="G225" s="18">
        <v>39200</v>
      </c>
      <c r="H225" s="18">
        <v>25631</v>
      </c>
      <c r="I225" s="18">
        <v>2040</v>
      </c>
      <c r="J225" s="18">
        <v>0</v>
      </c>
      <c r="K225" s="18">
        <v>1233</v>
      </c>
      <c r="L225" s="19">
        <f t="shared" si="2"/>
        <v>145320</v>
      </c>
      <c r="M225" s="8"/>
      <c r="N225" s="265"/>
    </row>
    <row r="226" spans="1:14" s="3" customFormat="1" ht="12.2" customHeight="1" x14ac:dyDescent="0.15">
      <c r="A226" s="1" t="s">
        <v>447</v>
      </c>
      <c r="B226" s="2" t="s">
        <v>346</v>
      </c>
      <c r="C226" s="2" t="s">
        <v>299</v>
      </c>
      <c r="D226" s="2" t="s">
        <v>431</v>
      </c>
      <c r="E226" s="6">
        <v>2600</v>
      </c>
      <c r="F226" s="18">
        <v>236700</v>
      </c>
      <c r="G226" s="18">
        <v>143054</v>
      </c>
      <c r="H226" s="18">
        <v>94559</v>
      </c>
      <c r="I226" s="18">
        <v>261112</v>
      </c>
      <c r="J226" s="18">
        <v>8435</v>
      </c>
      <c r="K226" s="18">
        <v>0</v>
      </c>
      <c r="L226" s="19">
        <f t="shared" si="2"/>
        <v>743860</v>
      </c>
      <c r="M226" s="8"/>
      <c r="N226" s="265"/>
    </row>
    <row r="227" spans="1:14" s="3" customFormat="1" ht="12.2" customHeight="1" x14ac:dyDescent="0.15">
      <c r="A227" s="1" t="s">
        <v>448</v>
      </c>
      <c r="B227" s="2" t="s">
        <v>346</v>
      </c>
      <c r="C227" s="2" t="s">
        <v>300</v>
      </c>
      <c r="D227" s="2" t="s">
        <v>431</v>
      </c>
      <c r="E227" s="6">
        <v>2700</v>
      </c>
      <c r="F227" s="18">
        <v>0</v>
      </c>
      <c r="G227" s="18">
        <v>0</v>
      </c>
      <c r="H227" s="18">
        <v>190493</v>
      </c>
      <c r="I227" s="18">
        <v>0</v>
      </c>
      <c r="J227" s="18">
        <v>0</v>
      </c>
      <c r="K227" s="18">
        <v>0</v>
      </c>
      <c r="L227" s="19">
        <f t="shared" si="2"/>
        <v>190493</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3351573</v>
      </c>
      <c r="G230" s="41">
        <f>SUM(G216:G229)</f>
        <v>1989487</v>
      </c>
      <c r="H230" s="41">
        <f>SUM(H216:H229)</f>
        <v>588763</v>
      </c>
      <c r="I230" s="41">
        <f>SUM(I216:I229)</f>
        <v>401758</v>
      </c>
      <c r="J230" s="41">
        <f>SUM(J216:J229)</f>
        <v>84403</v>
      </c>
      <c r="K230" s="41">
        <f t="shared" si="3"/>
        <v>8070</v>
      </c>
      <c r="L230" s="41">
        <f t="shared" si="3"/>
        <v>6424054</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f>2404760+7293</f>
        <v>2412053</v>
      </c>
      <c r="G234" s="18">
        <f>1452441+10230-469</f>
        <v>1462202</v>
      </c>
      <c r="H234" s="18">
        <f>40164+1368</f>
        <v>41532</v>
      </c>
      <c r="I234" s="18">
        <v>80492</v>
      </c>
      <c r="J234" s="18">
        <v>41399</v>
      </c>
      <c r="K234" s="18"/>
      <c r="L234" s="19">
        <f>SUM(F234:K234)</f>
        <v>4037678</v>
      </c>
      <c r="M234" s="8"/>
      <c r="N234" s="265"/>
    </row>
    <row r="235" spans="1:14" s="3" customFormat="1" ht="12.2" customHeight="1" x14ac:dyDescent="0.15">
      <c r="A235" s="1" t="s">
        <v>439</v>
      </c>
      <c r="B235" s="2" t="s">
        <v>350</v>
      </c>
      <c r="C235" s="2" t="s">
        <v>291</v>
      </c>
      <c r="D235" s="2" t="s">
        <v>431</v>
      </c>
      <c r="E235" s="6">
        <v>1200</v>
      </c>
      <c r="F235" s="18">
        <v>468466</v>
      </c>
      <c r="G235" s="18">
        <v>283127</v>
      </c>
      <c r="H235" s="18">
        <v>320353</v>
      </c>
      <c r="I235" s="18">
        <v>1039</v>
      </c>
      <c r="J235" s="18">
        <v>2500</v>
      </c>
      <c r="K235" s="18"/>
      <c r="L235" s="19">
        <f>SUM(F235:K235)</f>
        <v>1075485</v>
      </c>
      <c r="M235" s="8"/>
      <c r="N235" s="265"/>
    </row>
    <row r="236" spans="1:14" s="3" customFormat="1" ht="12.2" customHeight="1" x14ac:dyDescent="0.15">
      <c r="A236" s="1" t="s">
        <v>440</v>
      </c>
      <c r="B236" s="2" t="s">
        <v>350</v>
      </c>
      <c r="C236" s="2" t="s">
        <v>292</v>
      </c>
      <c r="D236" s="2" t="s">
        <v>431</v>
      </c>
      <c r="E236" s="6">
        <v>1300</v>
      </c>
      <c r="F236" s="18"/>
      <c r="G236" s="18"/>
      <c r="H236" s="18">
        <v>275578</v>
      </c>
      <c r="I236" s="18"/>
      <c r="J236" s="18"/>
      <c r="K236" s="18"/>
      <c r="L236" s="19">
        <f>SUM(F236:K236)</f>
        <v>275578</v>
      </c>
      <c r="M236" s="8"/>
      <c r="N236" s="265"/>
    </row>
    <row r="237" spans="1:14" s="3" customFormat="1" ht="12.2" customHeight="1" x14ac:dyDescent="0.15">
      <c r="A237" s="1" t="s">
        <v>441</v>
      </c>
      <c r="B237" s="2" t="s">
        <v>350</v>
      </c>
      <c r="C237" s="2" t="s">
        <v>293</v>
      </c>
      <c r="D237" s="2" t="s">
        <v>431</v>
      </c>
      <c r="E237" s="6">
        <v>1400</v>
      </c>
      <c r="F237" s="18">
        <v>151473</v>
      </c>
      <c r="G237" s="18">
        <v>91546</v>
      </c>
      <c r="H237" s="18">
        <v>103078</v>
      </c>
      <c r="I237" s="18">
        <v>53298</v>
      </c>
      <c r="J237" s="18">
        <v>3493</v>
      </c>
      <c r="K237" s="18"/>
      <c r="L237" s="19">
        <f>SUM(F237:K237)</f>
        <v>402888</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v>366721</v>
      </c>
      <c r="G239" s="18">
        <v>221635</v>
      </c>
      <c r="H239" s="18">
        <v>46455</v>
      </c>
      <c r="I239" s="18">
        <v>3348</v>
      </c>
      <c r="J239" s="18">
        <v>330</v>
      </c>
      <c r="K239" s="18"/>
      <c r="L239" s="19">
        <f t="shared" ref="L239:L245" si="4">SUM(F239:K239)</f>
        <v>638489</v>
      </c>
      <c r="M239" s="8"/>
      <c r="N239" s="265"/>
    </row>
    <row r="240" spans="1:14" s="3" customFormat="1" ht="12.2" customHeight="1" x14ac:dyDescent="0.15">
      <c r="A240" s="1" t="s">
        <v>443</v>
      </c>
      <c r="B240" s="2" t="s">
        <v>350</v>
      </c>
      <c r="C240" s="2" t="s">
        <v>295</v>
      </c>
      <c r="D240" s="2" t="s">
        <v>431</v>
      </c>
      <c r="E240" s="6">
        <v>2200</v>
      </c>
      <c r="F240" s="18">
        <v>197298</v>
      </c>
      <c r="G240" s="18">
        <v>54108</v>
      </c>
      <c r="H240" s="18">
        <v>33482</v>
      </c>
      <c r="I240" s="18">
        <v>95770</v>
      </c>
      <c r="J240" s="18">
        <v>132780</v>
      </c>
      <c r="K240" s="18">
        <v>1066</v>
      </c>
      <c r="L240" s="19">
        <f t="shared" si="4"/>
        <v>514504</v>
      </c>
      <c r="M240" s="8"/>
      <c r="N240" s="265"/>
    </row>
    <row r="241" spans="1:14" s="3" customFormat="1" ht="12.2" customHeight="1" x14ac:dyDescent="0.15">
      <c r="A241" s="1" t="s">
        <v>444</v>
      </c>
      <c r="B241" s="2" t="s">
        <v>350</v>
      </c>
      <c r="C241" s="2" t="s">
        <v>296</v>
      </c>
      <c r="D241" s="2" t="s">
        <v>431</v>
      </c>
      <c r="E241" s="6">
        <v>2300</v>
      </c>
      <c r="F241" s="18">
        <v>71730</v>
      </c>
      <c r="G241" s="18">
        <v>57225</v>
      </c>
      <c r="H241" s="18">
        <v>43470</v>
      </c>
      <c r="I241" s="18">
        <v>0</v>
      </c>
      <c r="J241" s="18">
        <v>0</v>
      </c>
      <c r="K241" s="18">
        <v>4459</v>
      </c>
      <c r="L241" s="19">
        <f t="shared" si="4"/>
        <v>176884</v>
      </c>
      <c r="M241" s="8"/>
      <c r="N241" s="265"/>
    </row>
    <row r="242" spans="1:14" s="3" customFormat="1" ht="12.2" customHeight="1" x14ac:dyDescent="0.15">
      <c r="A242" s="1" t="s">
        <v>445</v>
      </c>
      <c r="B242" s="2" t="s">
        <v>350</v>
      </c>
      <c r="C242" s="2" t="s">
        <v>297</v>
      </c>
      <c r="D242" s="2" t="s">
        <v>431</v>
      </c>
      <c r="E242" s="6">
        <v>2400</v>
      </c>
      <c r="F242" s="18">
        <v>438822</v>
      </c>
      <c r="G242" s="18">
        <v>265513</v>
      </c>
      <c r="H242" s="18">
        <v>26455</v>
      </c>
      <c r="I242" s="18">
        <v>1650</v>
      </c>
      <c r="J242" s="18">
        <v>0</v>
      </c>
      <c r="K242" s="18">
        <v>28474</v>
      </c>
      <c r="L242" s="19">
        <f t="shared" si="4"/>
        <v>760914</v>
      </c>
      <c r="M242" s="8"/>
      <c r="N242" s="265"/>
    </row>
    <row r="243" spans="1:14" s="3" customFormat="1" ht="12.2" customHeight="1" x14ac:dyDescent="0.15">
      <c r="A243" s="1" t="s">
        <v>446</v>
      </c>
      <c r="B243" s="2" t="s">
        <v>350</v>
      </c>
      <c r="C243" s="2" t="s">
        <v>298</v>
      </c>
      <c r="D243" s="2" t="s">
        <v>431</v>
      </c>
      <c r="E243" s="6">
        <v>2500</v>
      </c>
      <c r="F243" s="18">
        <v>77216</v>
      </c>
      <c r="G243" s="18">
        <v>61600</v>
      </c>
      <c r="H243" s="18">
        <v>25631</v>
      </c>
      <c r="I243" s="18">
        <v>3205</v>
      </c>
      <c r="J243" s="18">
        <v>0</v>
      </c>
      <c r="K243" s="18">
        <v>1937</v>
      </c>
      <c r="L243" s="19">
        <f t="shared" si="4"/>
        <v>169589</v>
      </c>
      <c r="M243" s="8"/>
      <c r="N243" s="265"/>
    </row>
    <row r="244" spans="1:14" s="3" customFormat="1" ht="12.2" customHeight="1" x14ac:dyDescent="0.15">
      <c r="A244" s="1" t="s">
        <v>447</v>
      </c>
      <c r="B244" s="2" t="s">
        <v>350</v>
      </c>
      <c r="C244" s="2" t="s">
        <v>299</v>
      </c>
      <c r="D244" s="2" t="s">
        <v>431</v>
      </c>
      <c r="E244" s="6">
        <v>2600</v>
      </c>
      <c r="F244" s="18">
        <f>393151+502</f>
        <v>393653</v>
      </c>
      <c r="G244" s="18">
        <v>237609</v>
      </c>
      <c r="H244" s="18">
        <v>209734</v>
      </c>
      <c r="I244" s="18">
        <v>254948</v>
      </c>
      <c r="J244" s="18">
        <v>9137</v>
      </c>
      <c r="K244" s="18">
        <v>0</v>
      </c>
      <c r="L244" s="19">
        <f t="shared" si="4"/>
        <v>1105081</v>
      </c>
      <c r="M244" s="8"/>
      <c r="N244" s="265"/>
    </row>
    <row r="245" spans="1:14" s="3" customFormat="1" ht="12.2" customHeight="1" x14ac:dyDescent="0.15">
      <c r="A245" s="1" t="s">
        <v>448</v>
      </c>
      <c r="B245" s="2" t="s">
        <v>350</v>
      </c>
      <c r="C245" s="2" t="s">
        <v>300</v>
      </c>
      <c r="D245" s="2" t="s">
        <v>431</v>
      </c>
      <c r="E245" s="6">
        <v>2700</v>
      </c>
      <c r="F245" s="18">
        <v>0</v>
      </c>
      <c r="G245" s="18"/>
      <c r="H245" s="18">
        <v>313943</v>
      </c>
      <c r="I245" s="18">
        <v>0</v>
      </c>
      <c r="J245" s="18">
        <v>0</v>
      </c>
      <c r="K245" s="18">
        <v>0</v>
      </c>
      <c r="L245" s="19">
        <f t="shared" si="4"/>
        <v>313943</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4577432</v>
      </c>
      <c r="G248" s="41">
        <f t="shared" si="5"/>
        <v>2734565</v>
      </c>
      <c r="H248" s="41">
        <f t="shared" si="5"/>
        <v>1439711</v>
      </c>
      <c r="I248" s="41">
        <f t="shared" si="5"/>
        <v>493750</v>
      </c>
      <c r="J248" s="41">
        <f t="shared" si="5"/>
        <v>189639</v>
      </c>
      <c r="K248" s="41">
        <f t="shared" si="5"/>
        <v>35936</v>
      </c>
      <c r="L248" s="41">
        <f t="shared" si="5"/>
        <v>9471033</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11693425</v>
      </c>
      <c r="G258" s="41">
        <f t="shared" si="8"/>
        <v>6950884</v>
      </c>
      <c r="H258" s="41">
        <f t="shared" si="8"/>
        <v>2670961</v>
      </c>
      <c r="I258" s="41">
        <f t="shared" si="8"/>
        <v>1190133</v>
      </c>
      <c r="J258" s="41">
        <f t="shared" si="8"/>
        <v>364389</v>
      </c>
      <c r="K258" s="41">
        <f t="shared" si="8"/>
        <v>49951</v>
      </c>
      <c r="L258" s="41">
        <f t="shared" si="8"/>
        <v>22919743</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985000</v>
      </c>
      <c r="L261" s="19">
        <f>SUM(F261:K261)</f>
        <v>985000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116667</v>
      </c>
      <c r="L262" s="19">
        <f>SUM(F262:K262)</f>
        <v>116667</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156734</v>
      </c>
      <c r="L264" s="19">
        <f>SUM(F264:K264)</f>
        <v>156734</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292500</v>
      </c>
      <c r="L267" s="19">
        <f t="shared" si="9"/>
        <v>292500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1550901</v>
      </c>
      <c r="L271" s="41">
        <f t="shared" si="9"/>
        <v>1550901</v>
      </c>
      <c r="M271" s="8"/>
      <c r="N271" s="265"/>
    </row>
    <row r="272" spans="1:14" s="34" customFormat="1" ht="12.2" customHeight="1" thickTop="1" x14ac:dyDescent="0.2">
      <c r="A272" s="43" t="s">
        <v>464</v>
      </c>
      <c r="B272" s="40">
        <v>10</v>
      </c>
      <c r="C272" s="40">
        <v>18</v>
      </c>
      <c r="D272" s="39" t="s">
        <v>431</v>
      </c>
      <c r="E272" s="40"/>
      <c r="F272" s="42">
        <f t="shared" ref="F272:L272" si="11">F258+F271</f>
        <v>11693425</v>
      </c>
      <c r="G272" s="42">
        <f t="shared" si="11"/>
        <v>6950884</v>
      </c>
      <c r="H272" s="42">
        <f t="shared" si="11"/>
        <v>2670961</v>
      </c>
      <c r="I272" s="42">
        <f t="shared" si="11"/>
        <v>1190133</v>
      </c>
      <c r="J272" s="42">
        <f t="shared" si="11"/>
        <v>364389</v>
      </c>
      <c r="K272" s="42">
        <f t="shared" si="11"/>
        <v>1600852</v>
      </c>
      <c r="L272" s="42">
        <f t="shared" si="11"/>
        <v>24470644</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83903</v>
      </c>
      <c r="G277" s="18">
        <v>2667</v>
      </c>
      <c r="H277" s="18">
        <v>11821</v>
      </c>
      <c r="I277" s="18">
        <v>7342</v>
      </c>
      <c r="J277" s="18">
        <v>75633</v>
      </c>
      <c r="K277" s="18"/>
      <c r="L277" s="19">
        <f>SUM(F277:K277)</f>
        <v>181366</v>
      </c>
      <c r="M277" s="8"/>
      <c r="N277" s="265"/>
    </row>
    <row r="278" spans="1:14" s="3" customFormat="1" ht="12.2" customHeight="1" x14ac:dyDescent="0.15">
      <c r="A278" s="1" t="s">
        <v>439</v>
      </c>
      <c r="B278" s="2" t="s">
        <v>357</v>
      </c>
      <c r="C278" s="2" t="s">
        <v>291</v>
      </c>
      <c r="D278" s="2" t="s">
        <v>431</v>
      </c>
      <c r="E278" s="6">
        <v>1200</v>
      </c>
      <c r="F278" s="18">
        <f>22257+540</f>
        <v>22797</v>
      </c>
      <c r="G278" s="18">
        <v>5997</v>
      </c>
      <c r="H278" s="18">
        <v>50806</v>
      </c>
      <c r="I278" s="18"/>
      <c r="J278" s="18"/>
      <c r="K278" s="18"/>
      <c r="L278" s="19">
        <f>SUM(F278:K278)</f>
        <v>79600</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c r="G280" s="18"/>
      <c r="H280" s="18"/>
      <c r="I280" s="18"/>
      <c r="J280" s="18">
        <v>5000</v>
      </c>
      <c r="K280" s="18"/>
      <c r="L280" s="19">
        <f>SUM(F280:K280)</f>
        <v>5000</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c r="G282" s="18"/>
      <c r="H282" s="18">
        <f>3361+1351</f>
        <v>4712</v>
      </c>
      <c r="I282" s="18">
        <v>1862</v>
      </c>
      <c r="J282" s="18"/>
      <c r="K282" s="18">
        <v>604</v>
      </c>
      <c r="L282" s="19">
        <f t="shared" ref="L282:L288" si="12">SUM(F282:K282)</f>
        <v>7178</v>
      </c>
      <c r="M282" s="8"/>
      <c r="N282" s="265"/>
    </row>
    <row r="283" spans="1:14" s="3" customFormat="1" ht="12.2" customHeight="1" x14ac:dyDescent="0.15">
      <c r="A283" s="1" t="s">
        <v>443</v>
      </c>
      <c r="B283" s="2" t="s">
        <v>357</v>
      </c>
      <c r="C283" s="2" t="s">
        <v>295</v>
      </c>
      <c r="D283" s="2" t="s">
        <v>431</v>
      </c>
      <c r="E283" s="6">
        <v>2200</v>
      </c>
      <c r="F283" s="18">
        <v>16983</v>
      </c>
      <c r="G283" s="18">
        <v>3153</v>
      </c>
      <c r="H283" s="18">
        <v>25281</v>
      </c>
      <c r="I283" s="18">
        <v>18898</v>
      </c>
      <c r="J283" s="18"/>
      <c r="K283" s="18"/>
      <c r="L283" s="19">
        <f t="shared" si="12"/>
        <v>64315</v>
      </c>
      <c r="M283" s="8"/>
      <c r="N283" s="265"/>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c r="I286" s="18">
        <v>7000</v>
      </c>
      <c r="J286" s="18"/>
      <c r="K286" s="18"/>
      <c r="L286" s="19">
        <f t="shared" si="12"/>
        <v>7000</v>
      </c>
      <c r="M286" s="8"/>
      <c r="N286" s="265"/>
    </row>
    <row r="287" spans="1:14" s="3" customFormat="1" ht="12.2" customHeight="1" x14ac:dyDescent="0.15">
      <c r="A287" s="1" t="s">
        <v>447</v>
      </c>
      <c r="B287" s="2" t="s">
        <v>357</v>
      </c>
      <c r="C287" s="2" t="s">
        <v>299</v>
      </c>
      <c r="D287" s="2" t="s">
        <v>431</v>
      </c>
      <c r="E287" s="6">
        <v>2600</v>
      </c>
      <c r="F287" s="18"/>
      <c r="G287" s="18"/>
      <c r="H287" s="18"/>
      <c r="I287" s="18">
        <v>12007</v>
      </c>
      <c r="J287" s="18">
        <v>23215</v>
      </c>
      <c r="K287" s="18"/>
      <c r="L287" s="19">
        <f t="shared" si="12"/>
        <v>35222</v>
      </c>
      <c r="M287" s="8"/>
      <c r="N287" s="265"/>
    </row>
    <row r="288" spans="1:14" s="3" customFormat="1" ht="12.2" customHeight="1" x14ac:dyDescent="0.15">
      <c r="A288" s="1" t="s">
        <v>448</v>
      </c>
      <c r="B288" s="2" t="s">
        <v>357</v>
      </c>
      <c r="C288" s="2" t="s">
        <v>300</v>
      </c>
      <c r="D288" s="2" t="s">
        <v>431</v>
      </c>
      <c r="E288" s="6">
        <v>2700</v>
      </c>
      <c r="F288" s="18"/>
      <c r="G288" s="18"/>
      <c r="H288" s="18">
        <v>2614</v>
      </c>
      <c r="I288" s="18"/>
      <c r="J288" s="18"/>
      <c r="K288" s="18"/>
      <c r="L288" s="19">
        <f t="shared" si="12"/>
        <v>2614</v>
      </c>
      <c r="M288" s="8"/>
      <c r="N288" s="265"/>
    </row>
    <row r="289" spans="1:14" s="3" customFormat="1" ht="12.2" customHeight="1" x14ac:dyDescent="0.15">
      <c r="A289" s="1" t="s">
        <v>449</v>
      </c>
      <c r="B289" s="2" t="s">
        <v>357</v>
      </c>
      <c r="C289" s="2" t="s">
        <v>343</v>
      </c>
      <c r="D289" s="2" t="s">
        <v>431</v>
      </c>
      <c r="E289" s="6">
        <v>2800</v>
      </c>
      <c r="F289" s="18"/>
      <c r="G289" s="18"/>
      <c r="H289" s="18"/>
      <c r="I289" s="18">
        <v>1548</v>
      </c>
      <c r="J289" s="18">
        <v>661</v>
      </c>
      <c r="K289" s="18"/>
      <c r="L289" s="19">
        <f>SUM(F289:K289)</f>
        <v>2209</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123683</v>
      </c>
      <c r="G291" s="42">
        <f t="shared" si="13"/>
        <v>11817</v>
      </c>
      <c r="H291" s="42">
        <f t="shared" si="13"/>
        <v>95234</v>
      </c>
      <c r="I291" s="42">
        <f t="shared" si="13"/>
        <v>48657</v>
      </c>
      <c r="J291" s="42">
        <f t="shared" si="13"/>
        <v>104509</v>
      </c>
      <c r="K291" s="42">
        <f t="shared" si="13"/>
        <v>604</v>
      </c>
      <c r="L291" s="41">
        <f t="shared" si="13"/>
        <v>384504</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v>12505</v>
      </c>
      <c r="G296" s="18">
        <v>803</v>
      </c>
      <c r="H296" s="18">
        <v>0</v>
      </c>
      <c r="I296" s="18">
        <v>4343</v>
      </c>
      <c r="J296" s="18">
        <v>40896</v>
      </c>
      <c r="K296" s="18"/>
      <c r="L296" s="19">
        <f>SUM(F296:K296)</f>
        <v>58547</v>
      </c>
      <c r="M296" s="8"/>
      <c r="N296" s="265"/>
    </row>
    <row r="297" spans="1:14" s="3" customFormat="1" ht="12.2" customHeight="1" x14ac:dyDescent="0.15">
      <c r="A297" s="1" t="s">
        <v>439</v>
      </c>
      <c r="B297" s="2" t="s">
        <v>358</v>
      </c>
      <c r="C297" s="2" t="s">
        <v>291</v>
      </c>
      <c r="D297" s="2" t="s">
        <v>431</v>
      </c>
      <c r="E297" s="6">
        <v>1200</v>
      </c>
      <c r="F297" s="18">
        <f>22257+540</f>
        <v>22797</v>
      </c>
      <c r="G297" s="18">
        <v>5997</v>
      </c>
      <c r="H297" s="18">
        <v>50807</v>
      </c>
      <c r="I297" s="18"/>
      <c r="J297" s="18"/>
      <c r="K297" s="18"/>
      <c r="L297" s="19">
        <f>SUM(F297:K297)</f>
        <v>79601</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v>5000</v>
      </c>
      <c r="K299" s="18"/>
      <c r="L299" s="19">
        <f>SUM(F299:K299)</f>
        <v>5000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f>2220+1351</f>
        <v>3571</v>
      </c>
      <c r="I301" s="18">
        <v>1862</v>
      </c>
      <c r="J301" s="18"/>
      <c r="K301" s="18">
        <v>604</v>
      </c>
      <c r="L301" s="19">
        <f t="shared" ref="L301:L307" si="14">SUM(F301:K301)</f>
        <v>6037</v>
      </c>
      <c r="M301" s="8"/>
      <c r="N301" s="265"/>
    </row>
    <row r="302" spans="1:14" s="3" customFormat="1" ht="12.2" customHeight="1" x14ac:dyDescent="0.15">
      <c r="A302" s="1" t="s">
        <v>443</v>
      </c>
      <c r="B302" s="2" t="s">
        <v>358</v>
      </c>
      <c r="C302" s="2" t="s">
        <v>295</v>
      </c>
      <c r="D302" s="2" t="s">
        <v>431</v>
      </c>
      <c r="E302" s="6">
        <v>2200</v>
      </c>
      <c r="F302" s="18">
        <v>5967</v>
      </c>
      <c r="G302" s="18"/>
      <c r="H302" s="18">
        <v>25078</v>
      </c>
      <c r="I302" s="18"/>
      <c r="J302" s="18"/>
      <c r="K302" s="18"/>
      <c r="L302" s="19">
        <f t="shared" si="14"/>
        <v>31045</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v>7000</v>
      </c>
      <c r="J305" s="18"/>
      <c r="K305" s="18"/>
      <c r="L305" s="19">
        <f t="shared" si="14"/>
        <v>7000</v>
      </c>
      <c r="M305" s="8"/>
      <c r="N305" s="265"/>
    </row>
    <row r="306" spans="1:14" s="3" customFormat="1" ht="12.2" customHeight="1" x14ac:dyDescent="0.15">
      <c r="A306" s="1" t="s">
        <v>447</v>
      </c>
      <c r="B306" s="2" t="s">
        <v>358</v>
      </c>
      <c r="C306" s="2" t="s">
        <v>299</v>
      </c>
      <c r="D306" s="2" t="s">
        <v>431</v>
      </c>
      <c r="E306" s="6">
        <v>2600</v>
      </c>
      <c r="F306" s="18"/>
      <c r="G306" s="18"/>
      <c r="H306" s="18"/>
      <c r="I306" s="18">
        <v>12006</v>
      </c>
      <c r="J306" s="18">
        <v>33960</v>
      </c>
      <c r="K306" s="18"/>
      <c r="L306" s="19">
        <f t="shared" si="14"/>
        <v>45966</v>
      </c>
      <c r="M306" s="8"/>
      <c r="N306" s="265"/>
    </row>
    <row r="307" spans="1:14" s="3" customFormat="1" ht="12.2" customHeight="1" x14ac:dyDescent="0.15">
      <c r="A307" s="1" t="s">
        <v>448</v>
      </c>
      <c r="B307" s="2" t="s">
        <v>358</v>
      </c>
      <c r="C307" s="2" t="s">
        <v>300</v>
      </c>
      <c r="D307" s="2" t="s">
        <v>431</v>
      </c>
      <c r="E307" s="6">
        <v>2700</v>
      </c>
      <c r="F307" s="18"/>
      <c r="G307" s="18"/>
      <c r="H307" s="18">
        <v>2614</v>
      </c>
      <c r="I307" s="18"/>
      <c r="J307" s="18"/>
      <c r="K307" s="18"/>
      <c r="L307" s="19">
        <f t="shared" si="14"/>
        <v>2614</v>
      </c>
      <c r="M307" s="8"/>
      <c r="N307" s="265"/>
    </row>
    <row r="308" spans="1:14" s="3" customFormat="1" ht="12.2" customHeight="1" x14ac:dyDescent="0.15">
      <c r="A308" s="1" t="s">
        <v>449</v>
      </c>
      <c r="B308" s="2" t="s">
        <v>358</v>
      </c>
      <c r="C308" s="2" t="s">
        <v>343</v>
      </c>
      <c r="D308" s="2" t="s">
        <v>431</v>
      </c>
      <c r="E308" s="6">
        <v>2800</v>
      </c>
      <c r="F308" s="18"/>
      <c r="G308" s="18"/>
      <c r="H308" s="18"/>
      <c r="I308" s="18">
        <v>1548</v>
      </c>
      <c r="J308" s="18">
        <v>661</v>
      </c>
      <c r="K308" s="18"/>
      <c r="L308" s="19">
        <f>SUM(F308:K308)</f>
        <v>2209</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41269</v>
      </c>
      <c r="G310" s="42">
        <f t="shared" si="15"/>
        <v>6800</v>
      </c>
      <c r="H310" s="42">
        <f t="shared" si="15"/>
        <v>82070</v>
      </c>
      <c r="I310" s="42">
        <f t="shared" si="15"/>
        <v>26759</v>
      </c>
      <c r="J310" s="42">
        <f t="shared" si="15"/>
        <v>80517</v>
      </c>
      <c r="K310" s="42">
        <f t="shared" si="15"/>
        <v>604</v>
      </c>
      <c r="L310" s="41">
        <f t="shared" si="15"/>
        <v>238019</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v>26872</v>
      </c>
      <c r="G315" s="18">
        <v>5019</v>
      </c>
      <c r="H315" s="18">
        <v>0</v>
      </c>
      <c r="I315" s="18">
        <v>10210</v>
      </c>
      <c r="J315" s="18">
        <v>52939</v>
      </c>
      <c r="K315" s="18"/>
      <c r="L315" s="19">
        <f>SUM(F315:K315)</f>
        <v>95040</v>
      </c>
      <c r="M315" s="8"/>
      <c r="N315" s="265"/>
    </row>
    <row r="316" spans="1:14" s="3" customFormat="1" ht="12.2" customHeight="1" x14ac:dyDescent="0.15">
      <c r="A316" s="1" t="s">
        <v>439</v>
      </c>
      <c r="B316" s="2" t="s">
        <v>359</v>
      </c>
      <c r="C316" s="2" t="s">
        <v>291</v>
      </c>
      <c r="D316" s="2" t="s">
        <v>431</v>
      </c>
      <c r="E316" s="6">
        <v>1200</v>
      </c>
      <c r="F316" s="18">
        <f>34975+540</f>
        <v>35515</v>
      </c>
      <c r="G316" s="18">
        <v>9425</v>
      </c>
      <c r="H316" s="18">
        <v>79838</v>
      </c>
      <c r="I316" s="18"/>
      <c r="J316" s="18"/>
      <c r="K316" s="18"/>
      <c r="L316" s="19">
        <f>SUM(F316:K316)</f>
        <v>124778</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v>7149</v>
      </c>
      <c r="J318" s="18">
        <v>10200</v>
      </c>
      <c r="K318" s="18"/>
      <c r="L318" s="19">
        <f>SUM(F318:K318)</f>
        <v>17349</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f>14258+1351</f>
        <v>15609</v>
      </c>
      <c r="I320" s="18">
        <v>1862</v>
      </c>
      <c r="J320" s="18"/>
      <c r="K320" s="18">
        <v>605</v>
      </c>
      <c r="L320" s="19">
        <f t="shared" ref="L320:L326" si="16">SUM(F320:K320)</f>
        <v>18076</v>
      </c>
      <c r="M320" s="8"/>
      <c r="N320" s="265"/>
    </row>
    <row r="321" spans="1:14" s="3" customFormat="1" ht="12.2" customHeight="1" x14ac:dyDescent="0.15">
      <c r="A321" s="1" t="s">
        <v>443</v>
      </c>
      <c r="B321" s="2" t="s">
        <v>359</v>
      </c>
      <c r="C321" s="2" t="s">
        <v>295</v>
      </c>
      <c r="D321" s="2" t="s">
        <v>431</v>
      </c>
      <c r="E321" s="6">
        <v>2200</v>
      </c>
      <c r="F321" s="18">
        <v>7255</v>
      </c>
      <c r="G321" s="18"/>
      <c r="H321" s="18">
        <v>13078</v>
      </c>
      <c r="I321" s="18"/>
      <c r="J321" s="18"/>
      <c r="K321" s="18"/>
      <c r="L321" s="19">
        <f t="shared" si="16"/>
        <v>20333</v>
      </c>
      <c r="M321" s="8"/>
      <c r="N321" s="265"/>
    </row>
    <row r="322" spans="1:14" s="3" customFormat="1" ht="12.2" customHeight="1" x14ac:dyDescent="0.15">
      <c r="A322" s="1" t="s">
        <v>444</v>
      </c>
      <c r="B322" s="2" t="s">
        <v>359</v>
      </c>
      <c r="C322" s="2" t="s">
        <v>296</v>
      </c>
      <c r="D322" s="2" t="s">
        <v>431</v>
      </c>
      <c r="E322" s="6">
        <v>2300</v>
      </c>
      <c r="F322" s="18">
        <v>8979</v>
      </c>
      <c r="G322" s="18">
        <v>510</v>
      </c>
      <c r="H322" s="18"/>
      <c r="I322" s="18"/>
      <c r="J322" s="18"/>
      <c r="K322" s="18"/>
      <c r="L322" s="19">
        <f t="shared" si="16"/>
        <v>9489</v>
      </c>
      <c r="M322" s="8"/>
      <c r="N322" s="265"/>
    </row>
    <row r="323" spans="1:14" s="3" customFormat="1" ht="12.2" customHeight="1" x14ac:dyDescent="0.15">
      <c r="A323" s="1" t="s">
        <v>445</v>
      </c>
      <c r="B323" s="2" t="s">
        <v>359</v>
      </c>
      <c r="C323" s="2" t="s">
        <v>297</v>
      </c>
      <c r="D323" s="2" t="s">
        <v>431</v>
      </c>
      <c r="E323" s="6">
        <v>2400</v>
      </c>
      <c r="F323" s="18"/>
      <c r="G323" s="18"/>
      <c r="H323" s="18">
        <v>10000</v>
      </c>
      <c r="I323" s="18"/>
      <c r="J323" s="18"/>
      <c r="K323" s="18"/>
      <c r="L323" s="19">
        <f t="shared" si="16"/>
        <v>10000</v>
      </c>
      <c r="M323" s="8"/>
      <c r="N323" s="265"/>
    </row>
    <row r="324" spans="1:14" s="3" customFormat="1" ht="12.2" customHeight="1" x14ac:dyDescent="0.15">
      <c r="A324" s="1" t="s">
        <v>446</v>
      </c>
      <c r="B324" s="2" t="s">
        <v>359</v>
      </c>
      <c r="C324" s="2" t="s">
        <v>298</v>
      </c>
      <c r="D324" s="2" t="s">
        <v>431</v>
      </c>
      <c r="E324" s="6">
        <v>2500</v>
      </c>
      <c r="F324" s="18"/>
      <c r="G324" s="18"/>
      <c r="H324" s="18"/>
      <c r="I324" s="18">
        <f>7000+5</f>
        <v>7005</v>
      </c>
      <c r="J324" s="18"/>
      <c r="K324" s="18"/>
      <c r="L324" s="19">
        <f t="shared" si="16"/>
        <v>7005</v>
      </c>
      <c r="M324" s="8"/>
      <c r="N324" s="265"/>
    </row>
    <row r="325" spans="1:14" s="3" customFormat="1" ht="12.2" customHeight="1" x14ac:dyDescent="0.15">
      <c r="A325" s="1" t="s">
        <v>447</v>
      </c>
      <c r="B325" s="2" t="s">
        <v>359</v>
      </c>
      <c r="C325" s="2" t="s">
        <v>299</v>
      </c>
      <c r="D325" s="2" t="s">
        <v>431</v>
      </c>
      <c r="E325" s="6">
        <v>2600</v>
      </c>
      <c r="F325" s="18"/>
      <c r="G325" s="18"/>
      <c r="H325" s="18"/>
      <c r="I325" s="18">
        <v>12006</v>
      </c>
      <c r="J325" s="18">
        <f>23215</f>
        <v>23215</v>
      </c>
      <c r="K325" s="18"/>
      <c r="L325" s="19">
        <f t="shared" si="16"/>
        <v>35221</v>
      </c>
      <c r="M325" s="8"/>
      <c r="N325" s="265"/>
    </row>
    <row r="326" spans="1:14" s="3" customFormat="1" ht="12.2" customHeight="1" x14ac:dyDescent="0.15">
      <c r="A326" s="1" t="s">
        <v>448</v>
      </c>
      <c r="B326" s="2" t="s">
        <v>359</v>
      </c>
      <c r="C326" s="2" t="s">
        <v>300</v>
      </c>
      <c r="D326" s="2" t="s">
        <v>431</v>
      </c>
      <c r="E326" s="6">
        <v>2700</v>
      </c>
      <c r="F326" s="18"/>
      <c r="G326" s="18"/>
      <c r="H326" s="18">
        <v>2616</v>
      </c>
      <c r="I326" s="18"/>
      <c r="J326" s="18"/>
      <c r="K326" s="18"/>
      <c r="L326" s="19">
        <f t="shared" si="16"/>
        <v>2616</v>
      </c>
      <c r="M326" s="8"/>
      <c r="N326" s="265"/>
    </row>
    <row r="327" spans="1:14" s="3" customFormat="1" ht="12.2" customHeight="1" x14ac:dyDescent="0.15">
      <c r="A327" s="1" t="s">
        <v>449</v>
      </c>
      <c r="B327" s="2" t="s">
        <v>359</v>
      </c>
      <c r="C327" s="2" t="s">
        <v>343</v>
      </c>
      <c r="D327" s="2" t="s">
        <v>431</v>
      </c>
      <c r="E327" s="6">
        <v>2800</v>
      </c>
      <c r="F327" s="18"/>
      <c r="G327" s="18"/>
      <c r="H327" s="18"/>
      <c r="I327" s="18">
        <v>1548</v>
      </c>
      <c r="J327" s="18">
        <v>661</v>
      </c>
      <c r="K327" s="18"/>
      <c r="L327" s="19">
        <f>SUM(F327:K327)</f>
        <v>2209</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78621</v>
      </c>
      <c r="G329" s="42">
        <f t="shared" si="17"/>
        <v>14954</v>
      </c>
      <c r="H329" s="42">
        <f t="shared" si="17"/>
        <v>121141</v>
      </c>
      <c r="I329" s="42">
        <f t="shared" si="17"/>
        <v>39780</v>
      </c>
      <c r="J329" s="42">
        <f t="shared" si="17"/>
        <v>87015</v>
      </c>
      <c r="K329" s="42">
        <f t="shared" si="17"/>
        <v>605</v>
      </c>
      <c r="L329" s="41">
        <f t="shared" si="17"/>
        <v>342116</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243573</v>
      </c>
      <c r="G339" s="41">
        <f t="shared" si="20"/>
        <v>33571</v>
      </c>
      <c r="H339" s="41">
        <f t="shared" si="20"/>
        <v>298445</v>
      </c>
      <c r="I339" s="41">
        <f t="shared" si="20"/>
        <v>115196</v>
      </c>
      <c r="J339" s="41">
        <f t="shared" si="20"/>
        <v>272041</v>
      </c>
      <c r="K339" s="41">
        <f t="shared" si="20"/>
        <v>1813</v>
      </c>
      <c r="L339" s="41">
        <f t="shared" si="20"/>
        <v>964639</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243573</v>
      </c>
      <c r="G353" s="41">
        <f>G339</f>
        <v>33571</v>
      </c>
      <c r="H353" s="41">
        <f>H339</f>
        <v>298445</v>
      </c>
      <c r="I353" s="41">
        <f>I339</f>
        <v>115196</v>
      </c>
      <c r="J353" s="41">
        <f>J339</f>
        <v>272041</v>
      </c>
      <c r="K353" s="47">
        <f>K339+K352</f>
        <v>1813</v>
      </c>
      <c r="L353" s="41">
        <f>L339+L352</f>
        <v>964639</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v>56718</v>
      </c>
      <c r="G359" s="18">
        <v>41958</v>
      </c>
      <c r="H359" s="18">
        <v>3696</v>
      </c>
      <c r="I359" s="18">
        <v>44387</v>
      </c>
      <c r="J359" s="18"/>
      <c r="K359" s="18"/>
      <c r="L359" s="13">
        <f>SUM(F359:K359)</f>
        <v>146759</v>
      </c>
      <c r="M359" s="8"/>
      <c r="N359" s="265"/>
    </row>
    <row r="360" spans="1:22" s="3" customFormat="1" ht="12.2" customHeight="1" x14ac:dyDescent="0.15">
      <c r="A360" s="1" t="s">
        <v>542</v>
      </c>
      <c r="B360" s="2" t="s">
        <v>366</v>
      </c>
      <c r="C360" s="6">
        <v>2</v>
      </c>
      <c r="D360" s="2" t="s">
        <v>431</v>
      </c>
      <c r="E360" s="6"/>
      <c r="F360" s="18">
        <v>61045</v>
      </c>
      <c r="G360" s="18">
        <v>36761</v>
      </c>
      <c r="H360" s="18">
        <v>3132</v>
      </c>
      <c r="I360" s="18">
        <v>79047</v>
      </c>
      <c r="J360" s="18"/>
      <c r="K360" s="18"/>
      <c r="L360" s="19">
        <f>SUM(F360:K360)</f>
        <v>179985</v>
      </c>
      <c r="M360" s="8"/>
      <c r="N360" s="265"/>
    </row>
    <row r="361" spans="1:22" s="3" customFormat="1" ht="12.2" customHeight="1" x14ac:dyDescent="0.15">
      <c r="A361" s="3" t="s">
        <v>543</v>
      </c>
      <c r="B361" s="2" t="s">
        <v>366</v>
      </c>
      <c r="C361" s="6">
        <v>3</v>
      </c>
      <c r="D361" s="2" t="s">
        <v>431</v>
      </c>
      <c r="E361" s="6"/>
      <c r="F361" s="18">
        <v>70991</v>
      </c>
      <c r="G361" s="18">
        <v>41490</v>
      </c>
      <c r="H361" s="18">
        <v>3132</v>
      </c>
      <c r="I361" s="18">
        <v>79047</v>
      </c>
      <c r="J361" s="18"/>
      <c r="K361" s="18"/>
      <c r="L361" s="19">
        <f>SUM(F361:K361)</f>
        <v>194660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188754</v>
      </c>
      <c r="G363" s="47">
        <f t="shared" si="22"/>
        <v>120209</v>
      </c>
      <c r="H363" s="47">
        <f t="shared" si="22"/>
        <v>9960</v>
      </c>
      <c r="I363" s="47">
        <f t="shared" si="22"/>
        <v>202481</v>
      </c>
      <c r="J363" s="47">
        <f t="shared" si="22"/>
        <v>0</v>
      </c>
      <c r="K363" s="47">
        <f t="shared" si="22"/>
        <v>0</v>
      </c>
      <c r="L363" s="47">
        <f t="shared" si="22"/>
        <v>521404</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39011</v>
      </c>
      <c r="G368" s="18">
        <f>56083+16917+6</f>
        <v>73006</v>
      </c>
      <c r="H368" s="18">
        <f>56083+16917+6</f>
        <v>73006</v>
      </c>
      <c r="I368" s="56">
        <f>SUM(F368:H368)</f>
        <v>185023</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5376</v>
      </c>
      <c r="G369" s="63">
        <v>6041</v>
      </c>
      <c r="H369" s="63">
        <v>6041</v>
      </c>
      <c r="I369" s="56">
        <f>SUM(F369:H369)</f>
        <v>17458</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44387</v>
      </c>
      <c r="G370" s="47">
        <f>SUM(G368:G369)</f>
        <v>79047</v>
      </c>
      <c r="H370" s="47">
        <f>SUM(H368:H369)</f>
        <v>79047</v>
      </c>
      <c r="I370" s="47">
        <f>SUM(I368:I369)</f>
        <v>202481</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v>912</v>
      </c>
      <c r="I397" s="18"/>
      <c r="J397" s="24" t="s">
        <v>288</v>
      </c>
      <c r="K397" s="24" t="s">
        <v>288</v>
      </c>
      <c r="L397" s="56">
        <f t="shared" si="26"/>
        <v>912</v>
      </c>
      <c r="M397" s="8"/>
      <c r="N397" s="265"/>
    </row>
    <row r="398" spans="1:14" s="3" customFormat="1" ht="12.2" customHeight="1" x14ac:dyDescent="0.15">
      <c r="A398" s="79" t="s">
        <v>515</v>
      </c>
      <c r="B398" s="2" t="s">
        <v>381</v>
      </c>
      <c r="C398" s="6">
        <v>10</v>
      </c>
      <c r="D398" s="2" t="s">
        <v>432</v>
      </c>
      <c r="E398" s="6"/>
      <c r="F398" s="18"/>
      <c r="G398" s="18"/>
      <c r="H398" s="18">
        <v>193</v>
      </c>
      <c r="I398" s="18"/>
      <c r="J398" s="24" t="s">
        <v>288</v>
      </c>
      <c r="K398" s="24" t="s">
        <v>288</v>
      </c>
      <c r="L398" s="56">
        <f t="shared" si="26"/>
        <v>193</v>
      </c>
      <c r="M398" s="8"/>
      <c r="N398" s="265"/>
    </row>
    <row r="399" spans="1:14" s="3" customFormat="1" ht="12.2" customHeight="1" x14ac:dyDescent="0.15">
      <c r="A399" s="79" t="s">
        <v>558</v>
      </c>
      <c r="B399" s="2" t="s">
        <v>381</v>
      </c>
      <c r="C399" s="6">
        <v>11</v>
      </c>
      <c r="D399" s="2" t="s">
        <v>432</v>
      </c>
      <c r="E399" s="6"/>
      <c r="F399" s="18"/>
      <c r="G399" s="18"/>
      <c r="H399" s="18">
        <v>58</v>
      </c>
      <c r="I399" s="18"/>
      <c r="J399" s="24" t="s">
        <v>288</v>
      </c>
      <c r="K399" s="24" t="s">
        <v>288</v>
      </c>
      <c r="L399" s="56">
        <f t="shared" si="26"/>
        <v>58</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v>292500</v>
      </c>
      <c r="H401" s="18"/>
      <c r="I401" s="18"/>
      <c r="J401" s="24" t="s">
        <v>288</v>
      </c>
      <c r="K401" s="24" t="s">
        <v>288</v>
      </c>
      <c r="L401" s="56">
        <f t="shared" si="26"/>
        <v>292500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292500</v>
      </c>
      <c r="H402" s="47">
        <f>SUM(H396:H401)</f>
        <v>1163</v>
      </c>
      <c r="I402" s="47">
        <f>SUM(I396:I401)</f>
        <v>0</v>
      </c>
      <c r="J402" s="45" t="s">
        <v>288</v>
      </c>
      <c r="K402" s="45" t="s">
        <v>288</v>
      </c>
      <c r="L402" s="47">
        <f>SUM(L396:L401)</f>
        <v>293663</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292500</v>
      </c>
      <c r="H409" s="47">
        <f>H394+H402+H408</f>
        <v>1163</v>
      </c>
      <c r="I409" s="47">
        <f>I394+I402+I408</f>
        <v>0</v>
      </c>
      <c r="J409" s="24" t="s">
        <v>288</v>
      </c>
      <c r="K409" s="24" t="s">
        <v>288</v>
      </c>
      <c r="L409" s="47">
        <f>L394+L402+L408</f>
        <v>293663</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v>50194</v>
      </c>
      <c r="I416" s="18"/>
      <c r="J416" s="18"/>
      <c r="K416" s="18"/>
      <c r="L416" s="56">
        <f t="shared" si="27"/>
        <v>50194</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50194</v>
      </c>
      <c r="I420" s="139">
        <f t="shared" si="28"/>
        <v>0</v>
      </c>
      <c r="J420" s="139">
        <f t="shared" si="28"/>
        <v>0</v>
      </c>
      <c r="K420" s="139">
        <f t="shared" si="28"/>
        <v>0</v>
      </c>
      <c r="L420" s="47">
        <f t="shared" si="28"/>
        <v>50194</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v>111091</v>
      </c>
      <c r="K426" s="18"/>
      <c r="L426" s="56">
        <f t="shared" si="29"/>
        <v>111091</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111091</v>
      </c>
      <c r="K428" s="47">
        <f t="shared" si="30"/>
        <v>0</v>
      </c>
      <c r="L428" s="47">
        <f t="shared" si="30"/>
        <v>111091</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50194</v>
      </c>
      <c r="I435" s="47">
        <f t="shared" si="32"/>
        <v>0</v>
      </c>
      <c r="J435" s="47">
        <f t="shared" si="32"/>
        <v>111091</v>
      </c>
      <c r="K435" s="47">
        <f t="shared" si="32"/>
        <v>0</v>
      </c>
      <c r="L435" s="47">
        <f t="shared" si="32"/>
        <v>161285</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v>967591</v>
      </c>
      <c r="G442" s="18">
        <v>193822</v>
      </c>
      <c r="H442" s="18"/>
      <c r="I442" s="56">
        <f t="shared" si="33"/>
        <v>1161413</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967591</v>
      </c>
      <c r="G447" s="13">
        <f>SUM(G440:G446)</f>
        <v>193822</v>
      </c>
      <c r="H447" s="13">
        <f>SUM(H440:H446)</f>
        <v>0</v>
      </c>
      <c r="I447" s="13">
        <f>SUM(I440:I446)</f>
        <v>1161413</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v>967591</v>
      </c>
      <c r="G457" s="18">
        <v>193822</v>
      </c>
      <c r="H457" s="18"/>
      <c r="I457" s="56">
        <f t="shared" si="34"/>
        <v>1161413</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c r="H460" s="18"/>
      <c r="I460" s="56">
        <f t="shared" si="34"/>
        <v>0</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967591</v>
      </c>
      <c r="G461" s="83">
        <f>SUM(G455:G460)</f>
        <v>193822</v>
      </c>
      <c r="H461" s="83">
        <f>SUM(H455:H460)</f>
        <v>0</v>
      </c>
      <c r="I461" s="83">
        <f>SUM(I455:I460)</f>
        <v>1161413</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967591</v>
      </c>
      <c r="G462" s="42">
        <f>G453+G461</f>
        <v>193822</v>
      </c>
      <c r="H462" s="42">
        <f>H453+H461</f>
        <v>0</v>
      </c>
      <c r="I462" s="42">
        <f>I453+I461</f>
        <v>1161413</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2581503</v>
      </c>
      <c r="G466" s="18">
        <v>67950</v>
      </c>
      <c r="H466" s="18"/>
      <c r="I466" s="18"/>
      <c r="J466" s="18">
        <v>1029035</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24614610</v>
      </c>
      <c r="G469" s="18">
        <v>595626</v>
      </c>
      <c r="H469" s="18">
        <f>964640-5</f>
        <v>964635</v>
      </c>
      <c r="I469" s="18"/>
      <c r="J469" s="18">
        <f>292500+1163</f>
        <v>293663</v>
      </c>
      <c r="K469" s="24" t="s">
        <v>288</v>
      </c>
      <c r="L469" s="24" t="s">
        <v>288</v>
      </c>
      <c r="N469" s="264"/>
    </row>
    <row r="470" spans="1:14" s="52" customFormat="1" ht="12.2" customHeight="1" x14ac:dyDescent="0.2">
      <c r="A470" s="93" t="s">
        <v>611</v>
      </c>
      <c r="B470" s="75">
        <v>19</v>
      </c>
      <c r="C470" s="80">
        <v>3</v>
      </c>
      <c r="D470" s="2" t="s">
        <v>432</v>
      </c>
      <c r="E470" s="80"/>
      <c r="F470" s="18"/>
      <c r="G470" s="18"/>
      <c r="H470" s="18">
        <v>5</v>
      </c>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24614610</v>
      </c>
      <c r="G471" s="53">
        <f>SUM(G469:G470)</f>
        <v>595626</v>
      </c>
      <c r="H471" s="53">
        <f>SUM(H469:H470)</f>
        <v>964640</v>
      </c>
      <c r="I471" s="53">
        <f>SUM(I469:I470)</f>
        <v>0</v>
      </c>
      <c r="J471" s="53">
        <f>SUM(J469:J470)</f>
        <v>293663</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24470644</v>
      </c>
      <c r="G473" s="18">
        <v>521404</v>
      </c>
      <c r="H473" s="18">
        <v>964639</v>
      </c>
      <c r="I473" s="18"/>
      <c r="J473" s="18">
        <v>161285</v>
      </c>
      <c r="K473" s="24" t="s">
        <v>288</v>
      </c>
      <c r="L473" s="24" t="s">
        <v>288</v>
      </c>
      <c r="N473" s="264"/>
    </row>
    <row r="474" spans="1:14" s="52" customFormat="1" ht="12.2" customHeight="1" x14ac:dyDescent="0.2">
      <c r="A474" s="93" t="s">
        <v>613</v>
      </c>
      <c r="B474" s="75">
        <v>19</v>
      </c>
      <c r="C474" s="80">
        <v>6</v>
      </c>
      <c r="D474" s="2" t="s">
        <v>432</v>
      </c>
      <c r="E474" s="80"/>
      <c r="F474" s="18"/>
      <c r="G474" s="18"/>
      <c r="H474" s="18">
        <v>1</v>
      </c>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24470644</v>
      </c>
      <c r="G475" s="53">
        <f>SUM(G473:G474)</f>
        <v>521404</v>
      </c>
      <c r="H475" s="53">
        <f>SUM(H473:H474)</f>
        <v>964640</v>
      </c>
      <c r="I475" s="53">
        <f>SUM(I473:I474)</f>
        <v>0</v>
      </c>
      <c r="J475" s="53">
        <f>SUM(J473:J474)</f>
        <v>161285</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2725469</v>
      </c>
      <c r="G477" s="53">
        <f>(G466+G471)- G475</f>
        <v>142172</v>
      </c>
      <c r="H477" s="53">
        <f>(H466+H471)- H475</f>
        <v>0</v>
      </c>
      <c r="I477" s="53">
        <f>(I466+I471)- I475</f>
        <v>0</v>
      </c>
      <c r="J477" s="53">
        <f>(J466+J471)- J475</f>
        <v>1161413</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t="s">
        <v>1806</v>
      </c>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v>20</v>
      </c>
      <c r="G491" s="154">
        <v>15</v>
      </c>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t="s">
        <v>1804</v>
      </c>
      <c r="G492" s="155" t="s">
        <v>1805</v>
      </c>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t="s">
        <v>1802</v>
      </c>
      <c r="G493" s="155" t="s">
        <v>1803</v>
      </c>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v>16997033</v>
      </c>
      <c r="G494" s="18">
        <v>2005600</v>
      </c>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v>4.45</v>
      </c>
      <c r="G495" s="18">
        <v>2.16</v>
      </c>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v>1695000</v>
      </c>
      <c r="G496" s="18">
        <v>1465000</v>
      </c>
      <c r="H496" s="18"/>
      <c r="I496" s="18"/>
      <c r="J496" s="18"/>
      <c r="K496" s="53">
        <f>SUM(F496:J496)</f>
        <v>3160000</v>
      </c>
      <c r="L496" s="24" t="s">
        <v>288</v>
      </c>
      <c r="N496" s="264"/>
    </row>
    <row r="497" spans="1:14" s="52" customFormat="1" ht="12.2" customHeight="1" x14ac:dyDescent="0.2">
      <c r="A497" s="22" t="s">
        <v>620</v>
      </c>
      <c r="B497" s="75">
        <v>20</v>
      </c>
      <c r="C497" s="115">
        <v>7</v>
      </c>
      <c r="D497" s="2" t="s">
        <v>432</v>
      </c>
      <c r="E497" s="115"/>
      <c r="F497" s="18">
        <v>0</v>
      </c>
      <c r="G497" s="18">
        <v>0</v>
      </c>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v>850000</v>
      </c>
      <c r="G498" s="18">
        <v>135000</v>
      </c>
      <c r="H498" s="18"/>
      <c r="I498" s="18"/>
      <c r="J498" s="18"/>
      <c r="K498" s="53">
        <f t="shared" si="35"/>
        <v>985000</v>
      </c>
      <c r="L498" s="24" t="s">
        <v>288</v>
      </c>
      <c r="N498" s="264"/>
    </row>
    <row r="499" spans="1:14" s="52" customFormat="1" ht="12.2" customHeight="1" x14ac:dyDescent="0.2">
      <c r="A499" s="199" t="s">
        <v>622</v>
      </c>
      <c r="B499" s="200">
        <v>20</v>
      </c>
      <c r="C499" s="201">
        <v>9</v>
      </c>
      <c r="D499" s="202" t="s">
        <v>432</v>
      </c>
      <c r="E499" s="201"/>
      <c r="F499" s="203">
        <v>845000</v>
      </c>
      <c r="G499" s="203">
        <v>1300000</v>
      </c>
      <c r="H499" s="203"/>
      <c r="I499" s="203"/>
      <c r="J499" s="203"/>
      <c r="K499" s="204">
        <f t="shared" si="35"/>
        <v>2145000</v>
      </c>
      <c r="L499" s="205" t="s">
        <v>288</v>
      </c>
      <c r="N499" s="264"/>
    </row>
    <row r="500" spans="1:14" s="52" customFormat="1" ht="12.2" customHeight="1" thickBot="1" x14ac:dyDescent="0.25">
      <c r="A500" s="22" t="s">
        <v>623</v>
      </c>
      <c r="B500" s="75">
        <v>20</v>
      </c>
      <c r="C500" s="115">
        <v>10</v>
      </c>
      <c r="D500" s="2" t="s">
        <v>432</v>
      </c>
      <c r="E500" s="115"/>
      <c r="F500" s="18">
        <v>21125</v>
      </c>
      <c r="G500" s="18">
        <v>309261.8</v>
      </c>
      <c r="H500" s="18"/>
      <c r="I500" s="18"/>
      <c r="J500" s="18"/>
      <c r="K500" s="53">
        <f t="shared" si="35"/>
        <v>330386.8</v>
      </c>
      <c r="L500" s="24" t="s">
        <v>288</v>
      </c>
      <c r="N500" s="264"/>
    </row>
    <row r="501" spans="1:14" s="52" customFormat="1" ht="12.2" customHeight="1" thickTop="1" x14ac:dyDescent="0.2">
      <c r="A501" s="139" t="s">
        <v>624</v>
      </c>
      <c r="B501" s="44">
        <v>20</v>
      </c>
      <c r="C501" s="194">
        <v>11</v>
      </c>
      <c r="D501" s="39" t="s">
        <v>432</v>
      </c>
      <c r="E501" s="194"/>
      <c r="F501" s="42">
        <f>SUM(F499:F500)</f>
        <v>866125</v>
      </c>
      <c r="G501" s="42">
        <f>SUM(G499:G500)</f>
        <v>1609261.8</v>
      </c>
      <c r="H501" s="42">
        <f>SUM(H499:H500)</f>
        <v>0</v>
      </c>
      <c r="I501" s="42">
        <f>SUM(I499:I500)</f>
        <v>0</v>
      </c>
      <c r="J501" s="42">
        <f>SUM(J499:J500)</f>
        <v>0</v>
      </c>
      <c r="K501" s="42">
        <f t="shared" si="35"/>
        <v>2475386.7999999998</v>
      </c>
      <c r="L501" s="45" t="s">
        <v>288</v>
      </c>
      <c r="N501" s="264"/>
    </row>
    <row r="502" spans="1:14" s="52" customFormat="1" ht="12.2" customHeight="1" x14ac:dyDescent="0.2">
      <c r="A502" s="199" t="s">
        <v>651</v>
      </c>
      <c r="B502" s="200">
        <v>20</v>
      </c>
      <c r="C502" s="201">
        <v>12</v>
      </c>
      <c r="D502" s="202" t="s">
        <v>432</v>
      </c>
      <c r="E502" s="201"/>
      <c r="F502" s="203">
        <v>845000</v>
      </c>
      <c r="G502" s="203">
        <v>135000</v>
      </c>
      <c r="H502" s="203"/>
      <c r="I502" s="203"/>
      <c r="J502" s="203"/>
      <c r="K502" s="204">
        <f t="shared" si="35"/>
        <v>980000</v>
      </c>
      <c r="L502" s="205" t="s">
        <v>288</v>
      </c>
      <c r="N502" s="264"/>
    </row>
    <row r="503" spans="1:14" s="52" customFormat="1" ht="12.2" customHeight="1" thickBot="1" x14ac:dyDescent="0.25">
      <c r="A503" s="22" t="s">
        <v>625</v>
      </c>
      <c r="B503" s="75">
        <v>20</v>
      </c>
      <c r="C503" s="115">
        <v>13</v>
      </c>
      <c r="D503" s="2" t="s">
        <v>432</v>
      </c>
      <c r="E503" s="115"/>
      <c r="F503" s="18">
        <v>21125</v>
      </c>
      <c r="G503" s="18">
        <f>24889.25+21500.75</f>
        <v>46390</v>
      </c>
      <c r="H503" s="18"/>
      <c r="I503" s="18"/>
      <c r="J503" s="18"/>
      <c r="K503" s="53">
        <f t="shared" si="35"/>
        <v>67515</v>
      </c>
      <c r="L503" s="24" t="s">
        <v>288</v>
      </c>
      <c r="N503" s="264"/>
    </row>
    <row r="504" spans="1:14" s="52" customFormat="1" ht="12.2" customHeight="1" thickTop="1" x14ac:dyDescent="0.2">
      <c r="A504" s="139" t="s">
        <v>626</v>
      </c>
      <c r="B504" s="44">
        <v>20</v>
      </c>
      <c r="C504" s="194">
        <v>14</v>
      </c>
      <c r="D504" s="39" t="s">
        <v>432</v>
      </c>
      <c r="E504" s="194"/>
      <c r="F504" s="42">
        <f>SUM(F502:F503)</f>
        <v>866125</v>
      </c>
      <c r="G504" s="42">
        <f>SUM(G502:G503)</f>
        <v>181390</v>
      </c>
      <c r="H504" s="42">
        <f>SUM(H502:H503)</f>
        <v>0</v>
      </c>
      <c r="I504" s="42">
        <f>SUM(I502:I503)</f>
        <v>0</v>
      </c>
      <c r="J504" s="42">
        <f>SUM(J502:J503)</f>
        <v>0</v>
      </c>
      <c r="K504" s="42">
        <f t="shared" si="35"/>
        <v>1047515</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721558</v>
      </c>
      <c r="G522" s="18">
        <v>541168</v>
      </c>
      <c r="H522" s="18">
        <f>200871+8738</f>
        <v>209609</v>
      </c>
      <c r="I522" s="18">
        <v>1663</v>
      </c>
      <c r="J522" s="18">
        <v>10958</v>
      </c>
      <c r="K522" s="18"/>
      <c r="L522" s="88">
        <f>SUM(F522:K522)</f>
        <v>1484956</v>
      </c>
      <c r="N522" s="264"/>
    </row>
    <row r="523" spans="1:14" s="52" customFormat="1" ht="12.2" customHeight="1" x14ac:dyDescent="0.2">
      <c r="A523" s="22" t="s">
        <v>634</v>
      </c>
      <c r="B523" s="105">
        <v>21</v>
      </c>
      <c r="C523" s="115">
        <v>2</v>
      </c>
      <c r="D523" s="2" t="s">
        <v>432</v>
      </c>
      <c r="E523" s="115"/>
      <c r="F523" s="18">
        <v>502556</v>
      </c>
      <c r="G523" s="18">
        <v>376917</v>
      </c>
      <c r="H523" s="18">
        <f>122688</f>
        <v>122688</v>
      </c>
      <c r="I523" s="18">
        <v>1326</v>
      </c>
      <c r="J523" s="18">
        <v>3623</v>
      </c>
      <c r="K523" s="18"/>
      <c r="L523" s="88">
        <f>SUM(F523:K523)</f>
        <v>1007110</v>
      </c>
      <c r="N523" s="264"/>
    </row>
    <row r="524" spans="1:14" s="52" customFormat="1" ht="12.2" customHeight="1" thickBot="1" x14ac:dyDescent="0.25">
      <c r="A524" s="22" t="s">
        <v>635</v>
      </c>
      <c r="B524" s="105">
        <v>21</v>
      </c>
      <c r="C524" s="115">
        <v>3</v>
      </c>
      <c r="D524" s="2" t="s">
        <v>432</v>
      </c>
      <c r="E524" s="115"/>
      <c r="F524" s="18">
        <v>500795</v>
      </c>
      <c r="G524" s="18">
        <v>375596</v>
      </c>
      <c r="H524" s="18">
        <f>290495+29858</f>
        <v>320353</v>
      </c>
      <c r="I524" s="18">
        <v>1039</v>
      </c>
      <c r="J524" s="18">
        <v>2500</v>
      </c>
      <c r="K524" s="18"/>
      <c r="L524" s="88">
        <f>SUM(F524:K524)</f>
        <v>1200283</v>
      </c>
      <c r="N524" s="264"/>
    </row>
    <row r="525" spans="1:14" s="52" customFormat="1" ht="12.2" customHeight="1" thickTop="1" x14ac:dyDescent="0.2">
      <c r="A525" s="139" t="s">
        <v>63</v>
      </c>
      <c r="B525" s="107">
        <v>21</v>
      </c>
      <c r="C525" s="194">
        <v>4</v>
      </c>
      <c r="D525" s="195" t="s">
        <v>432</v>
      </c>
      <c r="E525" s="194"/>
      <c r="F525" s="108">
        <f>SUM(F522:F524)</f>
        <v>1724909</v>
      </c>
      <c r="G525" s="108">
        <f t="shared" ref="G525:L525" si="36">SUM(G522:G524)</f>
        <v>1293681</v>
      </c>
      <c r="H525" s="108">
        <f t="shared" si="36"/>
        <v>652650</v>
      </c>
      <c r="I525" s="108">
        <f t="shared" si="36"/>
        <v>4028</v>
      </c>
      <c r="J525" s="108">
        <f t="shared" si="36"/>
        <v>17081</v>
      </c>
      <c r="K525" s="108">
        <f t="shared" si="36"/>
        <v>0</v>
      </c>
      <c r="L525" s="89">
        <f t="shared" si="36"/>
        <v>3692349</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27954</v>
      </c>
      <c r="G527" s="18"/>
      <c r="H527" s="18">
        <v>9000</v>
      </c>
      <c r="I527" s="18"/>
      <c r="J527" s="18"/>
      <c r="K527" s="18"/>
      <c r="L527" s="88">
        <f>SUM(F527:K527)</f>
        <v>36954</v>
      </c>
      <c r="M527" s="8"/>
      <c r="N527" s="265"/>
    </row>
    <row r="528" spans="1:14" s="3" customFormat="1" ht="12.2" customHeight="1" x14ac:dyDescent="0.15">
      <c r="A528" s="22" t="s">
        <v>634</v>
      </c>
      <c r="B528" s="105">
        <v>21</v>
      </c>
      <c r="C528" s="115">
        <v>6</v>
      </c>
      <c r="D528" s="2" t="s">
        <v>432</v>
      </c>
      <c r="E528" s="115"/>
      <c r="F528" s="18">
        <v>27857</v>
      </c>
      <c r="G528" s="18"/>
      <c r="H528" s="18">
        <v>40645</v>
      </c>
      <c r="I528" s="18"/>
      <c r="J528" s="18"/>
      <c r="K528" s="18"/>
      <c r="L528" s="88">
        <f>SUM(F528:K528)</f>
        <v>68502</v>
      </c>
      <c r="M528" s="8"/>
      <c r="N528" s="265"/>
    </row>
    <row r="529" spans="1:14" s="3" customFormat="1" ht="12.2" customHeight="1" thickBot="1" x14ac:dyDescent="0.2">
      <c r="A529" s="22" t="s">
        <v>635</v>
      </c>
      <c r="B529" s="118">
        <v>21</v>
      </c>
      <c r="C529" s="118">
        <v>7</v>
      </c>
      <c r="D529" s="2" t="s">
        <v>432</v>
      </c>
      <c r="E529" s="118"/>
      <c r="F529" s="18">
        <v>28603</v>
      </c>
      <c r="G529" s="18"/>
      <c r="H529" s="18">
        <v>40645</v>
      </c>
      <c r="I529" s="18"/>
      <c r="J529" s="18"/>
      <c r="K529" s="18"/>
      <c r="L529" s="88">
        <f>SUM(F529:K529)</f>
        <v>69248</v>
      </c>
      <c r="M529" s="8"/>
      <c r="N529" s="265"/>
    </row>
    <row r="530" spans="1:14" s="3" customFormat="1" ht="12.2" customHeight="1" thickTop="1" x14ac:dyDescent="0.15">
      <c r="A530" s="139" t="s">
        <v>65</v>
      </c>
      <c r="B530" s="107">
        <v>21</v>
      </c>
      <c r="C530" s="107">
        <v>8</v>
      </c>
      <c r="D530" s="158" t="s">
        <v>432</v>
      </c>
      <c r="E530" s="107"/>
      <c r="F530" s="89">
        <f>SUM(F527:F529)</f>
        <v>84414</v>
      </c>
      <c r="G530" s="89">
        <f t="shared" ref="G530:L530" si="37">SUM(G527:G529)</f>
        <v>0</v>
      </c>
      <c r="H530" s="89">
        <f t="shared" si="37"/>
        <v>90290</v>
      </c>
      <c r="I530" s="89">
        <f t="shared" si="37"/>
        <v>0</v>
      </c>
      <c r="J530" s="89">
        <f t="shared" si="37"/>
        <v>0</v>
      </c>
      <c r="K530" s="89">
        <f t="shared" si="37"/>
        <v>0</v>
      </c>
      <c r="L530" s="89">
        <f t="shared" si="37"/>
        <v>174704</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f>39186+17298</f>
        <v>56484</v>
      </c>
      <c r="G532" s="18">
        <v>19769</v>
      </c>
      <c r="H532" s="18"/>
      <c r="I532" s="18">
        <v>770</v>
      </c>
      <c r="J532" s="18"/>
      <c r="K532" s="18"/>
      <c r="L532" s="88">
        <f>SUM(F532:K532)</f>
        <v>77023</v>
      </c>
      <c r="M532" s="8"/>
      <c r="N532" s="265"/>
    </row>
    <row r="533" spans="1:14" s="3" customFormat="1" ht="12.2" customHeight="1" x14ac:dyDescent="0.15">
      <c r="A533" s="22" t="s">
        <v>634</v>
      </c>
      <c r="B533" s="105">
        <v>21</v>
      </c>
      <c r="C533" s="105">
        <v>10</v>
      </c>
      <c r="D533" s="2" t="s">
        <v>432</v>
      </c>
      <c r="E533" s="105"/>
      <c r="F533" s="18">
        <f>39186+17298</f>
        <v>56484</v>
      </c>
      <c r="G533" s="18">
        <v>19769</v>
      </c>
      <c r="H533" s="18"/>
      <c r="I533" s="18">
        <v>376</v>
      </c>
      <c r="J533" s="18"/>
      <c r="K533" s="18"/>
      <c r="L533" s="88">
        <f>SUM(F533:K533)</f>
        <v>76629</v>
      </c>
      <c r="M533" s="8"/>
      <c r="N533" s="265"/>
    </row>
    <row r="534" spans="1:14" s="3" customFormat="1" ht="12.2" customHeight="1" thickBot="1" x14ac:dyDescent="0.2">
      <c r="A534" s="22" t="s">
        <v>635</v>
      </c>
      <c r="B534" s="105">
        <v>21</v>
      </c>
      <c r="C534" s="105">
        <v>11</v>
      </c>
      <c r="D534" s="2" t="s">
        <v>432</v>
      </c>
      <c r="E534" s="105"/>
      <c r="F534" s="18">
        <f>40373+17839</f>
        <v>58212</v>
      </c>
      <c r="G534" s="18">
        <v>20374</v>
      </c>
      <c r="H534" s="18"/>
      <c r="I534" s="18">
        <v>272</v>
      </c>
      <c r="J534" s="18"/>
      <c r="K534" s="18"/>
      <c r="L534" s="88">
        <f>SUM(F534:K534)</f>
        <v>78858</v>
      </c>
      <c r="M534" s="8"/>
      <c r="N534" s="265"/>
    </row>
    <row r="535" spans="1:14" s="3" customFormat="1" ht="12.2" customHeight="1" thickTop="1" x14ac:dyDescent="0.15">
      <c r="A535" s="139" t="s">
        <v>67</v>
      </c>
      <c r="B535" s="107">
        <v>21</v>
      </c>
      <c r="C535" s="107">
        <v>12</v>
      </c>
      <c r="D535" s="158" t="s">
        <v>432</v>
      </c>
      <c r="E535" s="107"/>
      <c r="F535" s="89">
        <f>SUM(F532:F534)</f>
        <v>171180</v>
      </c>
      <c r="G535" s="89">
        <f t="shared" ref="G535:L535" si="38">SUM(G532:G534)</f>
        <v>59912</v>
      </c>
      <c r="H535" s="89">
        <f t="shared" si="38"/>
        <v>0</v>
      </c>
      <c r="I535" s="89">
        <f t="shared" si="38"/>
        <v>1418</v>
      </c>
      <c r="J535" s="89">
        <f t="shared" si="38"/>
        <v>0</v>
      </c>
      <c r="K535" s="89">
        <f t="shared" si="38"/>
        <v>0</v>
      </c>
      <c r="L535" s="89">
        <f t="shared" si="38"/>
        <v>232510</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v>5853</v>
      </c>
      <c r="I537" s="18"/>
      <c r="J537" s="18"/>
      <c r="K537" s="18"/>
      <c r="L537" s="88">
        <f>SUM(F537:K537)</f>
        <v>5853</v>
      </c>
      <c r="M537" s="8"/>
      <c r="N537" s="265"/>
    </row>
    <row r="538" spans="1:14" s="3" customFormat="1" ht="12.2" customHeight="1" x14ac:dyDescent="0.15">
      <c r="A538" s="22" t="s">
        <v>634</v>
      </c>
      <c r="B538" s="105">
        <v>21</v>
      </c>
      <c r="C538" s="105">
        <v>14</v>
      </c>
      <c r="D538" s="2" t="s">
        <v>432</v>
      </c>
      <c r="E538" s="105"/>
      <c r="F538" s="18"/>
      <c r="G538" s="18"/>
      <c r="H538" s="18">
        <v>6395</v>
      </c>
      <c r="I538" s="18"/>
      <c r="J538" s="18"/>
      <c r="K538" s="18"/>
      <c r="L538" s="88">
        <f>SUM(F538:K538)</f>
        <v>6395</v>
      </c>
      <c r="M538" s="8"/>
      <c r="N538" s="265"/>
    </row>
    <row r="539" spans="1:14" s="3" customFormat="1" ht="12.2" customHeight="1" thickBot="1" x14ac:dyDescent="0.2">
      <c r="A539" s="22" t="s">
        <v>635</v>
      </c>
      <c r="B539" s="105">
        <v>21</v>
      </c>
      <c r="C539" s="105">
        <v>15</v>
      </c>
      <c r="D539" s="2" t="s">
        <v>432</v>
      </c>
      <c r="E539" s="105"/>
      <c r="F539" s="18"/>
      <c r="G539" s="18"/>
      <c r="H539" s="18">
        <v>9429</v>
      </c>
      <c r="I539" s="18"/>
      <c r="J539" s="18"/>
      <c r="K539" s="18"/>
      <c r="L539" s="88">
        <f>SUM(F539:K539)</f>
        <v>9429</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21677</v>
      </c>
      <c r="I540" s="89">
        <f t="shared" si="39"/>
        <v>0</v>
      </c>
      <c r="J540" s="89">
        <f t="shared" si="39"/>
        <v>0</v>
      </c>
      <c r="K540" s="89">
        <f t="shared" si="39"/>
        <v>0</v>
      </c>
      <c r="L540" s="89">
        <f t="shared" si="39"/>
        <v>21677</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f>34244+2117</f>
        <v>36361</v>
      </c>
      <c r="I542" s="18"/>
      <c r="J542" s="18"/>
      <c r="K542" s="18"/>
      <c r="L542" s="88">
        <f>SUM(F542:K542)</f>
        <v>36361</v>
      </c>
      <c r="M542" s="8"/>
      <c r="N542" s="265"/>
    </row>
    <row r="543" spans="1:14" s="3" customFormat="1" ht="12.2" customHeight="1" x14ac:dyDescent="0.15">
      <c r="A543" s="22" t="s">
        <v>634</v>
      </c>
      <c r="B543" s="105">
        <v>21</v>
      </c>
      <c r="C543" s="105">
        <v>18</v>
      </c>
      <c r="D543" s="2" t="s">
        <v>432</v>
      </c>
      <c r="E543" s="105"/>
      <c r="F543" s="18"/>
      <c r="G543" s="18"/>
      <c r="H543" s="18">
        <f>27668+2313</f>
        <v>29981</v>
      </c>
      <c r="I543" s="18"/>
      <c r="J543" s="18"/>
      <c r="K543" s="18"/>
      <c r="L543" s="88">
        <f>SUM(F543:K543)</f>
        <v>29981</v>
      </c>
      <c r="M543" s="8"/>
      <c r="N543" s="265"/>
    </row>
    <row r="544" spans="1:14" s="3" customFormat="1" ht="12.2" customHeight="1" thickBot="1" x14ac:dyDescent="0.2">
      <c r="A544" s="22" t="s">
        <v>635</v>
      </c>
      <c r="B544" s="105">
        <v>21</v>
      </c>
      <c r="C544" s="105">
        <v>19</v>
      </c>
      <c r="D544" s="2" t="s">
        <v>432</v>
      </c>
      <c r="E544" s="105"/>
      <c r="F544" s="18"/>
      <c r="G544" s="18"/>
      <c r="H544" s="18">
        <f>27153+3411</f>
        <v>30564</v>
      </c>
      <c r="I544" s="18"/>
      <c r="J544" s="18"/>
      <c r="K544" s="18"/>
      <c r="L544" s="88">
        <f>SUM(F544:K544)</f>
        <v>30564</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96906</v>
      </c>
      <c r="I545" s="192">
        <f t="shared" si="40"/>
        <v>0</v>
      </c>
      <c r="J545" s="192">
        <f t="shared" si="40"/>
        <v>0</v>
      </c>
      <c r="K545" s="192">
        <f t="shared" si="40"/>
        <v>0</v>
      </c>
      <c r="L545" s="192">
        <f t="shared" si="40"/>
        <v>96906</v>
      </c>
      <c r="M545" s="8"/>
      <c r="N545" s="265"/>
    </row>
    <row r="546" spans="1:14" s="3" customFormat="1" ht="12.2" customHeight="1" thickTop="1" x14ac:dyDescent="0.15">
      <c r="A546" s="98" t="s">
        <v>72</v>
      </c>
      <c r="B546" s="107">
        <v>21</v>
      </c>
      <c r="C546" s="107">
        <v>21</v>
      </c>
      <c r="D546" s="158" t="s">
        <v>432</v>
      </c>
      <c r="E546" s="107"/>
      <c r="F546" s="89">
        <f>F525+F530+F535+F540+F545</f>
        <v>1980503</v>
      </c>
      <c r="G546" s="89">
        <f t="shared" ref="G546:L546" si="41">G525+G530+G535+G540+G545</f>
        <v>1353593</v>
      </c>
      <c r="H546" s="89">
        <f t="shared" si="41"/>
        <v>861523</v>
      </c>
      <c r="I546" s="89">
        <f t="shared" si="41"/>
        <v>5446</v>
      </c>
      <c r="J546" s="89">
        <f t="shared" si="41"/>
        <v>17081</v>
      </c>
      <c r="K546" s="89">
        <f t="shared" si="41"/>
        <v>0</v>
      </c>
      <c r="L546" s="89">
        <f t="shared" si="41"/>
        <v>4218146</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1484956</v>
      </c>
      <c r="G550" s="87">
        <f>L527</f>
        <v>36954</v>
      </c>
      <c r="H550" s="87">
        <f>L532</f>
        <v>77023</v>
      </c>
      <c r="I550" s="87">
        <f>L537</f>
        <v>5853</v>
      </c>
      <c r="J550" s="87">
        <f>L542</f>
        <v>36361</v>
      </c>
      <c r="K550" s="87">
        <f>SUM(F550:J550)</f>
        <v>1641147</v>
      </c>
      <c r="L550" s="24" t="s">
        <v>288</v>
      </c>
      <c r="M550" s="8"/>
      <c r="N550" s="265"/>
    </row>
    <row r="551" spans="1:14" s="3" customFormat="1" ht="12.2" customHeight="1" x14ac:dyDescent="0.15">
      <c r="A551" s="22" t="s">
        <v>634</v>
      </c>
      <c r="B551" s="75">
        <v>21</v>
      </c>
      <c r="C551" s="75">
        <v>23</v>
      </c>
      <c r="D551" s="2" t="s">
        <v>432</v>
      </c>
      <c r="E551" s="75"/>
      <c r="F551" s="87">
        <f>L523</f>
        <v>1007110</v>
      </c>
      <c r="G551" s="87">
        <f>L528</f>
        <v>68502</v>
      </c>
      <c r="H551" s="87">
        <f>L533</f>
        <v>76629</v>
      </c>
      <c r="I551" s="87">
        <f>L538</f>
        <v>6395</v>
      </c>
      <c r="J551" s="87">
        <f>L543</f>
        <v>29981</v>
      </c>
      <c r="K551" s="87">
        <f>SUM(F551:J551)</f>
        <v>1188617</v>
      </c>
      <c r="L551" s="24" t="s">
        <v>288</v>
      </c>
      <c r="M551" s="8"/>
      <c r="N551" s="265"/>
    </row>
    <row r="552" spans="1:14" s="3" customFormat="1" ht="12.2" customHeight="1" thickBot="1" x14ac:dyDescent="0.2">
      <c r="A552" s="22" t="s">
        <v>635</v>
      </c>
      <c r="B552" s="75">
        <v>21</v>
      </c>
      <c r="C552" s="75">
        <v>24</v>
      </c>
      <c r="D552" s="2" t="s">
        <v>432</v>
      </c>
      <c r="E552" s="75"/>
      <c r="F552" s="87">
        <f>L524</f>
        <v>1200283</v>
      </c>
      <c r="G552" s="87">
        <f>L529</f>
        <v>69248</v>
      </c>
      <c r="H552" s="87">
        <f>L534</f>
        <v>78858</v>
      </c>
      <c r="I552" s="87">
        <f>L539</f>
        <v>9429</v>
      </c>
      <c r="J552" s="87">
        <f>L544</f>
        <v>30564</v>
      </c>
      <c r="K552" s="87">
        <f>SUM(F552:J552)</f>
        <v>1388382</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3692349</v>
      </c>
      <c r="G553" s="89">
        <f t="shared" si="42"/>
        <v>174704</v>
      </c>
      <c r="H553" s="89">
        <f t="shared" si="42"/>
        <v>232510</v>
      </c>
      <c r="I553" s="89">
        <f t="shared" si="42"/>
        <v>21677</v>
      </c>
      <c r="J553" s="89">
        <f t="shared" si="42"/>
        <v>96906</v>
      </c>
      <c r="K553" s="89">
        <f t="shared" si="42"/>
        <v>4218146</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v>16037</v>
      </c>
      <c r="G563" s="18">
        <v>3600</v>
      </c>
      <c r="H563" s="18"/>
      <c r="I563" s="18"/>
      <c r="J563" s="18"/>
      <c r="K563" s="18"/>
      <c r="L563" s="88">
        <f>SUM(F563:K563)</f>
        <v>19637</v>
      </c>
      <c r="M563" s="8"/>
      <c r="N563" s="265"/>
    </row>
    <row r="564" spans="1:14" s="3" customFormat="1" ht="12.2" customHeight="1" x14ac:dyDescent="0.15">
      <c r="A564" s="22" t="s">
        <v>634</v>
      </c>
      <c r="B564" s="105">
        <v>22</v>
      </c>
      <c r="C564" s="115">
        <v>6</v>
      </c>
      <c r="D564" s="2" t="s">
        <v>432</v>
      </c>
      <c r="E564" s="115"/>
      <c r="F564" s="18">
        <v>17522</v>
      </c>
      <c r="G564" s="18">
        <v>30000</v>
      </c>
      <c r="H564" s="18"/>
      <c r="I564" s="18"/>
      <c r="J564" s="18"/>
      <c r="K564" s="18"/>
      <c r="L564" s="88">
        <f>SUM(F564:K564)</f>
        <v>47522</v>
      </c>
      <c r="M564" s="8"/>
      <c r="N564" s="265"/>
    </row>
    <row r="565" spans="1:14" s="3" customFormat="1" ht="12.2" customHeight="1" thickBot="1" x14ac:dyDescent="0.2">
      <c r="A565" s="22" t="s">
        <v>635</v>
      </c>
      <c r="B565" s="105">
        <v>22</v>
      </c>
      <c r="C565" s="118">
        <v>7</v>
      </c>
      <c r="D565" s="2" t="s">
        <v>432</v>
      </c>
      <c r="E565" s="118"/>
      <c r="F565" s="18">
        <v>25838</v>
      </c>
      <c r="G565" s="18">
        <v>3600</v>
      </c>
      <c r="H565" s="18"/>
      <c r="I565" s="18"/>
      <c r="J565" s="18"/>
      <c r="K565" s="18"/>
      <c r="L565" s="88">
        <f>SUM(F565:K565)</f>
        <v>29438</v>
      </c>
      <c r="M565" s="8"/>
      <c r="N565" s="265"/>
    </row>
    <row r="566" spans="1:14" s="3" customFormat="1" ht="12.2" customHeight="1" thickTop="1" x14ac:dyDescent="0.15">
      <c r="A566" s="139" t="s">
        <v>65</v>
      </c>
      <c r="B566" s="107">
        <v>22</v>
      </c>
      <c r="C566" s="107">
        <v>8</v>
      </c>
      <c r="D566" s="195" t="s">
        <v>432</v>
      </c>
      <c r="E566" s="107"/>
      <c r="F566" s="89">
        <f t="shared" ref="F566:L566" si="44">SUM(F563:F565)</f>
        <v>59397</v>
      </c>
      <c r="G566" s="89">
        <f t="shared" si="44"/>
        <v>37200</v>
      </c>
      <c r="H566" s="89">
        <f t="shared" si="44"/>
        <v>0</v>
      </c>
      <c r="I566" s="89">
        <f t="shared" si="44"/>
        <v>0</v>
      </c>
      <c r="J566" s="89">
        <f t="shared" si="44"/>
        <v>0</v>
      </c>
      <c r="K566" s="89">
        <f t="shared" si="44"/>
        <v>0</v>
      </c>
      <c r="L566" s="89">
        <f t="shared" si="44"/>
        <v>96597</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59397</v>
      </c>
      <c r="G572" s="89">
        <f t="shared" ref="G572:L572" si="46">G561+G566+G571</f>
        <v>37200</v>
      </c>
      <c r="H572" s="89">
        <f t="shared" si="46"/>
        <v>0</v>
      </c>
      <c r="I572" s="89">
        <f t="shared" si="46"/>
        <v>0</v>
      </c>
      <c r="J572" s="89">
        <f t="shared" si="46"/>
        <v>0</v>
      </c>
      <c r="K572" s="89">
        <f t="shared" si="46"/>
        <v>0</v>
      </c>
      <c r="L572" s="89">
        <f t="shared" si="46"/>
        <v>96597</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v>275579</v>
      </c>
      <c r="I585" s="87">
        <f t="shared" si="47"/>
        <v>275579</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138245</v>
      </c>
      <c r="I592" s="18">
        <v>138245</v>
      </c>
      <c r="J592" s="18">
        <f>217241-53371</f>
        <v>163870</v>
      </c>
      <c r="K592" s="104">
        <f t="shared" ref="K592:K598" si="48">SUM(H592:J592)</f>
        <v>440360</v>
      </c>
      <c r="L592" s="24" t="s">
        <v>288</v>
      </c>
      <c r="M592" s="8"/>
      <c r="N592" s="265"/>
    </row>
    <row r="593" spans="1:14" s="3" customFormat="1" ht="12.2" customHeight="1" x14ac:dyDescent="0.15">
      <c r="A593" s="3" t="s">
        <v>638</v>
      </c>
      <c r="B593" s="75">
        <v>23</v>
      </c>
      <c r="C593" s="75">
        <v>2</v>
      </c>
      <c r="D593" s="2" t="s">
        <v>432</v>
      </c>
      <c r="E593" s="75"/>
      <c r="F593" s="102">
        <v>2722</v>
      </c>
      <c r="G593" s="103" t="s">
        <v>97</v>
      </c>
      <c r="H593" s="18">
        <v>34244</v>
      </c>
      <c r="I593" s="18">
        <v>27668</v>
      </c>
      <c r="J593" s="18">
        <v>27153</v>
      </c>
      <c r="K593" s="104">
        <f t="shared" si="48"/>
        <v>89065</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v>53371</v>
      </c>
      <c r="K594" s="104">
        <f t="shared" si="48"/>
        <v>53371</v>
      </c>
      <c r="L594" s="24" t="s">
        <v>288</v>
      </c>
      <c r="M594" s="8"/>
      <c r="N594" s="265"/>
    </row>
    <row r="595" spans="1:14" s="3" customFormat="1" ht="12.2" customHeight="1" x14ac:dyDescent="0.15">
      <c r="A595" s="22" t="s">
        <v>640</v>
      </c>
      <c r="B595" s="75">
        <v>23</v>
      </c>
      <c r="C595" s="75">
        <v>4</v>
      </c>
      <c r="D595" s="2" t="s">
        <v>432</v>
      </c>
      <c r="E595" s="75"/>
      <c r="F595" s="102">
        <v>2724</v>
      </c>
      <c r="G595" s="103" t="s">
        <v>97</v>
      </c>
      <c r="H595" s="18">
        <v>0</v>
      </c>
      <c r="I595" s="18">
        <v>14956</v>
      </c>
      <c r="J595" s="18">
        <v>63571</v>
      </c>
      <c r="K595" s="104">
        <f t="shared" si="48"/>
        <v>78527</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4321</v>
      </c>
      <c r="I596" s="18">
        <v>9624</v>
      </c>
      <c r="J596" s="18">
        <f>4678+1300</f>
        <v>5978</v>
      </c>
      <c r="K596" s="104">
        <f t="shared" si="48"/>
        <v>19923</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176810</v>
      </c>
      <c r="I599" s="108">
        <f>SUM(I592:I598)</f>
        <v>190493</v>
      </c>
      <c r="J599" s="108">
        <f>SUM(J592:J598)</f>
        <v>313943</v>
      </c>
      <c r="K599" s="108">
        <f>SUM(K592:K598)</f>
        <v>681246</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f>90347+104509</f>
        <v>194856</v>
      </c>
      <c r="I605" s="18">
        <f>84403+80517</f>
        <v>164920</v>
      </c>
      <c r="J605" s="18">
        <f>189639+87015</f>
        <v>276654</v>
      </c>
      <c r="K605" s="104">
        <f>SUM(H605:J605)</f>
        <v>636430</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194856</v>
      </c>
      <c r="I606" s="108">
        <f>SUM(I603:I605)</f>
        <v>164920</v>
      </c>
      <c r="J606" s="108">
        <f>SUM(J603:J605)</f>
        <v>276654</v>
      </c>
      <c r="K606" s="108">
        <f>SUM(K603:K605)</f>
        <v>636430</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v>37643</v>
      </c>
      <c r="G612" s="18">
        <v>5947</v>
      </c>
      <c r="H612" s="18">
        <v>3750</v>
      </c>
      <c r="I612" s="18">
        <v>1924</v>
      </c>
      <c r="J612" s="18"/>
      <c r="K612" s="18"/>
      <c r="L612" s="88">
        <f>SUM(F612:K612)</f>
        <v>49264</v>
      </c>
      <c r="M612" s="8"/>
      <c r="N612" s="265"/>
    </row>
    <row r="613" spans="1:14" s="3" customFormat="1" ht="12.2" customHeight="1" x14ac:dyDescent="0.15">
      <c r="A613" s="22" t="s">
        <v>634</v>
      </c>
      <c r="B613" s="75">
        <v>23</v>
      </c>
      <c r="C613" s="75">
        <v>14</v>
      </c>
      <c r="D613" s="2" t="s">
        <v>432</v>
      </c>
      <c r="E613" s="75"/>
      <c r="F613" s="18">
        <v>4244</v>
      </c>
      <c r="G613" s="18">
        <v>670</v>
      </c>
      <c r="H613" s="18"/>
      <c r="I613" s="18">
        <v>3000</v>
      </c>
      <c r="J613" s="18"/>
      <c r="K613" s="18"/>
      <c r="L613" s="88">
        <f>SUM(F613:K613)</f>
        <v>7914</v>
      </c>
      <c r="M613" s="8"/>
      <c r="N613" s="265"/>
    </row>
    <row r="614" spans="1:14" s="3" customFormat="1" ht="12.2" customHeight="1" thickBot="1" x14ac:dyDescent="0.2">
      <c r="A614" s="22" t="s">
        <v>645</v>
      </c>
      <c r="B614" s="75">
        <v>23</v>
      </c>
      <c r="C614" s="75">
        <v>15</v>
      </c>
      <c r="D614" s="2" t="s">
        <v>432</v>
      </c>
      <c r="E614" s="75"/>
      <c r="F614" s="18">
        <v>8102</v>
      </c>
      <c r="G614" s="18">
        <v>1280</v>
      </c>
      <c r="H614" s="18"/>
      <c r="I614" s="18"/>
      <c r="J614" s="18"/>
      <c r="K614" s="18"/>
      <c r="L614" s="88">
        <f>SUM(F614:K614)</f>
        <v>9382</v>
      </c>
      <c r="M614" s="8"/>
      <c r="N614" s="265"/>
    </row>
    <row r="615" spans="1:14" s="3" customFormat="1" ht="12.2" customHeight="1" thickTop="1" x14ac:dyDescent="0.15">
      <c r="A615" s="98" t="s">
        <v>340</v>
      </c>
      <c r="B615" s="107">
        <v>23</v>
      </c>
      <c r="C615" s="107">
        <v>16</v>
      </c>
      <c r="D615" s="39" t="s">
        <v>432</v>
      </c>
      <c r="E615" s="107"/>
      <c r="F615" s="108">
        <f t="shared" ref="F615:L615" si="49">SUM(F612:F614)</f>
        <v>49989</v>
      </c>
      <c r="G615" s="108">
        <f t="shared" si="49"/>
        <v>7897</v>
      </c>
      <c r="H615" s="108">
        <f t="shared" si="49"/>
        <v>3750</v>
      </c>
      <c r="I615" s="108">
        <f t="shared" si="49"/>
        <v>4924</v>
      </c>
      <c r="J615" s="108">
        <f t="shared" si="49"/>
        <v>0</v>
      </c>
      <c r="K615" s="108">
        <f t="shared" si="49"/>
        <v>0</v>
      </c>
      <c r="L615" s="89">
        <f t="shared" si="49"/>
        <v>66560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3487573</v>
      </c>
      <c r="H618" s="109">
        <f>SUM(F52)</f>
        <v>3487573</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158598</v>
      </c>
      <c r="H619" s="109">
        <f>SUM(G52)</f>
        <v>158598</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241773</v>
      </c>
      <c r="H620" s="109">
        <f>SUM(H52)</f>
        <v>241773</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1161413</v>
      </c>
      <c r="H622" s="109">
        <f>SUM(J52)</f>
        <v>1161413</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2725469</v>
      </c>
      <c r="H623" s="109">
        <f>F477</f>
        <v>2725469</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142172</v>
      </c>
      <c r="H624" s="109">
        <f>G477</f>
        <v>142172</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1161413</v>
      </c>
      <c r="H627" s="109">
        <f>J477</f>
        <v>1161413</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24614610</v>
      </c>
      <c r="H628" s="104">
        <f>SUM(F469)</f>
        <v>24614610</v>
      </c>
      <c r="I628" s="140" t="s">
        <v>106</v>
      </c>
      <c r="J628" s="109">
        <f>G628-H628</f>
        <v>0</v>
      </c>
      <c r="K628" s="85"/>
      <c r="L628" s="88"/>
      <c r="M628" s="8"/>
    </row>
    <row r="629" spans="1:13" s="3" customFormat="1" ht="12.2" customHeight="1" x14ac:dyDescent="0.15">
      <c r="A629" s="22"/>
      <c r="B629" s="105"/>
      <c r="C629" s="105"/>
      <c r="D629" s="105"/>
      <c r="E629" s="105"/>
      <c r="F629" s="120" t="s">
        <v>659</v>
      </c>
      <c r="G629" s="109">
        <f>G194</f>
        <v>595626</v>
      </c>
      <c r="H629" s="104">
        <f>SUM(G469)</f>
        <v>595626</v>
      </c>
      <c r="I629" s="140" t="s">
        <v>107</v>
      </c>
      <c r="J629" s="109">
        <f>G629-H629</f>
        <v>0</v>
      </c>
      <c r="K629" s="85"/>
      <c r="L629" s="88"/>
      <c r="M629" s="8"/>
    </row>
    <row r="630" spans="1:13" s="3" customFormat="1" ht="12.2" customHeight="1" x14ac:dyDescent="0.15">
      <c r="A630" s="22"/>
      <c r="B630" s="105"/>
      <c r="C630" s="105"/>
      <c r="D630" s="105"/>
      <c r="E630" s="105"/>
      <c r="F630" s="120" t="s">
        <v>660</v>
      </c>
      <c r="G630" s="109">
        <f>H194</f>
        <v>964635</v>
      </c>
      <c r="H630" s="104">
        <f>SUM(H469)</f>
        <v>964635</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293663</v>
      </c>
      <c r="H632" s="104">
        <f>SUM(J469)</f>
        <v>293663</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24470644</v>
      </c>
      <c r="H633" s="104">
        <f>SUM(F473)</f>
        <v>24470644</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964639</v>
      </c>
      <c r="H634" s="104">
        <f>SUM(H473)</f>
        <v>964639</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202481</v>
      </c>
      <c r="H635" s="104">
        <f>I370</f>
        <v>202481</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521404</v>
      </c>
      <c r="H636" s="104">
        <f>SUM(G473)</f>
        <v>521404</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293663</v>
      </c>
      <c r="H638" s="164">
        <f>SUM(J469)</f>
        <v>293663</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161285</v>
      </c>
      <c r="H639" s="164">
        <f>SUM(J473)</f>
        <v>161285</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967591</v>
      </c>
      <c r="H640" s="104">
        <f>SUM(F462)</f>
        <v>967591</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193822</v>
      </c>
      <c r="H641" s="104">
        <f>SUM(G462)</f>
        <v>193822</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1161413</v>
      </c>
      <c r="H643" s="104">
        <f>SUM(I462)</f>
        <v>1161413</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1163</v>
      </c>
      <c r="H645" s="104">
        <f>H409</f>
        <v>1163</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292500</v>
      </c>
      <c r="H646" s="104">
        <f>G409</f>
        <v>292500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293663</v>
      </c>
      <c r="H647" s="104">
        <f>L409</f>
        <v>293663</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681246</v>
      </c>
      <c r="H648" s="104">
        <f>L209+L227+L245</f>
        <v>681246</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636430</v>
      </c>
      <c r="H649" s="104">
        <f>(J258+J339)-(J256+J337)</f>
        <v>636430</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176810</v>
      </c>
      <c r="H650" s="104">
        <f>H599</f>
        <v>176810</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190493</v>
      </c>
      <c r="H651" s="104">
        <f>I599</f>
        <v>190493</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313943</v>
      </c>
      <c r="H652" s="104">
        <f>J599</f>
        <v>313943</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156734</v>
      </c>
      <c r="H653" s="104">
        <f>K264+K346</f>
        <v>156734</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292500</v>
      </c>
      <c r="H656" s="104">
        <f>K267+K348</f>
        <v>292500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7555919</v>
      </c>
      <c r="G661" s="19">
        <f>(L230+L310+L360)</f>
        <v>6842058</v>
      </c>
      <c r="H661" s="19">
        <f>(L248+L329+L361)</f>
        <v>10007809</v>
      </c>
      <c r="I661" s="19">
        <f>SUM(F661:H661)</f>
        <v>24405786</v>
      </c>
      <c r="J661" s="13"/>
      <c r="K661" s="13"/>
      <c r="L661" s="13"/>
      <c r="M661" s="9"/>
    </row>
    <row r="662" spans="1:13" s="3" customFormat="1" ht="12.2" customHeight="1" x14ac:dyDescent="0.2">
      <c r="A662" s="1" t="s">
        <v>127</v>
      </c>
      <c r="F662" s="19">
        <f>(L359/IF(SUM(L359:L361)=0,1,SUM(L359:L361))*(SUM(G97:G110)))</f>
        <v>89225.072078465062</v>
      </c>
      <c r="G662" s="19">
        <f>(L360/IF(SUM(L359:L361)=0,1,SUM(L359:L361))*(SUM(G97:G110)))</f>
        <v>109425.48394335296</v>
      </c>
      <c r="H662" s="19">
        <f>(L361/IF(SUM(L359:L361)=0,1,SUM(L359:L361))*(SUM(G97:G110)))</f>
        <v>118347.44397818198</v>
      </c>
      <c r="I662" s="19">
        <f>SUM(F662:H662)</f>
        <v>316998</v>
      </c>
      <c r="J662"/>
      <c r="K662" s="13"/>
      <c r="L662" s="13"/>
      <c r="M662" s="8"/>
    </row>
    <row r="663" spans="1:13" s="3" customFormat="1" ht="12.2" customHeight="1" x14ac:dyDescent="0.2">
      <c r="A663" s="1" t="s">
        <v>128</v>
      </c>
      <c r="F663" s="19">
        <f>(L209+L288)-(J209+J288)</f>
        <v>179424</v>
      </c>
      <c r="G663" s="19">
        <f>(L227+L307)-(J227+J307)</f>
        <v>193107</v>
      </c>
      <c r="H663" s="19">
        <f>(L245+L326)-(J245+J326)</f>
        <v>316559</v>
      </c>
      <c r="I663" s="19">
        <f>SUM(F663:H663)</f>
        <v>689090</v>
      </c>
      <c r="J663"/>
      <c r="K663" s="13"/>
      <c r="L663" s="13"/>
      <c r="M663" s="9"/>
    </row>
    <row r="664" spans="1:13" s="3" customFormat="1" ht="12.2" customHeight="1" x14ac:dyDescent="0.15">
      <c r="A664" s="197" t="s">
        <v>129</v>
      </c>
      <c r="B664" s="169"/>
      <c r="C664" s="169"/>
      <c r="D664" s="169"/>
      <c r="E664" s="169"/>
      <c r="F664" s="198">
        <f>SUM(F576:F588)+SUM(H603:H605)+SUM(L612)</f>
        <v>244120</v>
      </c>
      <c r="G664" s="198">
        <f>SUM(G576:G588)+SUM(I603:I605)+L613</f>
        <v>172834</v>
      </c>
      <c r="H664" s="198">
        <f>SUM(H576:H588)+SUM(J603:J605)+L614</f>
        <v>561615</v>
      </c>
      <c r="I664" s="19">
        <f>SUM(F664:H664)</f>
        <v>978569</v>
      </c>
      <c r="J664" s="13"/>
      <c r="K664" s="13"/>
      <c r="L664" s="13"/>
      <c r="M664" s="9"/>
    </row>
    <row r="665" spans="1:13" s="3" customFormat="1" ht="12.2" customHeight="1" x14ac:dyDescent="0.15">
      <c r="A665" s="1" t="s">
        <v>130</v>
      </c>
      <c r="F665" s="19">
        <f>F661-SUM(F662:F664)</f>
        <v>7043149.9279215345</v>
      </c>
      <c r="G665" s="19">
        <f>G661-SUM(G662:G664)</f>
        <v>6366691.5160566475</v>
      </c>
      <c r="H665" s="19">
        <f>H661-SUM(H662:H664)</f>
        <v>9011287.556021817</v>
      </c>
      <c r="I665" s="19">
        <f>I661-SUM(I662:I664)</f>
        <v>22421129</v>
      </c>
      <c r="J665" s="13"/>
      <c r="K665" s="13"/>
      <c r="L665" s="13"/>
      <c r="M665" s="8"/>
    </row>
    <row r="666" spans="1:13" s="3" customFormat="1" ht="12.2" customHeight="1" x14ac:dyDescent="0.2">
      <c r="A666" s="1" t="s">
        <v>131</v>
      </c>
      <c r="F666" s="245">
        <v>311.52</v>
      </c>
      <c r="G666" s="246">
        <v>317.38</v>
      </c>
      <c r="H666" s="246">
        <v>481.04</v>
      </c>
      <c r="I666" s="19">
        <f>SUM(F666:H666)</f>
        <v>1109.94</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22608.98</v>
      </c>
      <c r="G668" s="19">
        <f>ROUND(G665/G666,2)</f>
        <v>20060.150000000001</v>
      </c>
      <c r="H668" s="19">
        <f>ROUND(H665/H666,2)</f>
        <v>18732.93</v>
      </c>
      <c r="I668" s="19">
        <f>ROUND(I665/I666,2)</f>
        <v>20200.310000000001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-21.44</v>
      </c>
      <c r="I671" s="19">
        <f>SUM(F671:H671)</f>
        <v>-21.44</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22608.98</v>
      </c>
      <c r="G673" s="19">
        <f>ROUND((G665+G670)/(G666+G671),2)</f>
        <v>20060.150000000001</v>
      </c>
      <c r="H673" s="19">
        <f>ROUND((H665+H670)/(H666+H671),2)</f>
        <v>19606.8</v>
      </c>
      <c r="I673" s="19">
        <f>ROUND((I665+I670)/(I666+I671),2)</f>
        <v>20598.189999999999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8" sqref="E18"/>
    </sheetView>
  </sheetViews>
  <sheetFormatPr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86418</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f>18625+46791</f>
        <v>65416</v>
      </c>
      <c r="F9" s="349" t="s">
        <v>1644</v>
      </c>
    </row>
    <row r="10" spans="2:8" x14ac:dyDescent="0.25">
      <c r="B10" s="348"/>
      <c r="C10" s="348"/>
      <c r="D10" s="348"/>
      <c r="E10" s="348"/>
      <c r="F10" s="348"/>
    </row>
    <row r="11" spans="2:8" x14ac:dyDescent="0.25">
      <c r="B11" s="348"/>
      <c r="C11" s="352" t="s">
        <v>1648</v>
      </c>
      <c r="D11" s="349" t="s">
        <v>1651</v>
      </c>
      <c r="E11" s="336">
        <v>0</v>
      </c>
      <c r="F11" s="349" t="s">
        <v>1645</v>
      </c>
    </row>
    <row r="12" spans="2:8" x14ac:dyDescent="0.25">
      <c r="B12" s="348"/>
      <c r="C12" s="348"/>
      <c r="D12" s="349"/>
      <c r="E12" s="348"/>
      <c r="F12" s="348"/>
    </row>
    <row r="13" spans="2:8" x14ac:dyDescent="0.25">
      <c r="B13" s="348"/>
      <c r="C13" s="349" t="s">
        <v>1638</v>
      </c>
      <c r="D13" s="349" t="s">
        <v>1652</v>
      </c>
      <c r="E13" s="336">
        <v>21002</v>
      </c>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3"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1613</v>
      </c>
      <c r="C3" s="315"/>
      <c r="D3" s="315"/>
      <c r="E3" s="315"/>
      <c r="F3" s="315"/>
      <c r="G3" s="315"/>
      <c r="H3" s="315"/>
      <c r="I3" t="s">
        <v>1613</v>
      </c>
    </row>
    <row r="4" spans="1:9" x14ac:dyDescent="0.2">
      <c r="I4" t="s">
        <v>1614</v>
      </c>
    </row>
    <row r="5" spans="1:9" ht="15.75" x14ac:dyDescent="0.25">
      <c r="A5" s="311" t="s">
        <v>908</v>
      </c>
      <c r="B5" s="374" t="str">
        <f>'DOE25'!A2</f>
        <v>Gilford</v>
      </c>
      <c r="C5" s="375"/>
      <c r="D5" s="375"/>
      <c r="E5" s="375"/>
      <c r="F5" s="375"/>
    </row>
    <row r="8" spans="1:9" ht="18" x14ac:dyDescent="0.25">
      <c r="A8" s="312" t="s">
        <v>1568</v>
      </c>
      <c r="F8" s="319" t="s">
        <v>1586</v>
      </c>
    </row>
    <row r="9" spans="1:9" ht="15" x14ac:dyDescent="0.2">
      <c r="A9" s="310" t="s">
        <v>1569</v>
      </c>
      <c r="B9" s="313">
        <f>'DOE25'!G97</f>
        <v>284894</v>
      </c>
      <c r="F9" s="310" t="s">
        <v>1582</v>
      </c>
    </row>
    <row r="10" spans="1:9" ht="15" x14ac:dyDescent="0.2">
      <c r="A10" s="310" t="s">
        <v>1570</v>
      </c>
      <c r="B10" s="313">
        <f>'DOE25'!G112-'DOE25'!G97</f>
        <v>32104</v>
      </c>
      <c r="F10" s="310" t="s">
        <v>1583</v>
      </c>
    </row>
    <row r="11" spans="1:9" ht="15" x14ac:dyDescent="0.2">
      <c r="A11" s="310" t="s">
        <v>1571</v>
      </c>
      <c r="B11" s="313">
        <f>'DOE25'!G140</f>
        <v>7482</v>
      </c>
      <c r="F11" s="310" t="s">
        <v>1584</v>
      </c>
    </row>
    <row r="12" spans="1:9" ht="15" x14ac:dyDescent="0.2">
      <c r="A12" s="310" t="s">
        <v>1572</v>
      </c>
      <c r="B12" s="313">
        <f>'DOE25'!G170</f>
        <v>114412</v>
      </c>
      <c r="F12" s="310" t="s">
        <v>1585</v>
      </c>
    </row>
    <row r="13" spans="1:9" ht="15" x14ac:dyDescent="0.2">
      <c r="A13" s="310" t="s">
        <v>1573</v>
      </c>
      <c r="B13" s="313">
        <f>'DOE25'!G193-'DOE25'!G180</f>
        <v>0</v>
      </c>
      <c r="F13" s="310" t="s">
        <v>1595</v>
      </c>
    </row>
    <row r="14" spans="1:9" ht="18" x14ac:dyDescent="0.25">
      <c r="A14" s="312" t="s">
        <v>732</v>
      </c>
      <c r="B14" s="314">
        <f>SUM(B9:B13)</f>
        <v>438892</v>
      </c>
    </row>
    <row r="16" spans="1:9" ht="18" x14ac:dyDescent="0.25">
      <c r="A16" s="312" t="s">
        <v>786</v>
      </c>
      <c r="F16" s="319" t="s">
        <v>1587</v>
      </c>
    </row>
    <row r="17" spans="1:6" ht="15" x14ac:dyDescent="0.2">
      <c r="A17" s="310" t="s">
        <v>1574</v>
      </c>
      <c r="B17" s="313">
        <f>'DOE25'!L363-'DOE25'!L362</f>
        <v>521404</v>
      </c>
      <c r="F17" s="310" t="s">
        <v>1588</v>
      </c>
    </row>
    <row r="18" spans="1:6" ht="15" x14ac:dyDescent="0.2">
      <c r="A18" s="310" t="s">
        <v>1575</v>
      </c>
      <c r="B18" s="323">
        <v>0</v>
      </c>
      <c r="F18" s="319" t="s">
        <v>1612</v>
      </c>
    </row>
    <row r="19" spans="1:6" ht="18" x14ac:dyDescent="0.25">
      <c r="A19" s="312" t="s">
        <v>725</v>
      </c>
      <c r="B19" s="314">
        <f>SUM(B17:B18)</f>
        <v>521404</v>
      </c>
    </row>
    <row r="21" spans="1:6" ht="18.75" thickBot="1" x14ac:dyDescent="0.3">
      <c r="A21" s="312" t="s">
        <v>1576</v>
      </c>
    </row>
    <row r="22" spans="1:6" ht="18.75" thickTop="1" x14ac:dyDescent="0.25">
      <c r="A22" s="312" t="s">
        <v>1577</v>
      </c>
      <c r="B22" s="318">
        <f>B14-B19</f>
        <v>-82512</v>
      </c>
      <c r="F22" s="310" t="s">
        <v>1589</v>
      </c>
    </row>
    <row r="26" spans="1:6" ht="18" x14ac:dyDescent="0.25">
      <c r="A26" s="312" t="s">
        <v>186</v>
      </c>
    </row>
    <row r="27" spans="1:6" ht="15" x14ac:dyDescent="0.2">
      <c r="A27" s="310" t="s">
        <v>1578</v>
      </c>
      <c r="B27" s="313">
        <f>'DOE25'!G180</f>
        <v>156734</v>
      </c>
      <c r="F27" s="310" t="s">
        <v>1590</v>
      </c>
    </row>
    <row r="28" spans="1:6" ht="15" x14ac:dyDescent="0.2">
      <c r="A28" s="310" t="s">
        <v>1580</v>
      </c>
      <c r="B28" s="313">
        <f>'DOE25'!L362</f>
        <v>0</v>
      </c>
      <c r="F28" s="310" t="s">
        <v>1591</v>
      </c>
    </row>
    <row r="31" spans="1:6" ht="15" x14ac:dyDescent="0.2">
      <c r="A31" s="310" t="s">
        <v>1634</v>
      </c>
      <c r="B31" s="313">
        <f>'DOE25'!G466</f>
        <v>67950</v>
      </c>
      <c r="F31" s="310" t="s">
        <v>1592</v>
      </c>
    </row>
    <row r="33" spans="1:6" ht="15" x14ac:dyDescent="0.2">
      <c r="A33" s="310" t="s">
        <v>1635</v>
      </c>
      <c r="B33" s="313">
        <f>'DOE25'!G477</f>
        <v>142172</v>
      </c>
      <c r="F33" s="310" t="s">
        <v>1593</v>
      </c>
    </row>
    <row r="36" spans="1:6" ht="15" x14ac:dyDescent="0.2">
      <c r="A36" s="310" t="s">
        <v>1579</v>
      </c>
      <c r="B36" s="324">
        <v>32104</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E44" sqref="E44"/>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Gilford</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6285623</v>
      </c>
      <c r="C9" s="228">
        <f>'DOE25'!G198+'DOE25'!G216+'DOE25'!G234+'DOE25'!G277+'DOE25'!G296+'DOE25'!G315</f>
        <v>3728442</v>
      </c>
    </row>
    <row r="10" spans="1:3" x14ac:dyDescent="0.2">
      <c r="A10" t="s">
        <v>775</v>
      </c>
      <c r="B10" s="239">
        <f>5969009-91092</f>
        <v>5877917</v>
      </c>
      <c r="C10" s="239">
        <v>3540636</v>
      </c>
    </row>
    <row r="11" spans="1:3" x14ac:dyDescent="0.2">
      <c r="A11" t="s">
        <v>776</v>
      </c>
      <c r="B11" s="239">
        <f>121089+18713+19037</f>
        <v>158839</v>
      </c>
      <c r="C11" s="239">
        <v>40185</v>
      </c>
    </row>
    <row r="12" spans="1:3" x14ac:dyDescent="0.2">
      <c r="A12" t="s">
        <v>777</v>
      </c>
      <c r="B12" s="239">
        <f>76543+103311+69013</f>
        <v>248867</v>
      </c>
      <c r="C12" s="239">
        <v>147621</v>
      </c>
    </row>
    <row r="13" spans="1:3" x14ac:dyDescent="0.2">
      <c r="A13" t="str">
        <f>IF(B9=B13,IF(C9=C13,"Check Total OK","Check Total Error"),"Check Total Error")</f>
        <v>Check Total OK</v>
      </c>
      <c r="B13" s="230">
        <f>SUM(B10:B12)</f>
        <v>6285623</v>
      </c>
      <c r="C13" s="230">
        <f>SUM(C10:C12)</f>
        <v>3728442</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1733254</v>
      </c>
      <c r="C18" s="228">
        <f>'DOE25'!G199+'DOE25'!G217+'DOE25'!G235+'DOE25'!G278+'DOE25'!G297+'DOE25'!G316</f>
        <v>1019927</v>
      </c>
    </row>
    <row r="19" spans="1:3" x14ac:dyDescent="0.2">
      <c r="A19" t="s">
        <v>775</v>
      </c>
      <c r="B19" s="239">
        <v>955995</v>
      </c>
      <c r="C19" s="239">
        <v>562552</v>
      </c>
    </row>
    <row r="20" spans="1:3" x14ac:dyDescent="0.2">
      <c r="A20" t="s">
        <v>776</v>
      </c>
      <c r="B20" s="239">
        <v>774285</v>
      </c>
      <c r="C20" s="239">
        <v>455625</v>
      </c>
    </row>
    <row r="21" spans="1:3" x14ac:dyDescent="0.2">
      <c r="A21" t="s">
        <v>777</v>
      </c>
      <c r="B21" s="239">
        <f>1352+1622</f>
        <v>2974</v>
      </c>
      <c r="C21" s="239">
        <v>1750</v>
      </c>
    </row>
    <row r="22" spans="1:3" x14ac:dyDescent="0.2">
      <c r="A22" t="str">
        <f>IF(B18=B22,IF(C18=C22,"Check Total OK","Check Total Error"),"Check Total Error")</f>
        <v>Check Total OK</v>
      </c>
      <c r="B22" s="230">
        <f>SUM(B19:B21)</f>
        <v>1733254</v>
      </c>
      <c r="C22" s="230">
        <f>SUM(C19:C21)</f>
        <v>1019927</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302064</v>
      </c>
      <c r="C36" s="234">
        <f>'DOE25'!G201+'DOE25'!G219+'DOE25'!G237+'DOE25'!G280+'DOE25'!G299+'DOE25'!G318</f>
        <v>182559</v>
      </c>
    </row>
    <row r="37" spans="1:3" x14ac:dyDescent="0.2">
      <c r="A37" t="s">
        <v>775</v>
      </c>
      <c r="B37" s="239"/>
      <c r="C37" s="239"/>
    </row>
    <row r="38" spans="1:3" x14ac:dyDescent="0.2">
      <c r="A38" t="s">
        <v>776</v>
      </c>
      <c r="B38" s="239"/>
      <c r="C38" s="239"/>
    </row>
    <row r="39" spans="1:3" x14ac:dyDescent="0.2">
      <c r="A39" t="s">
        <v>777</v>
      </c>
      <c r="B39" s="239">
        <v>302064</v>
      </c>
      <c r="C39" s="239">
        <v>182559</v>
      </c>
    </row>
    <row r="40" spans="1:3" x14ac:dyDescent="0.2">
      <c r="A40" t="str">
        <f>IF(B36=B40,IF(C36=C40,"Check Total OK","Check Total Error"),"Check Total Error")</f>
        <v>Check Total OK</v>
      </c>
      <c r="B40" s="230">
        <f>SUM(B37:B39)</f>
        <v>302064</v>
      </c>
      <c r="C40" s="230">
        <f>SUM(C37:C39)</f>
        <v>182559</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Gilford</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14485835</v>
      </c>
      <c r="D5" s="20">
        <f>SUM('DOE25'!L198:L201)+SUM('DOE25'!L216:L219)+SUM('DOE25'!L234:L237)-F5-G5-H5</f>
        <v>14395837</v>
      </c>
      <c r="E5" s="242"/>
      <c r="F5" s="243"/>
      <c r="G5" s="53">
        <f>SUM('DOE25'!J198:J201)+SUM('DOE25'!J216:J219)+SUM('DOE25'!J234:J237)</f>
        <v>89998</v>
      </c>
      <c r="H5" s="53">
        <f>SUM('DOE25'!K198:K201)+SUM('DOE25'!K216:K219)+SUM('DOE25'!K234:K237)</f>
        <v>0</v>
      </c>
      <c r="I5" s="255"/>
    </row>
    <row r="6" spans="1:9" x14ac:dyDescent="0.2">
      <c r="A6" s="32">
        <v>2100</v>
      </c>
      <c r="B6" t="s">
        <v>796</v>
      </c>
      <c r="C6" s="274">
        <f t="shared" si="0"/>
        <v>1270495</v>
      </c>
      <c r="D6" s="20">
        <f>'DOE25'!L203+'DOE25'!L221+'DOE25'!L239-F6-G6-H6</f>
        <v>1184870</v>
      </c>
      <c r="E6" s="242"/>
      <c r="F6" s="243">
        <v>85295</v>
      </c>
      <c r="G6" s="53">
        <f>'DOE25'!J203+'DOE25'!J221+'DOE25'!J239</f>
        <v>330</v>
      </c>
      <c r="H6" s="53">
        <f>'DOE25'!K203+'DOE25'!K221+'DOE25'!K239</f>
        <v>0</v>
      </c>
      <c r="I6" s="255"/>
    </row>
    <row r="7" spans="1:9" x14ac:dyDescent="0.2">
      <c r="A7" s="32">
        <v>2200</v>
      </c>
      <c r="B7" t="s">
        <v>821</v>
      </c>
      <c r="C7" s="274">
        <f t="shared" si="0"/>
        <v>1186261</v>
      </c>
      <c r="D7" s="20">
        <f>'DOE25'!L204+'DOE25'!L222+'DOE25'!L240-F7-G7-H7</f>
        <v>934585</v>
      </c>
      <c r="E7" s="242"/>
      <c r="F7" s="243"/>
      <c r="G7" s="53">
        <f>'DOE25'!J204+'DOE25'!J222+'DOE25'!J240</f>
        <v>248478</v>
      </c>
      <c r="H7" s="53">
        <f>'DOE25'!K204+'DOE25'!K222+'DOE25'!K240</f>
        <v>3198</v>
      </c>
      <c r="I7" s="255"/>
    </row>
    <row r="8" spans="1:9" x14ac:dyDescent="0.2">
      <c r="A8" s="32">
        <v>2300</v>
      </c>
      <c r="B8" t="s">
        <v>797</v>
      </c>
      <c r="C8" s="274">
        <f t="shared" si="0"/>
        <v>168417.12</v>
      </c>
      <c r="D8" s="242"/>
      <c r="E8" s="20">
        <f>'DOE25'!L205+'DOE25'!L223+'DOE25'!L241-F8-G8-H8-D9-D11</f>
        <v>158282.12</v>
      </c>
      <c r="F8" s="243"/>
      <c r="G8" s="53">
        <f>'DOE25'!J205+'DOE25'!J223+'DOE25'!J241</f>
        <v>0</v>
      </c>
      <c r="H8" s="53">
        <f>'DOE25'!K205+'DOE25'!K223+'DOE25'!K241</f>
        <v>10135</v>
      </c>
      <c r="I8" s="255"/>
    </row>
    <row r="9" spans="1:9" ht="14.25" x14ac:dyDescent="0.2">
      <c r="A9" s="32">
        <v>2310</v>
      </c>
      <c r="B9" s="184" t="s">
        <v>888</v>
      </c>
      <c r="C9" s="274">
        <f t="shared" si="0"/>
        <v>37527.879999999997</v>
      </c>
      <c r="D9" s="243">
        <v>37527.879999999997</v>
      </c>
      <c r="E9" s="242"/>
      <c r="F9" s="252"/>
      <c r="G9" s="252"/>
      <c r="H9" s="252"/>
      <c r="I9" s="255"/>
    </row>
    <row r="10" spans="1:9" ht="14.25" x14ac:dyDescent="0.2">
      <c r="A10" s="32">
        <v>2317</v>
      </c>
      <c r="B10" s="184" t="s">
        <v>889</v>
      </c>
      <c r="C10" s="274">
        <f t="shared" si="0"/>
        <v>18910</v>
      </c>
      <c r="D10" s="242"/>
      <c r="E10" s="243">
        <v>18910</v>
      </c>
      <c r="F10" s="252"/>
      <c r="G10" s="252"/>
      <c r="H10" s="252"/>
      <c r="I10" s="255"/>
    </row>
    <row r="11" spans="1:9" ht="14.25" x14ac:dyDescent="0.2">
      <c r="A11" s="32">
        <v>2321</v>
      </c>
      <c r="B11" s="184" t="s">
        <v>890</v>
      </c>
      <c r="C11" s="274">
        <f t="shared" si="0"/>
        <v>279847</v>
      </c>
      <c r="D11" s="243">
        <v>279847</v>
      </c>
      <c r="E11" s="242"/>
      <c r="F11" s="252"/>
      <c r="G11" s="252"/>
      <c r="H11" s="252"/>
      <c r="I11" s="255"/>
    </row>
    <row r="12" spans="1:9" x14ac:dyDescent="0.2">
      <c r="A12" s="32">
        <v>2400</v>
      </c>
      <c r="B12" t="s">
        <v>711</v>
      </c>
      <c r="C12" s="274">
        <f t="shared" si="0"/>
        <v>1788334</v>
      </c>
      <c r="D12" s="20">
        <f>'DOE25'!L206+'DOE25'!L224+'DOE25'!L242-F12-G12-H12</f>
        <v>1756119</v>
      </c>
      <c r="E12" s="242"/>
      <c r="F12" s="243"/>
      <c r="G12" s="53">
        <f>'DOE25'!J206+'DOE25'!J224+'DOE25'!J242</f>
        <v>0</v>
      </c>
      <c r="H12" s="53">
        <f>'DOE25'!K206+'DOE25'!K224+'DOE25'!K242</f>
        <v>32215</v>
      </c>
      <c r="I12" s="255"/>
    </row>
    <row r="13" spans="1:9" x14ac:dyDescent="0.2">
      <c r="A13" s="32">
        <v>2500</v>
      </c>
      <c r="B13" t="s">
        <v>798</v>
      </c>
      <c r="C13" s="274">
        <f t="shared" si="0"/>
        <v>456128</v>
      </c>
      <c r="D13" s="242"/>
      <c r="E13" s="20">
        <f>'DOE25'!L207+'DOE25'!L225+'DOE25'!L243-F13-G13-H13</f>
        <v>451725</v>
      </c>
      <c r="F13" s="243"/>
      <c r="G13" s="53">
        <f>'DOE25'!J207+'DOE25'!J225+'DOE25'!J243</f>
        <v>0</v>
      </c>
      <c r="H13" s="53">
        <f>'DOE25'!K207+'DOE25'!K225+'DOE25'!K243</f>
        <v>4403</v>
      </c>
      <c r="I13" s="255"/>
    </row>
    <row r="14" spans="1:9" x14ac:dyDescent="0.2">
      <c r="A14" s="32">
        <v>2600</v>
      </c>
      <c r="B14" t="s">
        <v>819</v>
      </c>
      <c r="C14" s="274">
        <f t="shared" si="0"/>
        <v>2565652</v>
      </c>
      <c r="D14" s="20">
        <f>'DOE25'!L208+'DOE25'!L226+'DOE25'!L244-F14-G14-H14</f>
        <v>2090480</v>
      </c>
      <c r="E14" s="242"/>
      <c r="F14" s="243">
        <v>449589</v>
      </c>
      <c r="G14" s="53">
        <f>'DOE25'!J208+'DOE25'!J226+'DOE25'!J244</f>
        <v>25583</v>
      </c>
      <c r="H14" s="53">
        <f>'DOE25'!K208+'DOE25'!K226+'DOE25'!K244</f>
        <v>0</v>
      </c>
      <c r="I14" s="255"/>
    </row>
    <row r="15" spans="1:9" x14ac:dyDescent="0.2">
      <c r="A15" s="32">
        <v>2700</v>
      </c>
      <c r="B15" t="s">
        <v>799</v>
      </c>
      <c r="C15" s="274">
        <f t="shared" si="0"/>
        <v>681246</v>
      </c>
      <c r="D15" s="20">
        <f>'DOE25'!L209+'DOE25'!L227+'DOE25'!L245-F15-G15-H15</f>
        <v>141861</v>
      </c>
      <c r="E15" s="242"/>
      <c r="F15" s="243">
        <v>539385</v>
      </c>
      <c r="G15" s="53">
        <f>'DOE25'!J209+'DOE25'!J227+'DOE25'!J245</f>
        <v>0</v>
      </c>
      <c r="H15" s="53">
        <f>'DOE25'!K209+'DOE25'!K227+'DOE25'!K245</f>
        <v>0</v>
      </c>
      <c r="I15" s="255"/>
    </row>
    <row r="16" spans="1:9" x14ac:dyDescent="0.2">
      <c r="A16" s="32">
        <v>2800</v>
      </c>
      <c r="B16" t="s">
        <v>800</v>
      </c>
      <c r="C16" s="274">
        <f t="shared" si="0"/>
        <v>0</v>
      </c>
      <c r="D16" s="242"/>
      <c r="E16" s="20">
        <f>'DOE25'!L210+'DOE25'!L228+'DOE25'!L246-F16-G16-H16</f>
        <v>0</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0</v>
      </c>
      <c r="D22" s="242"/>
      <c r="E22" s="242"/>
      <c r="F22" s="242"/>
      <c r="G22" s="53">
        <f>'DOE25'!L256+'DOE25'!L337</f>
        <v>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1101667</v>
      </c>
      <c r="D25" s="242"/>
      <c r="E25" s="242"/>
      <c r="F25" s="254"/>
      <c r="G25" s="252"/>
      <c r="H25" s="252"/>
      <c r="I25" s="253">
        <f>'DOE25'!L261+'DOE25'!L262+'DOE25'!L342+'DOE25'!L343</f>
        <v>1101667</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336381</v>
      </c>
      <c r="D29" s="282">
        <f>'DOE25'!L359+'DOE25'!L360+'DOE25'!L361-'DOE25'!I368-F29-G29-H29</f>
        <v>336381</v>
      </c>
      <c r="E29" s="242"/>
      <c r="F29" s="243"/>
      <c r="G29" s="53">
        <f>'DOE25'!J359+'DOE25'!J360+'DOE25'!J361</f>
        <v>0</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964639</v>
      </c>
      <c r="D31" s="20">
        <f>'DOE25'!L291+'DOE25'!L310+'DOE25'!L329+'DOE25'!L334+'DOE25'!L335+'DOE25'!L336-F31-G31-H31</f>
        <v>690785</v>
      </c>
      <c r="E31" s="242"/>
      <c r="F31" s="243"/>
      <c r="G31" s="53">
        <f>'DOE25'!J291+'DOE25'!J310+'DOE25'!J329+'DOE25'!J334+'DOE25'!J335+'DOE25'!J336</f>
        <v>272041</v>
      </c>
      <c r="H31" s="53">
        <f>'DOE25'!K291+'DOE25'!K310+'DOE25'!K329+'DOE25'!K334+'DOE25'!K335+'DOE25'!K336</f>
        <v>1813</v>
      </c>
      <c r="I31" s="255"/>
    </row>
    <row r="32" spans="1:9" ht="12" thickBot="1" x14ac:dyDescent="0.25">
      <c r="C32" s="275"/>
      <c r="G32" s="250"/>
      <c r="H32" s="250"/>
      <c r="I32" s="257"/>
    </row>
    <row r="33" spans="1:9" ht="12" thickTop="1" x14ac:dyDescent="0.2">
      <c r="B33" t="s">
        <v>809</v>
      </c>
      <c r="D33" s="244">
        <f t="shared" ref="D33:I33" si="1">SUM(D5:D31)</f>
        <v>21848292.880000003</v>
      </c>
      <c r="E33" s="244">
        <f t="shared" si="1"/>
        <v>628917.12</v>
      </c>
      <c r="F33" s="244">
        <f t="shared" si="1"/>
        <v>1074269</v>
      </c>
      <c r="G33" s="244">
        <f t="shared" si="1"/>
        <v>636430</v>
      </c>
      <c r="H33" s="244">
        <f t="shared" si="1"/>
        <v>51764</v>
      </c>
      <c r="I33" s="244">
        <f t="shared" si="1"/>
        <v>1101667</v>
      </c>
    </row>
    <row r="35" spans="1:9" ht="12" thickBot="1" x14ac:dyDescent="0.25">
      <c r="B35" s="250" t="s">
        <v>831</v>
      </c>
      <c r="D35" s="251">
        <f>E33</f>
        <v>628917.12</v>
      </c>
      <c r="E35" s="247"/>
      <c r="F35" s="328" t="s">
        <v>1617</v>
      </c>
      <c r="G35" s="329"/>
      <c r="H35" s="329"/>
      <c r="I35" s="329"/>
    </row>
    <row r="36" spans="1:9" ht="12" thickTop="1" x14ac:dyDescent="0.2">
      <c r="B36" t="s">
        <v>810</v>
      </c>
      <c r="D36" s="20">
        <f>D33</f>
        <v>21848292.880000003</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topLeftCell="A10" zoomScaleNormal="100" workbookViewId="0">
      <selection activeCell="D39" sqref="D39"/>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Gilford</v>
      </c>
      <c r="B2" s="126">
        <f>'DOE25'!B2</f>
        <v>191</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7409160</v>
      </c>
      <c r="G4" s="299">
        <f>'DOE25'!L212+'DOE25'!L291</f>
        <v>7409160</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4"/>
      <c r="N5"/>
    </row>
    <row r="6" spans="1:18" x14ac:dyDescent="0.2">
      <c r="A6" s="126" t="str" cm="1">
        <f t="array" ref="A6">IFERROR(INDEX('School Tables'!$A$4:$G$325,'School Tables'!$J4,3),"")</f>
        <v>Gilford Elementary School</v>
      </c>
      <c r="B6" s="300">
        <f>IFERROR(VLOOKUP(A6,'School Tables'!$C$3:$D$365,2,FALSE),"")</f>
        <v>21245</v>
      </c>
      <c r="C6" s="293" t="str">
        <f>IFERROR(INDEX('School Tables'!$B$3:$B$365,MATCH('School Level Expenditures'!B6,'School Tables'!$D$3:$D$365,0)),"")</f>
        <v>Gilford</v>
      </c>
      <c r="D6" s="290">
        <v>7229514</v>
      </c>
      <c r="E6" s="290">
        <v>179646</v>
      </c>
      <c r="F6" s="303">
        <f t="shared" ref="F6:F20" si="0">D6+E6</f>
        <v>7409160</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7229514</v>
      </c>
      <c r="E21" s="338">
        <f>SUM(E5:E20)</f>
        <v>179646</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6662073</v>
      </c>
      <c r="G24" s="299">
        <f>'DOE25'!L230+'DOE25'!L310</f>
        <v>6662073</v>
      </c>
      <c r="H24" s="340">
        <f>F24-G24</f>
        <v>0</v>
      </c>
      <c r="I24" s="383"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4"/>
      <c r="N25"/>
    </row>
    <row r="26" spans="1:14" x14ac:dyDescent="0.2">
      <c r="A26" s="126" t="str" cm="1">
        <f t="array" ref="A26">IFERROR(INDEX('School Tables'!$L$4:$R$75,'School Tables'!$U4,3),"")</f>
        <v>Gilford Middle School</v>
      </c>
      <c r="B26" s="300">
        <f>IFERROR(VLOOKUP(A26,'School Tables'!$N$4:$O$75,2,FALSE),"")</f>
        <v>26995</v>
      </c>
      <c r="C26" s="293" t="str">
        <f>IFERROR(INDEX('School Tables'!$M$4:$M$75,MATCH('School Level Expenditures'!A26,'School Tables'!$N$4:$N$75,0)),"")</f>
        <v>Gilford</v>
      </c>
      <c r="D26" s="290">
        <v>6634971</v>
      </c>
      <c r="E26" s="290">
        <v>27102</v>
      </c>
      <c r="F26" s="303">
        <f t="shared" ref="F26:F32" si="1">D26+E26</f>
        <v>6662073</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6634971</v>
      </c>
      <c r="E33" s="338">
        <f>SUM(E25:E32)</f>
        <v>27102</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9813149</v>
      </c>
      <c r="G36" s="299">
        <f>'DOE25'!L248+'DOE25'!L329</f>
        <v>9813149</v>
      </c>
      <c r="H36" s="340">
        <f>F36-G36</f>
        <v>0</v>
      </c>
      <c r="I36" s="383" t="str">
        <f>IF(H36=0,"","ISSUES!! Please review page 9 and 13 totals in comparison with total on this page")</f>
        <v/>
      </c>
      <c r="N36"/>
    </row>
    <row r="37" spans="1:14" x14ac:dyDescent="0.2">
      <c r="A37" s="126" t="s">
        <v>1548</v>
      </c>
      <c r="B37" s="300">
        <v>99999</v>
      </c>
      <c r="C37" s="293" t="s">
        <v>1548</v>
      </c>
      <c r="D37" s="290"/>
      <c r="E37" s="290"/>
      <c r="F37" s="303">
        <f t="shared" ref="F37:F42" si="2">D37+E37</f>
        <v>0</v>
      </c>
      <c r="G37" s="293"/>
      <c r="H37" s="293"/>
      <c r="I37" s="384"/>
      <c r="N37"/>
    </row>
    <row r="38" spans="1:14" x14ac:dyDescent="0.2">
      <c r="A38" s="126" t="str" cm="1">
        <f t="array" ref="A38">IFERROR(INDEX('School Tables'!$W$4:$AC$100,'School Tables'!$AF4,3),"")</f>
        <v>Gilford High School</v>
      </c>
      <c r="B38" s="300">
        <f>IFERROR(VLOOKUP(A38,'School Tables'!$Y$4:$Z$100,2,FALSE),"")</f>
        <v>21240</v>
      </c>
      <c r="C38" s="293" t="str">
        <f>IFERROR(INDEX('School Tables'!$X$4:$X$100,MATCH('School Level Expenditures'!A38,'School Tables'!$Y$4:$Y$100,0)),"")</f>
        <v>Gilford</v>
      </c>
      <c r="D38" s="290">
        <v>9712556</v>
      </c>
      <c r="E38" s="290">
        <v>100593</v>
      </c>
      <c r="F38" s="303">
        <f t="shared" si="2"/>
        <v>9813149</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9712556</v>
      </c>
      <c r="E43" s="339">
        <f>SUM(E37:E42)</f>
        <v>100593</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Gilford</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1913515</v>
      </c>
      <c r="D8" s="95">
        <f>'DOE25'!G9</f>
        <v>150</v>
      </c>
      <c r="E8" s="95">
        <f>'DOE25'!H9</f>
        <v>0</v>
      </c>
      <c r="F8" s="95">
        <f>'DOE25'!I9</f>
        <v>0</v>
      </c>
      <c r="G8" s="95">
        <f>'DOE25'!J9</f>
        <v>0</v>
      </c>
      <c r="H8" s="124">
        <f>SUM(C8:G8)</f>
        <v>1913665</v>
      </c>
      <c r="I8" s="124"/>
    </row>
    <row r="9" spans="1:9" x14ac:dyDescent="0.2">
      <c r="A9" s="1" t="s">
        <v>140</v>
      </c>
      <c r="B9" s="6">
        <v>110</v>
      </c>
      <c r="C9" s="95">
        <f>'DOE25'!F10</f>
        <v>0</v>
      </c>
      <c r="D9" s="95">
        <f>'DOE25'!G10</f>
        <v>0</v>
      </c>
      <c r="E9" s="95">
        <f>'DOE25'!H10</f>
        <v>0</v>
      </c>
      <c r="F9" s="95">
        <f>'DOE25'!I10</f>
        <v>0</v>
      </c>
      <c r="G9" s="95">
        <f>'DOE25'!J10</f>
        <v>0</v>
      </c>
      <c r="H9" s="124">
        <f t="shared" ref="H9:H18" si="0">SUM(C9:G9)</f>
        <v>0</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0</v>
      </c>
      <c r="D11" s="95">
        <f>'DOE25'!G12</f>
        <v>135945</v>
      </c>
      <c r="E11" s="95">
        <f>'DOE25'!H12</f>
        <v>0</v>
      </c>
      <c r="F11" s="95">
        <f>'DOE25'!I12</f>
        <v>0</v>
      </c>
      <c r="G11" s="95">
        <f>'DOE25'!J12</f>
        <v>1161413</v>
      </c>
      <c r="H11" s="124">
        <f t="shared" si="0"/>
        <v>1297358</v>
      </c>
      <c r="I11" s="124"/>
    </row>
    <row r="12" spans="1:9" x14ac:dyDescent="0.2">
      <c r="A12" s="1" t="s">
        <v>143</v>
      </c>
      <c r="B12" s="6">
        <v>140</v>
      </c>
      <c r="C12" s="95">
        <f>'DOE25'!F13</f>
        <v>0</v>
      </c>
      <c r="D12" s="95">
        <f>'DOE25'!G13</f>
        <v>20033</v>
      </c>
      <c r="E12" s="95">
        <f>'DOE25'!H13</f>
        <v>241773</v>
      </c>
      <c r="F12" s="95">
        <f>'DOE25'!I13</f>
        <v>0</v>
      </c>
      <c r="G12" s="95">
        <f>'DOE25'!J13</f>
        <v>0</v>
      </c>
      <c r="H12" s="124">
        <f t="shared" si="0"/>
        <v>261806</v>
      </c>
      <c r="I12" s="124"/>
    </row>
    <row r="13" spans="1:9" x14ac:dyDescent="0.2">
      <c r="A13" s="1" t="s">
        <v>144</v>
      </c>
      <c r="B13" s="6">
        <v>150</v>
      </c>
      <c r="C13" s="95">
        <f>'DOE25'!F14</f>
        <v>1574058</v>
      </c>
      <c r="D13" s="95">
        <f>'DOE25'!G14</f>
        <v>0</v>
      </c>
      <c r="E13" s="95">
        <f>'DOE25'!H14</f>
        <v>0</v>
      </c>
      <c r="F13" s="95">
        <f>'DOE25'!I14</f>
        <v>0</v>
      </c>
      <c r="G13" s="95">
        <f>'DOE25'!J14</f>
        <v>0</v>
      </c>
      <c r="H13" s="124">
        <f t="shared" si="0"/>
        <v>1574058</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2470</v>
      </c>
      <c r="E15" s="95">
        <f>'DOE25'!H16</f>
        <v>0</v>
      </c>
      <c r="F15" s="95">
        <f>'DOE25'!I16</f>
        <v>0</v>
      </c>
      <c r="G15" s="24" t="s">
        <v>288</v>
      </c>
      <c r="H15" s="124">
        <f t="shared" si="0"/>
        <v>2470</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3487573</v>
      </c>
      <c r="D18" s="41">
        <f>SUM(D8:D17)</f>
        <v>158598</v>
      </c>
      <c r="E18" s="41">
        <f>SUM(E8:E17)</f>
        <v>241773</v>
      </c>
      <c r="F18" s="41">
        <f>SUM(F8:F17)</f>
        <v>0</v>
      </c>
      <c r="G18" s="41">
        <f>SUM(G8:G17)</f>
        <v>1161413</v>
      </c>
      <c r="H18" s="41">
        <f t="shared" si="0"/>
        <v>5049357</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50704</v>
      </c>
      <c r="D21" s="95">
        <f>'DOE25'!G22</f>
        <v>0</v>
      </c>
      <c r="E21" s="95">
        <f>'DOE25'!H22</f>
        <v>0</v>
      </c>
      <c r="F21" s="95">
        <f>'DOE25'!I22</f>
        <v>0</v>
      </c>
      <c r="G21" s="95">
        <f>'DOE25'!J22</f>
        <v>0</v>
      </c>
      <c r="H21" s="124">
        <f t="shared" ref="H21:H31" si="1">SUM(C21:G21)</f>
        <v>50704</v>
      </c>
      <c r="I21" s="124"/>
    </row>
    <row r="22" spans="1:9" x14ac:dyDescent="0.2">
      <c r="A22" s="1" t="s">
        <v>151</v>
      </c>
      <c r="B22" s="6">
        <v>410</v>
      </c>
      <c r="C22" s="95">
        <f>'DOE25'!F23</f>
        <v>0</v>
      </c>
      <c r="D22" s="95">
        <f>'DOE25'!G23</f>
        <v>0</v>
      </c>
      <c r="E22" s="95">
        <f>'DOE25'!H23</f>
        <v>221468</v>
      </c>
      <c r="F22" s="95">
        <f>'DOE25'!I23</f>
        <v>0</v>
      </c>
      <c r="G22" s="95">
        <f>'DOE25'!J23</f>
        <v>0</v>
      </c>
      <c r="H22" s="124">
        <f t="shared" si="1"/>
        <v>221468</v>
      </c>
      <c r="I22" s="124"/>
    </row>
    <row r="23" spans="1:9" x14ac:dyDescent="0.2">
      <c r="A23" s="1" t="s">
        <v>152</v>
      </c>
      <c r="B23" s="6">
        <v>420</v>
      </c>
      <c r="C23" s="95">
        <f>'DOE25'!F24</f>
        <v>689350</v>
      </c>
      <c r="D23" s="95">
        <f>'DOE25'!G24</f>
        <v>0</v>
      </c>
      <c r="E23" s="95">
        <f>'DOE25'!H24</f>
        <v>20305</v>
      </c>
      <c r="F23" s="95">
        <f>'DOE25'!I24</f>
        <v>0</v>
      </c>
      <c r="G23" s="95">
        <f>'DOE25'!J24</f>
        <v>0</v>
      </c>
      <c r="H23" s="124">
        <f t="shared" si="1"/>
        <v>709655</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0</v>
      </c>
      <c r="D27" s="95">
        <f>'DOE25'!G28</f>
        <v>0</v>
      </c>
      <c r="E27" s="95">
        <f>'DOE25'!H28</f>
        <v>0</v>
      </c>
      <c r="F27" s="95">
        <f>'DOE25'!I28</f>
        <v>0</v>
      </c>
      <c r="G27" s="24" t="s">
        <v>288</v>
      </c>
      <c r="H27" s="124">
        <f t="shared" si="1"/>
        <v>0</v>
      </c>
      <c r="I27" s="124"/>
    </row>
    <row r="28" spans="1:9" x14ac:dyDescent="0.2">
      <c r="A28" s="1" t="s">
        <v>157</v>
      </c>
      <c r="B28" s="6">
        <v>470</v>
      </c>
      <c r="C28" s="95">
        <f>'DOE25'!F29</f>
        <v>0</v>
      </c>
      <c r="D28" s="95">
        <f>'DOE25'!G29</f>
        <v>0</v>
      </c>
      <c r="E28" s="95">
        <f>'DOE25'!H29</f>
        <v>0</v>
      </c>
      <c r="F28" s="95">
        <f>'DOE25'!I29</f>
        <v>0</v>
      </c>
      <c r="G28" s="24" t="s">
        <v>288</v>
      </c>
      <c r="H28" s="124">
        <f t="shared" si="1"/>
        <v>0</v>
      </c>
      <c r="I28" s="124"/>
    </row>
    <row r="29" spans="1:9" x14ac:dyDescent="0.2">
      <c r="A29" s="1" t="s">
        <v>158</v>
      </c>
      <c r="B29" s="6">
        <v>480</v>
      </c>
      <c r="C29" s="95">
        <f>'DOE25'!F30</f>
        <v>22050</v>
      </c>
      <c r="D29" s="95">
        <f>'DOE25'!G30</f>
        <v>16426</v>
      </c>
      <c r="E29" s="95">
        <f>'DOE25'!H30</f>
        <v>0</v>
      </c>
      <c r="F29" s="95">
        <f>'DOE25'!I30</f>
        <v>0</v>
      </c>
      <c r="G29" s="24" t="s">
        <v>288</v>
      </c>
      <c r="H29" s="124">
        <f t="shared" si="1"/>
        <v>38476</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762104</v>
      </c>
      <c r="D31" s="41">
        <f>SUM(D21:D30)</f>
        <v>16426</v>
      </c>
      <c r="E31" s="41">
        <f>SUM(E21:E30)</f>
        <v>241773</v>
      </c>
      <c r="F31" s="41">
        <f>SUM(F21:F30)</f>
        <v>0</v>
      </c>
      <c r="G31" s="41">
        <f>SUM(G21:G30)</f>
        <v>0</v>
      </c>
      <c r="H31" s="41">
        <f t="shared" si="1"/>
        <v>1020303</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142172</v>
      </c>
      <c r="E39" s="24" t="s">
        <v>288</v>
      </c>
      <c r="F39" s="24" t="s">
        <v>288</v>
      </c>
      <c r="G39" s="24" t="s">
        <v>288</v>
      </c>
      <c r="H39" s="124">
        <f t="shared" si="2"/>
        <v>142172</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1161413</v>
      </c>
      <c r="H42" s="124">
        <f t="shared" si="2"/>
        <v>1161413</v>
      </c>
      <c r="I42" s="124"/>
    </row>
    <row r="43" spans="1:9" x14ac:dyDescent="0.2">
      <c r="A43" s="1" t="s">
        <v>863</v>
      </c>
      <c r="B43" s="6">
        <v>755</v>
      </c>
      <c r="C43" s="95">
        <f>'DOE25'!F44</f>
        <v>292500</v>
      </c>
      <c r="D43" s="95">
        <f>'DOE25'!G44</f>
        <v>0</v>
      </c>
      <c r="E43" s="95">
        <f>'DOE25'!H44</f>
        <v>0</v>
      </c>
      <c r="F43" s="95">
        <f>'DOE25'!I44</f>
        <v>0</v>
      </c>
      <c r="G43" s="24" t="s">
        <v>288</v>
      </c>
      <c r="H43" s="124">
        <f t="shared" si="2"/>
        <v>292500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476991</v>
      </c>
      <c r="D45" s="24" t="s">
        <v>288</v>
      </c>
      <c r="E45" s="24" t="s">
        <v>288</v>
      </c>
      <c r="F45" s="24" t="s">
        <v>288</v>
      </c>
      <c r="G45" s="24" t="s">
        <v>288</v>
      </c>
      <c r="H45" s="124">
        <f t="shared" si="2"/>
        <v>476991</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0</v>
      </c>
      <c r="F47" s="95">
        <f>'DOE25'!I48</f>
        <v>0</v>
      </c>
      <c r="G47" s="95">
        <f>'DOE25'!J48</f>
        <v>0</v>
      </c>
      <c r="H47" s="124">
        <f t="shared" si="2"/>
        <v>0</v>
      </c>
      <c r="I47" s="124"/>
    </row>
    <row r="48" spans="1:9" x14ac:dyDescent="0.2">
      <c r="A48" s="1" t="s">
        <v>882</v>
      </c>
      <c r="B48" s="6">
        <v>753</v>
      </c>
      <c r="C48" s="95">
        <f>'DOE25'!F49</f>
        <v>0</v>
      </c>
      <c r="D48" s="95">
        <f>'DOE25'!G49</f>
        <v>0</v>
      </c>
      <c r="E48" s="95">
        <f>'DOE25'!H49</f>
        <v>0</v>
      </c>
      <c r="F48" s="95">
        <f>'DOE25'!I49</f>
        <v>0</v>
      </c>
      <c r="G48" s="95">
        <f>'DOE25'!J49</f>
        <v>0</v>
      </c>
      <c r="H48" s="124">
        <f t="shared" si="2"/>
        <v>0</v>
      </c>
      <c r="I48" s="124"/>
    </row>
    <row r="49" spans="1:9" ht="12" thickBot="1" x14ac:dyDescent="0.25">
      <c r="A49" s="29" t="s">
        <v>883</v>
      </c>
      <c r="B49" s="71">
        <v>770</v>
      </c>
      <c r="C49" s="95">
        <f>'DOE25'!F50</f>
        <v>1955978</v>
      </c>
      <c r="D49" s="24" t="s">
        <v>288</v>
      </c>
      <c r="E49" s="24" t="s">
        <v>288</v>
      </c>
      <c r="F49" s="24" t="s">
        <v>288</v>
      </c>
      <c r="G49" s="24" t="s">
        <v>288</v>
      </c>
      <c r="H49" s="124">
        <f t="shared" si="2"/>
        <v>1955978</v>
      </c>
      <c r="I49" s="124"/>
    </row>
    <row r="50" spans="1:9" ht="12.75" thickTop="1" thickBot="1" x14ac:dyDescent="0.25">
      <c r="A50" s="38" t="s">
        <v>884</v>
      </c>
      <c r="B50" s="48"/>
      <c r="C50" s="41">
        <f>SUM(C34:C49)</f>
        <v>2725469</v>
      </c>
      <c r="D50" s="41">
        <f>SUM(D34:D49)</f>
        <v>142172</v>
      </c>
      <c r="E50" s="41">
        <f>SUM(E34:E49)</f>
        <v>0</v>
      </c>
      <c r="F50" s="41">
        <f>SUM(F34:F49)</f>
        <v>0</v>
      </c>
      <c r="G50" s="41">
        <f>SUM(G34:G49)</f>
        <v>1161413</v>
      </c>
      <c r="H50" s="41">
        <f t="shared" si="2"/>
        <v>4029054</v>
      </c>
      <c r="I50" s="124"/>
    </row>
    <row r="51" spans="1:9" ht="12" thickTop="1" x14ac:dyDescent="0.2">
      <c r="A51" s="38" t="s">
        <v>885</v>
      </c>
      <c r="B51" s="2"/>
      <c r="C51" s="41">
        <f>C50+C31</f>
        <v>3487573</v>
      </c>
      <c r="D51" s="41">
        <f>D50+D31</f>
        <v>158598</v>
      </c>
      <c r="E51" s="41">
        <f>E50+E31</f>
        <v>241773</v>
      </c>
      <c r="F51" s="41">
        <f>F50+F31</f>
        <v>0</v>
      </c>
      <c r="G51" s="41">
        <f>G50+G31</f>
        <v>1161413</v>
      </c>
      <c r="H51" s="41">
        <f t="shared" si="2"/>
        <v>5049357</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15217635</v>
      </c>
      <c r="D56" s="95">
        <f>'DOE25'!G60</f>
        <v>0</v>
      </c>
      <c r="E56" s="95">
        <f>'DOE25'!H60</f>
        <v>0</v>
      </c>
      <c r="F56" s="95">
        <f>'DOE25'!I60</f>
        <v>0</v>
      </c>
      <c r="G56" s="95">
        <f>'DOE25'!J60</f>
        <v>0</v>
      </c>
      <c r="H56" s="124">
        <f t="shared" ref="H56:H63" si="3">SUM(C56:G56)</f>
        <v>15217635</v>
      </c>
      <c r="I56"/>
    </row>
    <row r="57" spans="1:9" x14ac:dyDescent="0.2">
      <c r="A57" s="1" t="s">
        <v>164</v>
      </c>
      <c r="B57" s="6" t="s">
        <v>165</v>
      </c>
      <c r="C57" s="95">
        <f>'DOE25'!F79</f>
        <v>3441398</v>
      </c>
      <c r="D57" s="24" t="s">
        <v>288</v>
      </c>
      <c r="E57" s="95">
        <f>'DOE25'!H79</f>
        <v>0</v>
      </c>
      <c r="F57" s="24" t="s">
        <v>288</v>
      </c>
      <c r="G57" s="24" t="s">
        <v>288</v>
      </c>
      <c r="H57" s="124">
        <f t="shared" si="3"/>
        <v>3441398</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13541</v>
      </c>
      <c r="D59" s="95">
        <f>'DOE25'!G96</f>
        <v>0</v>
      </c>
      <c r="E59" s="95">
        <f>'DOE25'!H96</f>
        <v>0</v>
      </c>
      <c r="F59" s="95">
        <f>'DOE25'!I96</f>
        <v>0</v>
      </c>
      <c r="G59" s="95">
        <f>'DOE25'!J96</f>
        <v>1163</v>
      </c>
      <c r="H59" s="124">
        <f t="shared" si="3"/>
        <v>14704</v>
      </c>
      <c r="I59"/>
    </row>
    <row r="60" spans="1:9" x14ac:dyDescent="0.2">
      <c r="A60" s="1" t="s">
        <v>170</v>
      </c>
      <c r="B60" s="118" t="s">
        <v>171</v>
      </c>
      <c r="C60" s="24" t="s">
        <v>288</v>
      </c>
      <c r="D60" s="95">
        <f>'DOE25'!G97</f>
        <v>284894</v>
      </c>
      <c r="E60" s="24" t="s">
        <v>288</v>
      </c>
      <c r="F60" s="24" t="s">
        <v>288</v>
      </c>
      <c r="G60" s="24" t="s">
        <v>288</v>
      </c>
      <c r="H60" s="124">
        <f t="shared" si="3"/>
        <v>284894</v>
      </c>
      <c r="I60"/>
    </row>
    <row r="61" spans="1:9" ht="12" thickBot="1" x14ac:dyDescent="0.25">
      <c r="A61" s="1" t="s">
        <v>172</v>
      </c>
      <c r="B61" s="118" t="s">
        <v>173</v>
      </c>
      <c r="C61" s="95">
        <f>SUM('DOE25'!F98:F110)</f>
        <v>533387</v>
      </c>
      <c r="D61" s="95">
        <f>SUM('DOE25'!G98:G110)</f>
        <v>32104</v>
      </c>
      <c r="E61" s="95">
        <f>SUM('DOE25'!H98:H110)</f>
        <v>0</v>
      </c>
      <c r="F61" s="95">
        <f>SUM('DOE25'!I98:I110)</f>
        <v>0</v>
      </c>
      <c r="G61" s="95">
        <f>SUM('DOE25'!J98:J110)</f>
        <v>0</v>
      </c>
      <c r="H61" s="124">
        <f t="shared" si="3"/>
        <v>565491</v>
      </c>
      <c r="I61"/>
    </row>
    <row r="62" spans="1:9" ht="12.75" thickTop="1" thickBot="1" x14ac:dyDescent="0.25">
      <c r="A62" s="29" t="s">
        <v>174</v>
      </c>
      <c r="B62" s="6"/>
      <c r="C62" s="130">
        <f>SUM(C57:C61)</f>
        <v>3988326</v>
      </c>
      <c r="D62" s="130">
        <f>SUM(D57:D61)</f>
        <v>316998</v>
      </c>
      <c r="E62" s="130">
        <f>SUM(E57:E61)</f>
        <v>0</v>
      </c>
      <c r="F62" s="130">
        <f>SUM(F57:F61)</f>
        <v>0</v>
      </c>
      <c r="G62" s="130">
        <f>SUM(G57:G61)</f>
        <v>1163</v>
      </c>
      <c r="H62" s="124">
        <f t="shared" si="3"/>
        <v>4306487</v>
      </c>
      <c r="I62"/>
    </row>
    <row r="63" spans="1:9" ht="12" thickTop="1" x14ac:dyDescent="0.2">
      <c r="A63" s="29" t="s">
        <v>175</v>
      </c>
      <c r="B63" s="6"/>
      <c r="C63" s="22">
        <f>C56+C62</f>
        <v>19205961</v>
      </c>
      <c r="D63" s="22">
        <f>D56+D62</f>
        <v>316998</v>
      </c>
      <c r="E63" s="22">
        <f>E56+E62</f>
        <v>0</v>
      </c>
      <c r="F63" s="22">
        <f>F56+F62</f>
        <v>0</v>
      </c>
      <c r="G63" s="22">
        <f>G56+G62</f>
        <v>1163</v>
      </c>
      <c r="H63" s="124">
        <f t="shared" si="3"/>
        <v>19524122</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985351</v>
      </c>
      <c r="D66" s="24" t="s">
        <v>288</v>
      </c>
      <c r="E66" s="24" t="s">
        <v>288</v>
      </c>
      <c r="F66" s="24" t="s">
        <v>288</v>
      </c>
      <c r="G66" s="24" t="s">
        <v>288</v>
      </c>
      <c r="H66" s="124">
        <f t="shared" ref="H66:H81" si="4">SUM(C66:G66)</f>
        <v>985351</v>
      </c>
      <c r="I66"/>
    </row>
    <row r="67" spans="1:9" x14ac:dyDescent="0.2">
      <c r="A67" s="1" t="s">
        <v>770</v>
      </c>
      <c r="B67" s="6">
        <v>3112</v>
      </c>
      <c r="C67" s="95">
        <f>'DOE25'!F118</f>
        <v>3862024</v>
      </c>
      <c r="D67" s="24"/>
      <c r="E67" s="24"/>
      <c r="F67" s="24"/>
      <c r="G67" s="24"/>
      <c r="H67" s="124">
        <f t="shared" si="4"/>
        <v>3862024</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0</v>
      </c>
      <c r="D69" s="95">
        <f>'DOE25'!G120</f>
        <v>0</v>
      </c>
      <c r="E69" s="95">
        <f>'DOE25'!H120</f>
        <v>0</v>
      </c>
      <c r="F69" s="95">
        <f>'DOE25'!I120</f>
        <v>0</v>
      </c>
      <c r="G69" s="95">
        <f>'DOE25'!J120</f>
        <v>0</v>
      </c>
      <c r="H69" s="124">
        <f t="shared" si="4"/>
        <v>0</v>
      </c>
      <c r="I69"/>
    </row>
    <row r="70" spans="1:9" ht="12" thickTop="1" x14ac:dyDescent="0.2">
      <c r="A70" s="29" t="s">
        <v>252</v>
      </c>
      <c r="B70" s="2"/>
      <c r="C70" s="139">
        <f>SUM(C66:C69)</f>
        <v>4847375</v>
      </c>
      <c r="D70" s="139">
        <f>D69</f>
        <v>0</v>
      </c>
      <c r="E70" s="139">
        <f>E69</f>
        <v>0</v>
      </c>
      <c r="F70" s="139">
        <f>F69</f>
        <v>0</v>
      </c>
      <c r="G70" s="139">
        <f>G69</f>
        <v>0</v>
      </c>
      <c r="H70" s="124">
        <f t="shared" si="4"/>
        <v>4847375</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314594</v>
      </c>
      <c r="D72" s="24" t="s">
        <v>288</v>
      </c>
      <c r="E72" s="24" t="s">
        <v>288</v>
      </c>
      <c r="F72" s="95">
        <f>'DOE25'!I123</f>
        <v>0</v>
      </c>
      <c r="G72" s="24" t="s">
        <v>288</v>
      </c>
      <c r="H72" s="124">
        <f t="shared" si="4"/>
        <v>314594</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53781</v>
      </c>
      <c r="D75" s="24" t="s">
        <v>288</v>
      </c>
      <c r="E75" s="24" t="s">
        <v>288</v>
      </c>
      <c r="F75" s="24" t="s">
        <v>288</v>
      </c>
      <c r="G75" s="24" t="s">
        <v>288</v>
      </c>
      <c r="H75" s="124">
        <f t="shared" si="4"/>
        <v>53781</v>
      </c>
      <c r="I75"/>
    </row>
    <row r="76" spans="1:9" x14ac:dyDescent="0.2">
      <c r="A76" s="1" t="s">
        <v>257</v>
      </c>
      <c r="B76" s="6" t="s">
        <v>179</v>
      </c>
      <c r="C76" s="95">
        <f>SUM('DOE25'!F127:F130)</f>
        <v>9281</v>
      </c>
      <c r="D76" s="24" t="s">
        <v>288</v>
      </c>
      <c r="E76" s="95">
        <f>SUM('DOE25'!H127:H130)</f>
        <v>0</v>
      </c>
      <c r="F76" s="95">
        <f>SUM('DOE25'!I127:I130)</f>
        <v>0</v>
      </c>
      <c r="G76" s="24" t="s">
        <v>288</v>
      </c>
      <c r="H76" s="124">
        <f t="shared" si="4"/>
        <v>9281</v>
      </c>
      <c r="I76"/>
    </row>
    <row r="77" spans="1:9" ht="12" thickBot="1" x14ac:dyDescent="0.25">
      <c r="A77" s="1" t="s">
        <v>258</v>
      </c>
      <c r="B77" s="6" t="s">
        <v>180</v>
      </c>
      <c r="C77" s="95">
        <f>SUM('DOE25'!F131:F135)</f>
        <v>0</v>
      </c>
      <c r="D77" s="95">
        <f>SUM('DOE25'!G131:G135)</f>
        <v>7482</v>
      </c>
      <c r="E77" s="95">
        <f>SUM('DOE25'!H131:H135)</f>
        <v>0</v>
      </c>
      <c r="F77" s="95">
        <f>SUM('DOE25'!I131:I135)</f>
        <v>0</v>
      </c>
      <c r="G77" s="95">
        <f>SUM('DOE25'!J131:J135)</f>
        <v>0</v>
      </c>
      <c r="H77" s="124">
        <f t="shared" si="4"/>
        <v>7482</v>
      </c>
      <c r="I77"/>
    </row>
    <row r="78" spans="1:9" ht="12.75" thickTop="1" thickBot="1" x14ac:dyDescent="0.25">
      <c r="A78" s="29" t="s">
        <v>259</v>
      </c>
      <c r="B78" s="6"/>
      <c r="C78" s="130">
        <f>SUM(C72:C77)</f>
        <v>377656</v>
      </c>
      <c r="D78" s="130">
        <f>SUM(D72:D77)</f>
        <v>7482</v>
      </c>
      <c r="E78" s="130">
        <f>SUM(E72:E77)</f>
        <v>0</v>
      </c>
      <c r="F78" s="130">
        <f>SUM(F72:F77)</f>
        <v>0</v>
      </c>
      <c r="G78" s="130">
        <f>SUM(G72:G77)</f>
        <v>0</v>
      </c>
      <c r="H78" s="124">
        <f t="shared" si="4"/>
        <v>385138</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5225031</v>
      </c>
      <c r="D81" s="130">
        <f>SUM(D79:D80)+D78+D70</f>
        <v>7482</v>
      </c>
      <c r="E81" s="130">
        <f>SUM(E79:E80)+E78+E70</f>
        <v>0</v>
      </c>
      <c r="F81" s="130">
        <f>SUM(F79:F80)+F78+F70</f>
        <v>0</v>
      </c>
      <c r="G81" s="130">
        <f>SUM(G79:G80)+G78+G70</f>
        <v>0</v>
      </c>
      <c r="H81" s="130">
        <f t="shared" si="4"/>
        <v>5232513</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22333</v>
      </c>
      <c r="D87" s="24" t="s">
        <v>288</v>
      </c>
      <c r="E87" s="95">
        <f>SUM('DOE25'!H149:H152)</f>
        <v>0</v>
      </c>
      <c r="F87" s="95">
        <f>SUM('DOE25'!I149:I152)</f>
        <v>0</v>
      </c>
      <c r="G87" s="24" t="s">
        <v>288</v>
      </c>
      <c r="H87" s="124">
        <f t="shared" si="5"/>
        <v>22333</v>
      </c>
    </row>
    <row r="88" spans="1:9" x14ac:dyDescent="0.2">
      <c r="A88" s="287" t="s">
        <v>747</v>
      </c>
      <c r="B88" s="325" t="s">
        <v>184</v>
      </c>
      <c r="C88" s="326">
        <f>SUM('DOE25'!F153:F162)</f>
        <v>0</v>
      </c>
      <c r="D88" s="326">
        <f>SUM('DOE25'!G153:G162)</f>
        <v>114412</v>
      </c>
      <c r="E88" s="326">
        <f>SUM('DOE25'!H153:H162)</f>
        <v>964635</v>
      </c>
      <c r="F88" s="326">
        <f>SUM('DOE25'!I153:I162)</f>
        <v>0</v>
      </c>
      <c r="G88" s="24" t="s">
        <v>288</v>
      </c>
      <c r="H88" s="124">
        <f t="shared" si="5"/>
        <v>1079047</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22333</v>
      </c>
      <c r="D91" s="131">
        <f>SUM(D85:D90)</f>
        <v>114412</v>
      </c>
      <c r="E91" s="131">
        <f>SUM(E85:E90)</f>
        <v>964635</v>
      </c>
      <c r="F91" s="131">
        <f>SUM(F85:F90)</f>
        <v>0</v>
      </c>
      <c r="G91" s="24" t="s">
        <v>288</v>
      </c>
      <c r="H91" s="124">
        <f t="shared" si="5"/>
        <v>1101380</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156734</v>
      </c>
      <c r="E96" s="95">
        <f>'DOE25'!H180</f>
        <v>0</v>
      </c>
      <c r="F96" s="95">
        <f>'DOE25'!I180</f>
        <v>0</v>
      </c>
      <c r="G96" s="95">
        <f>'DOE25'!J180</f>
        <v>292500</v>
      </c>
      <c r="H96" s="124">
        <f t="shared" si="5"/>
        <v>449234</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161285</v>
      </c>
      <c r="D100" s="95">
        <f>SUM('DOE25'!G187:G188)</f>
        <v>0</v>
      </c>
      <c r="E100" s="95">
        <f>SUM('DOE25'!H187:H188)</f>
        <v>0</v>
      </c>
      <c r="F100" s="95">
        <f>SUM('DOE25'!I187:I188)</f>
        <v>0</v>
      </c>
      <c r="G100" s="24" t="s">
        <v>288</v>
      </c>
      <c r="H100" s="124">
        <f t="shared" si="5"/>
        <v>161285</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161285</v>
      </c>
      <c r="D103" s="86">
        <f>SUM(D93:D102)</f>
        <v>156734</v>
      </c>
      <c r="E103" s="86">
        <f>SUM(E93:E102)</f>
        <v>0</v>
      </c>
      <c r="F103" s="86">
        <f>SUM(F93:F102)</f>
        <v>0</v>
      </c>
      <c r="G103" s="86">
        <f>SUM(G93:G102)</f>
        <v>292500</v>
      </c>
      <c r="H103" s="86">
        <f t="shared" si="5"/>
        <v>610519</v>
      </c>
    </row>
    <row r="104" spans="1:8" ht="12.75" thickTop="1" thickBot="1" x14ac:dyDescent="0.25">
      <c r="A104" s="33" t="s">
        <v>761</v>
      </c>
      <c r="C104" s="86">
        <f>C63+C81+C91+C103</f>
        <v>24614610</v>
      </c>
      <c r="D104" s="86">
        <f>D63+D81+D91+D103</f>
        <v>595626</v>
      </c>
      <c r="E104" s="86">
        <f>E63+E81+E91+E103</f>
        <v>964635</v>
      </c>
      <c r="F104" s="86">
        <f>F63+F81+F91+F103</f>
        <v>0</v>
      </c>
      <c r="G104" s="86">
        <f>G63+G81+G103</f>
        <v>293663</v>
      </c>
      <c r="H104" s="86">
        <f t="shared" si="5"/>
        <v>26468534</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10198633</v>
      </c>
      <c r="D109" s="24" t="s">
        <v>288</v>
      </c>
      <c r="E109" s="95">
        <f>('DOE25'!L277)+('DOE25'!L296)+('DOE25'!L315)</f>
        <v>334953</v>
      </c>
      <c r="F109" s="24" t="s">
        <v>288</v>
      </c>
      <c r="G109" s="24" t="s">
        <v>288</v>
      </c>
      <c r="H109" s="124">
        <f t="shared" ref="H109:H115" si="6">SUM(C109:G109)</f>
        <v>10533586</v>
      </c>
    </row>
    <row r="110" spans="1:8" x14ac:dyDescent="0.2">
      <c r="A110" t="s">
        <v>198</v>
      </c>
      <c r="B110" s="32" t="s">
        <v>199</v>
      </c>
      <c r="C110" s="95">
        <f>('DOE25'!L199)+('DOE25'!L217)+('DOE25'!L235)</f>
        <v>3320359</v>
      </c>
      <c r="D110" s="24" t="s">
        <v>288</v>
      </c>
      <c r="E110" s="95">
        <f>('DOE25'!L278)+('DOE25'!L297)+('DOE25'!L316)</f>
        <v>283979</v>
      </c>
      <c r="F110" s="24" t="s">
        <v>288</v>
      </c>
      <c r="G110" s="24" t="s">
        <v>288</v>
      </c>
      <c r="H110" s="124">
        <f t="shared" si="6"/>
        <v>3604338</v>
      </c>
    </row>
    <row r="111" spans="1:8" x14ac:dyDescent="0.2">
      <c r="A111" t="s">
        <v>200</v>
      </c>
      <c r="B111" s="32" t="s">
        <v>165</v>
      </c>
      <c r="C111" s="95">
        <f>('DOE25'!L200)+('DOE25'!L218)+('DOE25'!L236)</f>
        <v>275578</v>
      </c>
      <c r="D111" s="24" t="s">
        <v>288</v>
      </c>
      <c r="E111" s="95">
        <f>('DOE25'!L279)+('DOE25'!L298)+('DOE25'!L317)</f>
        <v>0</v>
      </c>
      <c r="F111" s="24" t="s">
        <v>288</v>
      </c>
      <c r="G111" s="24" t="s">
        <v>288</v>
      </c>
      <c r="H111" s="124">
        <f t="shared" si="6"/>
        <v>275578</v>
      </c>
    </row>
    <row r="112" spans="1:8" x14ac:dyDescent="0.2">
      <c r="A112" t="s">
        <v>201</v>
      </c>
      <c r="B112" s="32" t="s">
        <v>167</v>
      </c>
      <c r="C112" s="95">
        <f>('DOE25'!L201)+('DOE25'!L219)+('DOE25'!L237)</f>
        <v>691265</v>
      </c>
      <c r="D112" s="24" t="s">
        <v>288</v>
      </c>
      <c r="E112" s="95">
        <f>+('DOE25'!L280)+('DOE25'!L299)+('DOE25'!L318)</f>
        <v>27349</v>
      </c>
      <c r="F112" s="24" t="s">
        <v>288</v>
      </c>
      <c r="G112" s="24" t="s">
        <v>288</v>
      </c>
      <c r="H112" s="124">
        <f t="shared" si="6"/>
        <v>718614</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14485835</v>
      </c>
      <c r="D115" s="86">
        <f>SUM(D109:D114)</f>
        <v>0</v>
      </c>
      <c r="E115" s="86">
        <f>SUM(E109:E114)</f>
        <v>646281</v>
      </c>
      <c r="F115" s="86">
        <f>SUM(F109:F114)</f>
        <v>0</v>
      </c>
      <c r="G115" s="86">
        <f>SUM(G109:G114)</f>
        <v>0</v>
      </c>
      <c r="H115" s="86">
        <f t="shared" si="6"/>
        <v>15132116</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1270495</v>
      </c>
      <c r="D118" s="24" t="s">
        <v>288</v>
      </c>
      <c r="E118" s="95">
        <f>+('DOE25'!L282)+('DOE25'!L301)+('DOE25'!L320)</f>
        <v>31291</v>
      </c>
      <c r="F118" s="24" t="s">
        <v>288</v>
      </c>
      <c r="G118" s="24" t="s">
        <v>288</v>
      </c>
      <c r="H118" s="124">
        <f t="shared" ref="H118:H145" si="7">SUM(C118:G118)</f>
        <v>1301786</v>
      </c>
    </row>
    <row r="119" spans="1:8" x14ac:dyDescent="0.2">
      <c r="A119" t="s">
        <v>208</v>
      </c>
      <c r="B119" s="32" t="s">
        <v>209</v>
      </c>
      <c r="C119" s="95">
        <f>('DOE25'!L204)+('DOE25'!L222)+('DOE25'!L240)</f>
        <v>1186261</v>
      </c>
      <c r="D119" s="24" t="s">
        <v>288</v>
      </c>
      <c r="E119" s="95">
        <f>+('DOE25'!L283)+('DOE25'!L302)+('DOE25'!L321)</f>
        <v>115693</v>
      </c>
      <c r="F119" s="24" t="s">
        <v>288</v>
      </c>
      <c r="G119" s="24" t="s">
        <v>288</v>
      </c>
      <c r="H119" s="124">
        <f t="shared" si="7"/>
        <v>1301954</v>
      </c>
    </row>
    <row r="120" spans="1:8" x14ac:dyDescent="0.2">
      <c r="A120" t="s">
        <v>210</v>
      </c>
      <c r="B120" s="32" t="s">
        <v>211</v>
      </c>
      <c r="C120" s="95">
        <f>('DOE25'!L205)+('DOE25'!L223)+('DOE25'!L241)</f>
        <v>485792</v>
      </c>
      <c r="D120" s="24" t="s">
        <v>288</v>
      </c>
      <c r="E120" s="95">
        <f>+('DOE25'!L284)+('DOE25'!L303)+('DOE25'!L322)</f>
        <v>9489</v>
      </c>
      <c r="F120" s="24" t="s">
        <v>288</v>
      </c>
      <c r="G120" s="24" t="s">
        <v>288</v>
      </c>
      <c r="H120" s="124">
        <f t="shared" si="7"/>
        <v>495281</v>
      </c>
    </row>
    <row r="121" spans="1:8" x14ac:dyDescent="0.2">
      <c r="A121" t="s">
        <v>212</v>
      </c>
      <c r="B121" s="32" t="s">
        <v>213</v>
      </c>
      <c r="C121" s="95">
        <f>('DOE25'!L206)+('DOE25'!L224)+('DOE25'!L242)</f>
        <v>1788334</v>
      </c>
      <c r="D121" s="24" t="s">
        <v>288</v>
      </c>
      <c r="E121" s="95">
        <f>+('DOE25'!L285)+('DOE25'!L304)+('DOE25'!L323)</f>
        <v>10000</v>
      </c>
      <c r="F121" s="24" t="s">
        <v>288</v>
      </c>
      <c r="G121" s="24" t="s">
        <v>288</v>
      </c>
      <c r="H121" s="124">
        <f t="shared" si="7"/>
        <v>1798334</v>
      </c>
    </row>
    <row r="122" spans="1:8" x14ac:dyDescent="0.2">
      <c r="A122" t="s">
        <v>214</v>
      </c>
      <c r="B122" s="32" t="s">
        <v>215</v>
      </c>
      <c r="C122" s="95">
        <f>('DOE25'!L207)+('DOE25'!L225)+('DOE25'!L243)</f>
        <v>456128</v>
      </c>
      <c r="D122" s="24" t="s">
        <v>288</v>
      </c>
      <c r="E122" s="95">
        <f>+('DOE25'!L286)+('DOE25'!L305)+('DOE25'!L324)</f>
        <v>21005</v>
      </c>
      <c r="F122" s="24" t="s">
        <v>288</v>
      </c>
      <c r="G122" s="24" t="s">
        <v>288</v>
      </c>
      <c r="H122" s="124">
        <f t="shared" si="7"/>
        <v>477133</v>
      </c>
    </row>
    <row r="123" spans="1:8" x14ac:dyDescent="0.2">
      <c r="A123" t="s">
        <v>216</v>
      </c>
      <c r="B123" s="32" t="s">
        <v>217</v>
      </c>
      <c r="C123" s="95">
        <f>('DOE25'!L208)+('DOE25'!L226)+('DOE25'!L244)</f>
        <v>2565652</v>
      </c>
      <c r="D123" s="24" t="s">
        <v>288</v>
      </c>
      <c r="E123" s="95">
        <f>+('DOE25'!L287)+('DOE25'!L306)+('DOE25'!L325)</f>
        <v>116409</v>
      </c>
      <c r="F123" s="24" t="s">
        <v>288</v>
      </c>
      <c r="G123" s="24" t="s">
        <v>288</v>
      </c>
      <c r="H123" s="124">
        <f t="shared" si="7"/>
        <v>2682061</v>
      </c>
    </row>
    <row r="124" spans="1:8" x14ac:dyDescent="0.2">
      <c r="A124" t="s">
        <v>218</v>
      </c>
      <c r="B124" s="32" t="s">
        <v>219</v>
      </c>
      <c r="C124" s="95">
        <f>('DOE25'!L209)+('DOE25'!L227)+('DOE25'!L245+'DOE25'!L255)</f>
        <v>681246</v>
      </c>
      <c r="D124" s="24" t="s">
        <v>288</v>
      </c>
      <c r="E124" s="95">
        <f>+('DOE25'!L288)+('DOE25'!L307)+('DOE25'!L326)</f>
        <v>7844</v>
      </c>
      <c r="F124" s="24" t="s">
        <v>288</v>
      </c>
      <c r="G124" s="24" t="s">
        <v>288</v>
      </c>
      <c r="H124" s="124">
        <f t="shared" si="7"/>
        <v>689090</v>
      </c>
    </row>
    <row r="125" spans="1:8" x14ac:dyDescent="0.2">
      <c r="A125" t="s">
        <v>220</v>
      </c>
      <c r="B125" s="32" t="s">
        <v>221</v>
      </c>
      <c r="C125" s="95">
        <f>('DOE25'!L210)+('DOE25'!L228)+('DOE25'!L246)</f>
        <v>0</v>
      </c>
      <c r="D125" s="24" t="s">
        <v>288</v>
      </c>
      <c r="E125" s="95">
        <f>+('DOE25'!L289)+('DOE25'!L308)+('DOE25'!L327)</f>
        <v>6627</v>
      </c>
      <c r="F125" s="24" t="s">
        <v>288</v>
      </c>
      <c r="G125" s="24" t="s">
        <v>288</v>
      </c>
      <c r="H125" s="124">
        <f t="shared" si="7"/>
        <v>6627</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521404</v>
      </c>
      <c r="E127" s="24" t="s">
        <v>288</v>
      </c>
      <c r="F127" s="24" t="s">
        <v>288</v>
      </c>
      <c r="G127" s="24" t="s">
        <v>288</v>
      </c>
      <c r="H127" s="124">
        <f t="shared" si="7"/>
        <v>521404</v>
      </c>
    </row>
    <row r="128" spans="1:8" ht="12.75" thickTop="1" thickBot="1" x14ac:dyDescent="0.25">
      <c r="A128" s="33" t="s">
        <v>226</v>
      </c>
      <c r="C128" s="86">
        <f>SUM(C118:C127)</f>
        <v>8433908</v>
      </c>
      <c r="D128" s="86">
        <f>SUM(D118:D127)</f>
        <v>521404</v>
      </c>
      <c r="E128" s="86">
        <f>SUM(E118:E127)</f>
        <v>318358</v>
      </c>
      <c r="F128" s="86">
        <f>SUM(F118:F127)</f>
        <v>0</v>
      </c>
      <c r="G128" s="86">
        <f>SUM(G118:G127)</f>
        <v>0</v>
      </c>
      <c r="H128" s="86">
        <f t="shared" si="7"/>
        <v>9273670</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0</v>
      </c>
      <c r="F130" s="129">
        <f>SUM('DOE25'!L375:'DOE25'!L381)</f>
        <v>0</v>
      </c>
      <c r="G130" s="24" t="s">
        <v>288</v>
      </c>
      <c r="H130" s="124">
        <f t="shared" si="7"/>
        <v>0</v>
      </c>
    </row>
    <row r="131" spans="1:8" x14ac:dyDescent="0.2">
      <c r="A131" t="s">
        <v>229</v>
      </c>
      <c r="B131" s="32">
        <v>5110</v>
      </c>
      <c r="C131" s="95">
        <f>'DOE25'!L261</f>
        <v>985000</v>
      </c>
      <c r="D131" s="24" t="s">
        <v>288</v>
      </c>
      <c r="E131" s="129">
        <f>'DOE25'!L342</f>
        <v>0</v>
      </c>
      <c r="F131" s="24" t="s">
        <v>288</v>
      </c>
      <c r="G131" s="24" t="s">
        <v>288</v>
      </c>
      <c r="H131" s="124">
        <f t="shared" si="7"/>
        <v>985000</v>
      </c>
    </row>
    <row r="132" spans="1:8" x14ac:dyDescent="0.2">
      <c r="A132" t="s">
        <v>230</v>
      </c>
      <c r="B132" s="32">
        <v>5120</v>
      </c>
      <c r="C132" s="95">
        <f>'DOE25'!L262</f>
        <v>116667</v>
      </c>
      <c r="D132" s="24" t="s">
        <v>288</v>
      </c>
      <c r="E132" s="129">
        <f>'DOE25'!L343</f>
        <v>0</v>
      </c>
      <c r="F132" s="24" t="s">
        <v>288</v>
      </c>
      <c r="G132" s="24" t="s">
        <v>288</v>
      </c>
      <c r="H132" s="124">
        <f t="shared" si="7"/>
        <v>116667</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156734</v>
      </c>
      <c r="D135" s="24" t="s">
        <v>288</v>
      </c>
      <c r="E135" s="129">
        <f>'DOE25'!L346</f>
        <v>0</v>
      </c>
      <c r="F135" s="24" t="s">
        <v>288</v>
      </c>
      <c r="G135" s="24" t="s">
        <v>288</v>
      </c>
      <c r="H135" s="124">
        <f t="shared" si="7"/>
        <v>156734</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0</v>
      </c>
      <c r="D138" s="24" t="s">
        <v>288</v>
      </c>
      <c r="E138" s="24" t="s">
        <v>288</v>
      </c>
      <c r="F138" s="24" t="s">
        <v>288</v>
      </c>
      <c r="G138" s="24" t="s">
        <v>288</v>
      </c>
      <c r="H138" s="124">
        <f t="shared" si="7"/>
        <v>0</v>
      </c>
    </row>
    <row r="139" spans="1:8" x14ac:dyDescent="0.2">
      <c r="A139" t="s">
        <v>239</v>
      </c>
      <c r="B139" s="32">
        <v>5252</v>
      </c>
      <c r="C139" s="95">
        <f>'DOE25'!L402</f>
        <v>293663</v>
      </c>
      <c r="D139" s="24" t="s">
        <v>288</v>
      </c>
      <c r="E139" s="24" t="s">
        <v>288</v>
      </c>
      <c r="F139" s="24" t="s">
        <v>288</v>
      </c>
      <c r="G139" s="24" t="s">
        <v>288</v>
      </c>
      <c r="H139" s="124">
        <f t="shared" si="7"/>
        <v>293663</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-1163</v>
      </c>
      <c r="D141" s="24" t="s">
        <v>288</v>
      </c>
      <c r="E141" s="24" t="s">
        <v>288</v>
      </c>
      <c r="F141" s="24" t="s">
        <v>288</v>
      </c>
      <c r="G141" s="24" t="s">
        <v>288</v>
      </c>
      <c r="H141" s="124">
        <f t="shared" si="7"/>
        <v>-1163</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1550901</v>
      </c>
      <c r="D144" s="141">
        <f>SUM(D130:D143)</f>
        <v>0</v>
      </c>
      <c r="E144" s="141">
        <f>SUM(E130:E143)</f>
        <v>0</v>
      </c>
      <c r="F144" s="141">
        <f>SUM(F130:F143)</f>
        <v>0</v>
      </c>
      <c r="G144" s="141">
        <f>SUM(G130:G143)</f>
        <v>0</v>
      </c>
      <c r="H144" s="141">
        <f t="shared" si="7"/>
        <v>1550901</v>
      </c>
    </row>
    <row r="145" spans="1:9" ht="12.75" thickTop="1" thickBot="1" x14ac:dyDescent="0.25">
      <c r="A145" s="33" t="s">
        <v>244</v>
      </c>
      <c r="C145" s="86">
        <f>(C115+C128+C144)</f>
        <v>24470644</v>
      </c>
      <c r="D145" s="86">
        <f>(D115+D128+D144)</f>
        <v>521404</v>
      </c>
      <c r="E145" s="86">
        <f>(E115+E128+E144)</f>
        <v>964639</v>
      </c>
      <c r="F145" s="86">
        <f>(F115+F128+F144)</f>
        <v>0</v>
      </c>
      <c r="G145" s="86">
        <f>(G115+G128+G144)</f>
        <v>0</v>
      </c>
      <c r="H145" s="86">
        <f t="shared" si="7"/>
        <v>25956687</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15</v>
      </c>
      <c r="D151" s="153">
        <f>'DOE25'!H491</f>
        <v>0</v>
      </c>
      <c r="E151" s="153">
        <f>'DOE25'!I491</f>
        <v>0</v>
      </c>
      <c r="F151" s="153">
        <f>'DOE25'!J491</f>
        <v>0</v>
      </c>
      <c r="G151" s="24" t="s">
        <v>288</v>
      </c>
    </row>
    <row r="152" spans="1:9" x14ac:dyDescent="0.2">
      <c r="A152" s="136" t="s">
        <v>28</v>
      </c>
      <c r="B152" s="152" t="str">
        <f>'DOE25'!F492</f>
        <v>08/15/02</v>
      </c>
      <c r="C152" s="152" t="str">
        <f>'DOE25'!G492</f>
        <v>08/15/2016</v>
      </c>
      <c r="D152" s="152">
        <f>'DOE25'!H492</f>
        <v>0</v>
      </c>
      <c r="E152" s="152">
        <f>'DOE25'!I492</f>
        <v>0</v>
      </c>
      <c r="F152" s="152">
        <f>'DOE25'!J492</f>
        <v>0</v>
      </c>
      <c r="G152" s="24" t="s">
        <v>288</v>
      </c>
    </row>
    <row r="153" spans="1:9" x14ac:dyDescent="0.2">
      <c r="A153" s="136" t="s">
        <v>29</v>
      </c>
      <c r="B153" s="152" t="str">
        <f>'DOE25'!F493</f>
        <v>08/22</v>
      </c>
      <c r="C153" s="152" t="str">
        <f>'DOE25'!G493</f>
        <v>08/31</v>
      </c>
      <c r="D153" s="152">
        <f>'DOE25'!H493</f>
        <v>0</v>
      </c>
      <c r="E153" s="152">
        <f>'DOE25'!I493</f>
        <v>0</v>
      </c>
      <c r="F153" s="152">
        <f>'DOE25'!J493</f>
        <v>0</v>
      </c>
      <c r="G153" s="24" t="s">
        <v>288</v>
      </c>
    </row>
    <row r="154" spans="1:9" x14ac:dyDescent="0.2">
      <c r="A154" s="136" t="s">
        <v>30</v>
      </c>
      <c r="B154" s="137">
        <f>'DOE25'!F494</f>
        <v>16997033</v>
      </c>
      <c r="C154" s="137">
        <f>'DOE25'!G494</f>
        <v>2005600</v>
      </c>
      <c r="D154" s="137">
        <f>'DOE25'!H494</f>
        <v>0</v>
      </c>
      <c r="E154" s="137">
        <f>'DOE25'!I494</f>
        <v>0</v>
      </c>
      <c r="F154" s="137">
        <f>'DOE25'!J494</f>
        <v>0</v>
      </c>
      <c r="G154" s="24" t="s">
        <v>288</v>
      </c>
    </row>
    <row r="155" spans="1:9" x14ac:dyDescent="0.2">
      <c r="A155" s="136" t="s">
        <v>31</v>
      </c>
      <c r="B155" s="137">
        <f>'DOE25'!F495</f>
        <v>4.45</v>
      </c>
      <c r="C155" s="137">
        <f>'DOE25'!G495</f>
        <v>2.16</v>
      </c>
      <c r="D155" s="137">
        <f>'DOE25'!H495</f>
        <v>0</v>
      </c>
      <c r="E155" s="137">
        <f>'DOE25'!I495</f>
        <v>0</v>
      </c>
      <c r="F155" s="137">
        <f>'DOE25'!J495</f>
        <v>0</v>
      </c>
      <c r="G155" s="24" t="s">
        <v>288</v>
      </c>
    </row>
    <row r="156" spans="1:9" x14ac:dyDescent="0.2">
      <c r="A156" s="22" t="s">
        <v>32</v>
      </c>
      <c r="B156" s="137">
        <f>'DOE25'!F496</f>
        <v>1695000</v>
      </c>
      <c r="C156" s="137">
        <f>'DOE25'!G496</f>
        <v>1465000</v>
      </c>
      <c r="D156" s="137">
        <f>'DOE25'!H496</f>
        <v>0</v>
      </c>
      <c r="E156" s="137">
        <f>'DOE25'!I496</f>
        <v>0</v>
      </c>
      <c r="F156" s="137">
        <f>'DOE25'!J496</f>
        <v>0</v>
      </c>
      <c r="G156" s="138">
        <f>SUM(B156:F156)</f>
        <v>3160000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850000</v>
      </c>
      <c r="C158" s="137">
        <f>'DOE25'!G498</f>
        <v>135000</v>
      </c>
      <c r="D158" s="137">
        <f>'DOE25'!H498</f>
        <v>0</v>
      </c>
      <c r="E158" s="137">
        <f>'DOE25'!I498</f>
        <v>0</v>
      </c>
      <c r="F158" s="137">
        <f>'DOE25'!J498</f>
        <v>0</v>
      </c>
      <c r="G158" s="138">
        <f t="shared" si="8"/>
        <v>985000</v>
      </c>
    </row>
    <row r="159" spans="1:9" x14ac:dyDescent="0.2">
      <c r="A159" s="22" t="s">
        <v>35</v>
      </c>
      <c r="B159" s="137">
        <f>'DOE25'!F499</f>
        <v>845000</v>
      </c>
      <c r="C159" s="137">
        <f>'DOE25'!G499</f>
        <v>1300000</v>
      </c>
      <c r="D159" s="137">
        <f>'DOE25'!H499</f>
        <v>0</v>
      </c>
      <c r="E159" s="137">
        <f>'DOE25'!I499</f>
        <v>0</v>
      </c>
      <c r="F159" s="137">
        <f>'DOE25'!J499</f>
        <v>0</v>
      </c>
      <c r="G159" s="138">
        <f t="shared" si="8"/>
        <v>2145000</v>
      </c>
    </row>
    <row r="160" spans="1:9" x14ac:dyDescent="0.2">
      <c r="A160" s="22" t="s">
        <v>36</v>
      </c>
      <c r="B160" s="137">
        <f>'DOE25'!F500</f>
        <v>21125</v>
      </c>
      <c r="C160" s="137">
        <f>'DOE25'!G500</f>
        <v>309261.8</v>
      </c>
      <c r="D160" s="137">
        <f>'DOE25'!H500</f>
        <v>0</v>
      </c>
      <c r="E160" s="137">
        <f>'DOE25'!I500</f>
        <v>0</v>
      </c>
      <c r="F160" s="137">
        <f>'DOE25'!J500</f>
        <v>0</v>
      </c>
      <c r="G160" s="138">
        <f t="shared" si="8"/>
        <v>330386.8</v>
      </c>
    </row>
    <row r="161" spans="1:7" x14ac:dyDescent="0.2">
      <c r="A161" s="22" t="s">
        <v>37</v>
      </c>
      <c r="B161" s="137">
        <f>'DOE25'!F501</f>
        <v>866125</v>
      </c>
      <c r="C161" s="137">
        <f>'DOE25'!G501</f>
        <v>1609261.8</v>
      </c>
      <c r="D161" s="137">
        <f>'DOE25'!H501</f>
        <v>0</v>
      </c>
      <c r="E161" s="137">
        <f>'DOE25'!I501</f>
        <v>0</v>
      </c>
      <c r="F161" s="137">
        <f>'DOE25'!J501</f>
        <v>0</v>
      </c>
      <c r="G161" s="138">
        <f t="shared" si="8"/>
        <v>2475386.7999999998</v>
      </c>
    </row>
    <row r="162" spans="1:7" x14ac:dyDescent="0.2">
      <c r="A162" s="22" t="s">
        <v>38</v>
      </c>
      <c r="B162" s="137">
        <f>'DOE25'!F502</f>
        <v>845000</v>
      </c>
      <c r="C162" s="137">
        <f>'DOE25'!G502</f>
        <v>135000</v>
      </c>
      <c r="D162" s="137">
        <f>'DOE25'!H502</f>
        <v>0</v>
      </c>
      <c r="E162" s="137">
        <f>'DOE25'!I502</f>
        <v>0</v>
      </c>
      <c r="F162" s="137">
        <f>'DOE25'!J502</f>
        <v>0</v>
      </c>
      <c r="G162" s="138">
        <f t="shared" si="8"/>
        <v>980000</v>
      </c>
    </row>
    <row r="163" spans="1:7" x14ac:dyDescent="0.2">
      <c r="A163" s="22" t="s">
        <v>39</v>
      </c>
      <c r="B163" s="137">
        <f>'DOE25'!F503</f>
        <v>21125</v>
      </c>
      <c r="C163" s="137">
        <f>'DOE25'!G503</f>
        <v>46390</v>
      </c>
      <c r="D163" s="137">
        <f>'DOE25'!H503</f>
        <v>0</v>
      </c>
      <c r="E163" s="137">
        <f>'DOE25'!I503</f>
        <v>0</v>
      </c>
      <c r="F163" s="137">
        <f>'DOE25'!J503</f>
        <v>0</v>
      </c>
      <c r="G163" s="138">
        <f t="shared" si="8"/>
        <v>67515</v>
      </c>
    </row>
    <row r="164" spans="1:7" x14ac:dyDescent="0.2">
      <c r="A164" s="22" t="s">
        <v>246</v>
      </c>
      <c r="B164" s="137">
        <f>'DOE25'!F504</f>
        <v>866125</v>
      </c>
      <c r="C164" s="137">
        <f>'DOE25'!G504</f>
        <v>181390</v>
      </c>
      <c r="D164" s="137">
        <f>'DOE25'!H504</f>
        <v>0</v>
      </c>
      <c r="E164" s="137">
        <f>'DOE25'!I504</f>
        <v>0</v>
      </c>
      <c r="F164" s="137">
        <f>'DOE25'!J504</f>
        <v>0</v>
      </c>
      <c r="G164" s="138">
        <f t="shared" si="8"/>
        <v>1047515</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Gilford</v>
      </c>
    </row>
    <row r="3" spans="1:4" x14ac:dyDescent="0.2">
      <c r="B3" s="187" t="s">
        <v>1799</v>
      </c>
    </row>
    <row r="4" spans="1:4" x14ac:dyDescent="0.2">
      <c r="B4" t="s">
        <v>61</v>
      </c>
      <c r="C4" s="178">
        <f>IF('DOE25'!F666+'DOE25'!F671=0,0,ROUND('DOE25'!F673,0))</f>
        <v>22609</v>
      </c>
    </row>
    <row r="5" spans="1:4" x14ac:dyDescent="0.2">
      <c r="B5" t="s">
        <v>700</v>
      </c>
      <c r="C5" s="178">
        <f>IF('DOE25'!G666+'DOE25'!G671=0,0,ROUND('DOE25'!G673,0))</f>
        <v>20060</v>
      </c>
    </row>
    <row r="6" spans="1:4" x14ac:dyDescent="0.2">
      <c r="B6" t="s">
        <v>62</v>
      </c>
      <c r="C6" s="178">
        <f>IF('DOE25'!H666+'DOE25'!H671=0,0,ROUND('DOE25'!H673,0))</f>
        <v>19607</v>
      </c>
    </row>
    <row r="7" spans="1:4" x14ac:dyDescent="0.2">
      <c r="B7" t="s">
        <v>701</v>
      </c>
      <c r="C7" s="178">
        <f>IF('DOE25'!I666+'DOE25'!I671=0,0,ROUND('DOE25'!I673,0))</f>
        <v>20598</v>
      </c>
    </row>
    <row r="9" spans="1:4" x14ac:dyDescent="0.2">
      <c r="A9" s="186" t="s">
        <v>94</v>
      </c>
      <c r="B9" s="187" t="s">
        <v>1800</v>
      </c>
      <c r="C9" s="180" t="s">
        <v>720</v>
      </c>
      <c r="D9" s="180" t="s">
        <v>721</v>
      </c>
    </row>
    <row r="10" spans="1:4" x14ac:dyDescent="0.2">
      <c r="A10">
        <v>1100</v>
      </c>
      <c r="B10" t="s">
        <v>702</v>
      </c>
      <c r="C10" s="178">
        <f>ROUND('DOE25'!L198+'DOE25'!L216+'DOE25'!L234+'DOE25'!L277+'DOE25'!L296+'DOE25'!L315,0)</f>
        <v>10533586</v>
      </c>
      <c r="D10" s="181">
        <f>ROUND((C10/$C$28)*100,1)</f>
        <v>43.5</v>
      </c>
    </row>
    <row r="11" spans="1:4" x14ac:dyDescent="0.2">
      <c r="A11">
        <v>1200</v>
      </c>
      <c r="B11" t="s">
        <v>703</v>
      </c>
      <c r="C11" s="178">
        <f>ROUND('DOE25'!L199+'DOE25'!L217+'DOE25'!L235+'DOE25'!L278+'DOE25'!L297+'DOE25'!L316,0)</f>
        <v>3604338</v>
      </c>
      <c r="D11" s="181">
        <f>ROUND((C11/$C$28)*100,1)</f>
        <v>14.9</v>
      </c>
    </row>
    <row r="12" spans="1:4" x14ac:dyDescent="0.2">
      <c r="A12">
        <v>1300</v>
      </c>
      <c r="B12" t="s">
        <v>704</v>
      </c>
      <c r="C12" s="178">
        <f>ROUND('DOE25'!L200+'DOE25'!L218+'DOE25'!L236+'DOE25'!L279+'DOE25'!L298+'DOE25'!L317,0)</f>
        <v>275578</v>
      </c>
      <c r="D12" s="181">
        <f>ROUND((C12/$C$28)*100,1)</f>
        <v>1.1000000000000001</v>
      </c>
    </row>
    <row r="13" spans="1:4" x14ac:dyDescent="0.2">
      <c r="A13">
        <v>1400</v>
      </c>
      <c r="B13" t="s">
        <v>705</v>
      </c>
      <c r="C13" s="178">
        <f>ROUND('DOE25'!L201+'DOE25'!L219+'DOE25'!L237+'DOE25'!L280+'DOE25'!L299+'DOE25'!L318,0)</f>
        <v>718614</v>
      </c>
      <c r="D13" s="181">
        <f>ROUND((C13/$C$28)*100,1)</f>
        <v>3</v>
      </c>
    </row>
    <row r="14" spans="1:4" x14ac:dyDescent="0.2">
      <c r="D14" s="181"/>
    </row>
    <row r="15" spans="1:4" x14ac:dyDescent="0.2">
      <c r="A15">
        <v>2100</v>
      </c>
      <c r="B15" t="s">
        <v>706</v>
      </c>
      <c r="C15" s="178">
        <f>ROUND('DOE25'!L203+'DOE25'!L221+'DOE25'!L239+'DOE25'!L282+'DOE25'!L301+'DOE25'!L320,0)</f>
        <v>1301786</v>
      </c>
      <c r="D15" s="181">
        <f t="shared" ref="D15:D27" si="0">ROUND((C15/$C$28)*100,1)</f>
        <v>5.4</v>
      </c>
    </row>
    <row r="16" spans="1:4" x14ac:dyDescent="0.2">
      <c r="A16">
        <v>2200</v>
      </c>
      <c r="B16" t="s">
        <v>707</v>
      </c>
      <c r="C16" s="178">
        <f>ROUND('DOE25'!L204+'DOE25'!L222+'DOE25'!L240+'DOE25'!L283+'DOE25'!L302+'DOE25'!L321,0)</f>
        <v>1301954</v>
      </c>
      <c r="D16" s="181">
        <f t="shared" si="0"/>
        <v>5.4</v>
      </c>
    </row>
    <row r="17" spans="1:4" x14ac:dyDescent="0.2">
      <c r="A17" s="182" t="s">
        <v>723</v>
      </c>
      <c r="B17" t="s">
        <v>738</v>
      </c>
      <c r="C17" s="178">
        <f>ROUND('DOE25'!L205+'DOE25'!L210+'DOE25'!L223+'DOE25'!L228+'DOE25'!L241+'DOE25'!L246+'DOE25'!L284+'DOE25'!L289+'DOE25'!L303+'DOE25'!L308+'DOE25'!L322+'DOE25'!L327,0)</f>
        <v>501908</v>
      </c>
      <c r="D17" s="181">
        <f t="shared" si="0"/>
        <v>2.1</v>
      </c>
    </row>
    <row r="18" spans="1:4" x14ac:dyDescent="0.2">
      <c r="A18">
        <v>2400</v>
      </c>
      <c r="B18" t="s">
        <v>711</v>
      </c>
      <c r="C18" s="178">
        <f>ROUND('DOE25'!L206+'DOE25'!L224+'DOE25'!L242+'DOE25'!L285+'DOE25'!L304+'DOE25'!L323,0)</f>
        <v>1798334</v>
      </c>
      <c r="D18" s="181">
        <f t="shared" si="0"/>
        <v>7.4</v>
      </c>
    </row>
    <row r="19" spans="1:4" x14ac:dyDescent="0.2">
      <c r="A19">
        <v>2500</v>
      </c>
      <c r="B19" t="s">
        <v>708</v>
      </c>
      <c r="C19" s="178">
        <f>ROUND('DOE25'!L207+'DOE25'!L225+'DOE25'!L243+'DOE25'!L286+'DOE25'!L305+'DOE25'!L324,0)</f>
        <v>477133</v>
      </c>
      <c r="D19" s="181">
        <f t="shared" si="0"/>
        <v>2</v>
      </c>
    </row>
    <row r="20" spans="1:4" x14ac:dyDescent="0.2">
      <c r="A20">
        <v>2600</v>
      </c>
      <c r="B20" t="s">
        <v>709</v>
      </c>
      <c r="C20" s="178">
        <f>ROUND('DOE25'!L208+'DOE25'!L226+'DOE25'!L244+'DOE25'!L287+'DOE25'!L306+'DOE25'!L325,0)</f>
        <v>2682061</v>
      </c>
      <c r="D20" s="181">
        <f t="shared" si="0"/>
        <v>11.1</v>
      </c>
    </row>
    <row r="21" spans="1:4" x14ac:dyDescent="0.2">
      <c r="A21">
        <v>2700</v>
      </c>
      <c r="B21" t="s">
        <v>710</v>
      </c>
      <c r="C21" s="178">
        <f>ROUND('DOE25'!L209+'DOE25'!L227+'DOE25'!L245+'DOE25'!L288+'DOE25'!L307+'DOE25'!L326,0)</f>
        <v>689090</v>
      </c>
      <c r="D21" s="181">
        <f t="shared" si="0"/>
        <v>2.8</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116667</v>
      </c>
      <c r="D25" s="181">
        <f t="shared" si="0"/>
        <v>0.5</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204406</v>
      </c>
      <c r="D27" s="181">
        <f t="shared" si="0"/>
        <v>0.8</v>
      </c>
    </row>
    <row r="28" spans="1:4" x14ac:dyDescent="0.2">
      <c r="B28" s="186" t="s">
        <v>719</v>
      </c>
      <c r="C28" s="179">
        <f>SUM(C10:C27)</f>
        <v>24205455</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24205455</v>
      </c>
    </row>
    <row r="31" spans="1:4" x14ac:dyDescent="0.2">
      <c r="B31" s="33"/>
      <c r="C31" s="179"/>
    </row>
    <row r="32" spans="1:4" x14ac:dyDescent="0.2">
      <c r="A32">
        <v>5100</v>
      </c>
      <c r="B32" s="33" t="s">
        <v>726</v>
      </c>
      <c r="C32" s="179">
        <f>ROUND('DOE25'!L261+'DOE25'!L342,0)</f>
        <v>985000</v>
      </c>
    </row>
    <row r="34" spans="1:4" x14ac:dyDescent="0.2">
      <c r="A34" s="186" t="s">
        <v>94</v>
      </c>
      <c r="B34" s="187" t="s">
        <v>1801</v>
      </c>
      <c r="C34" s="180" t="s">
        <v>720</v>
      </c>
      <c r="D34" s="180" t="s">
        <v>721</v>
      </c>
    </row>
    <row r="35" spans="1:4" x14ac:dyDescent="0.2">
      <c r="A35">
        <v>1100</v>
      </c>
      <c r="B35" s="184" t="s">
        <v>727</v>
      </c>
      <c r="C35" s="178">
        <f>ROUND('DOE25'!F60+'DOE25'!G60+'DOE25'!H60+'DOE25'!I60+'DOE25'!J60,0)</f>
        <v>15217635</v>
      </c>
      <c r="D35" s="181">
        <f t="shared" ref="D35:D40" si="1">ROUND((C35/$C$41)*100,1)</f>
        <v>59.6</v>
      </c>
    </row>
    <row r="36" spans="1:4" x14ac:dyDescent="0.2">
      <c r="B36" s="184" t="s">
        <v>739</v>
      </c>
      <c r="C36" s="178">
        <f>SUM('DOE25'!F112:J112)-SUM('DOE25'!G97:G110)+('DOE25'!F175+'DOE25'!F176+'DOE25'!I175+'DOE25'!I176)-C35</f>
        <v>3989489</v>
      </c>
      <c r="D36" s="181">
        <f t="shared" si="1"/>
        <v>15.6</v>
      </c>
    </row>
    <row r="37" spans="1:4" x14ac:dyDescent="0.2">
      <c r="A37" s="182" t="s">
        <v>835</v>
      </c>
      <c r="B37" s="184" t="s">
        <v>728</v>
      </c>
      <c r="C37" s="178">
        <f>ROUND('DOE25'!F117+'DOE25'!F118,0)</f>
        <v>4847375</v>
      </c>
      <c r="D37" s="181">
        <f t="shared" si="1"/>
        <v>19</v>
      </c>
    </row>
    <row r="38" spans="1:4" x14ac:dyDescent="0.2">
      <c r="A38" s="182" t="s">
        <v>734</v>
      </c>
      <c r="B38" s="184" t="s">
        <v>729</v>
      </c>
      <c r="C38" s="178">
        <f>ROUND(SUM('DOE25'!F140:J140)-SUM('DOE25'!F117:F119),0)</f>
        <v>385138</v>
      </c>
      <c r="D38" s="181">
        <f t="shared" si="1"/>
        <v>1.5</v>
      </c>
    </row>
    <row r="39" spans="1:4" x14ac:dyDescent="0.2">
      <c r="A39">
        <v>4000</v>
      </c>
      <c r="B39" s="184" t="s">
        <v>730</v>
      </c>
      <c r="C39" s="178">
        <f>ROUND('DOE25'!F170+'DOE25'!G170+'DOE25'!H170+'DOE25'!I170,0)</f>
        <v>1101380</v>
      </c>
      <c r="D39" s="181">
        <f t="shared" si="1"/>
        <v>4.3</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25541017</v>
      </c>
      <c r="D41" s="183">
        <f>SUM(D35:D40)</f>
        <v>100</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6" t="s">
        <v>766</v>
      </c>
      <c r="B1" s="397"/>
      <c r="C1" s="397"/>
      <c r="D1" s="397"/>
      <c r="E1" s="397"/>
      <c r="F1" s="397"/>
      <c r="G1" s="397"/>
      <c r="H1" s="397"/>
      <c r="I1" s="397"/>
      <c r="J1" s="212"/>
      <c r="K1" s="212"/>
      <c r="L1" s="212"/>
      <c r="M1" s="213"/>
    </row>
    <row r="2" spans="1:26" ht="12.75" x14ac:dyDescent="0.2">
      <c r="A2" s="402" t="s">
        <v>763</v>
      </c>
      <c r="B2" s="403"/>
      <c r="C2" s="403"/>
      <c r="D2" s="403"/>
      <c r="E2" s="403"/>
      <c r="F2" s="400" t="str">
        <f>'DOE25'!A2</f>
        <v>Gilford</v>
      </c>
      <c r="G2" s="401"/>
      <c r="H2" s="401"/>
      <c r="I2" s="401"/>
      <c r="J2" s="52"/>
      <c r="K2" s="52"/>
      <c r="L2" s="52"/>
      <c r="M2" s="214"/>
    </row>
    <row r="3" spans="1:26" x14ac:dyDescent="0.2">
      <c r="A3" s="215" t="s">
        <v>764</v>
      </c>
      <c r="B3" s="216" t="s">
        <v>765</v>
      </c>
      <c r="C3" s="398" t="s">
        <v>767</v>
      </c>
      <c r="D3" s="398"/>
      <c r="E3" s="398"/>
      <c r="F3" s="398"/>
      <c r="G3" s="398"/>
      <c r="H3" s="398"/>
      <c r="I3" s="398"/>
      <c r="J3" s="398"/>
      <c r="K3" s="398"/>
      <c r="L3" s="398"/>
      <c r="M3" s="399"/>
    </row>
    <row r="4" spans="1:26" x14ac:dyDescent="0.2">
      <c r="A4" s="217"/>
      <c r="B4" s="218"/>
      <c r="C4" s="387"/>
      <c r="D4" s="387"/>
      <c r="E4" s="387"/>
      <c r="F4" s="387"/>
      <c r="G4" s="387"/>
      <c r="H4" s="387"/>
      <c r="I4" s="387"/>
      <c r="J4" s="387"/>
      <c r="K4" s="387"/>
      <c r="L4" s="387"/>
      <c r="M4" s="388"/>
      <c r="N4" s="126"/>
      <c r="O4" s="126"/>
      <c r="P4" s="126"/>
      <c r="Q4" s="126"/>
      <c r="R4" s="126"/>
      <c r="S4" s="126"/>
      <c r="T4" s="126"/>
      <c r="U4" s="126"/>
      <c r="V4" s="126"/>
      <c r="W4" s="126"/>
      <c r="X4" s="126"/>
      <c r="Y4" s="126"/>
      <c r="Z4" s="126"/>
    </row>
    <row r="5" spans="1:26" x14ac:dyDescent="0.2">
      <c r="A5" s="217"/>
      <c r="B5" s="218"/>
      <c r="C5" s="387"/>
      <c r="D5" s="387"/>
      <c r="E5" s="387"/>
      <c r="F5" s="387"/>
      <c r="G5" s="387"/>
      <c r="H5" s="387"/>
      <c r="I5" s="387"/>
      <c r="J5" s="387"/>
      <c r="K5" s="387"/>
      <c r="L5" s="387"/>
      <c r="M5" s="388"/>
      <c r="N5" s="126"/>
      <c r="O5" s="126"/>
      <c r="P5" s="126"/>
      <c r="Q5" s="126"/>
      <c r="R5" s="126"/>
      <c r="S5" s="126"/>
      <c r="T5" s="126"/>
      <c r="U5" s="126"/>
      <c r="V5" s="126"/>
      <c r="W5" s="126"/>
      <c r="X5" s="126"/>
      <c r="Y5" s="126"/>
      <c r="Z5" s="126"/>
    </row>
    <row r="6" spans="1:26" x14ac:dyDescent="0.2">
      <c r="A6" s="217"/>
      <c r="B6" s="218"/>
      <c r="C6" s="387"/>
      <c r="D6" s="387"/>
      <c r="E6" s="387"/>
      <c r="F6" s="387"/>
      <c r="G6" s="387"/>
      <c r="H6" s="387"/>
      <c r="I6" s="387"/>
      <c r="J6" s="387"/>
      <c r="K6" s="387"/>
      <c r="L6" s="387"/>
      <c r="M6" s="388"/>
      <c r="N6" s="126"/>
      <c r="O6" s="126"/>
      <c r="P6" s="126"/>
      <c r="Q6" s="126"/>
      <c r="R6" s="126"/>
      <c r="S6" s="126"/>
      <c r="T6" s="126"/>
      <c r="U6" s="126"/>
      <c r="V6" s="126"/>
      <c r="W6" s="126"/>
      <c r="X6" s="126"/>
      <c r="Y6" s="126"/>
      <c r="Z6" s="126"/>
    </row>
    <row r="7" spans="1:26" x14ac:dyDescent="0.2">
      <c r="A7" s="217"/>
      <c r="B7" s="218"/>
      <c r="C7" s="387"/>
      <c r="D7" s="387"/>
      <c r="E7" s="387"/>
      <c r="F7" s="387"/>
      <c r="G7" s="387"/>
      <c r="H7" s="387"/>
      <c r="I7" s="387"/>
      <c r="J7" s="387"/>
      <c r="K7" s="387"/>
      <c r="L7" s="387"/>
      <c r="M7" s="388"/>
      <c r="N7" s="126"/>
      <c r="O7" s="126"/>
      <c r="P7" s="126"/>
      <c r="Q7" s="126"/>
      <c r="R7" s="126"/>
      <c r="S7" s="126"/>
      <c r="T7" s="126"/>
      <c r="U7" s="126"/>
      <c r="V7" s="126"/>
      <c r="W7" s="126"/>
      <c r="X7" s="126"/>
      <c r="Y7" s="126"/>
      <c r="Z7" s="126"/>
    </row>
    <row r="8" spans="1:26" x14ac:dyDescent="0.2">
      <c r="A8" s="217"/>
      <c r="B8" s="218"/>
      <c r="C8" s="387"/>
      <c r="D8" s="387"/>
      <c r="E8" s="387"/>
      <c r="F8" s="387"/>
      <c r="G8" s="387"/>
      <c r="H8" s="387"/>
      <c r="I8" s="387"/>
      <c r="J8" s="387"/>
      <c r="K8" s="387"/>
      <c r="L8" s="387"/>
      <c r="M8" s="388"/>
      <c r="N8" s="126"/>
      <c r="O8" s="126"/>
      <c r="P8" s="126"/>
      <c r="Q8" s="126"/>
      <c r="R8" s="126"/>
      <c r="S8" s="126"/>
      <c r="T8" s="126"/>
      <c r="U8" s="126"/>
      <c r="V8" s="126"/>
      <c r="W8" s="126"/>
      <c r="X8" s="126"/>
      <c r="Y8" s="126"/>
      <c r="Z8" s="126"/>
    </row>
    <row r="9" spans="1:26" x14ac:dyDescent="0.2">
      <c r="A9" s="217"/>
      <c r="B9" s="218"/>
      <c r="C9" s="387"/>
      <c r="D9" s="387"/>
      <c r="E9" s="387"/>
      <c r="F9" s="387"/>
      <c r="G9" s="387"/>
      <c r="H9" s="387"/>
      <c r="I9" s="387"/>
      <c r="J9" s="387"/>
      <c r="K9" s="387"/>
      <c r="L9" s="387"/>
      <c r="M9" s="388"/>
      <c r="N9" s="126"/>
      <c r="O9" s="126"/>
      <c r="P9" s="126"/>
      <c r="Q9" s="126"/>
      <c r="R9" s="126"/>
      <c r="S9" s="126"/>
      <c r="T9" s="126"/>
      <c r="U9" s="126"/>
      <c r="V9" s="126"/>
      <c r="W9" s="126"/>
      <c r="X9" s="126"/>
      <c r="Y9" s="126"/>
      <c r="Z9" s="126"/>
    </row>
    <row r="10" spans="1:26" x14ac:dyDescent="0.2">
      <c r="A10" s="217"/>
      <c r="B10" s="218"/>
      <c r="C10" s="387"/>
      <c r="D10" s="387"/>
      <c r="E10" s="387"/>
      <c r="F10" s="387"/>
      <c r="G10" s="387"/>
      <c r="H10" s="387"/>
      <c r="I10" s="387"/>
      <c r="J10" s="387"/>
      <c r="K10" s="387"/>
      <c r="L10" s="387"/>
      <c r="M10" s="388"/>
      <c r="N10" s="126"/>
      <c r="O10" s="126"/>
      <c r="P10" s="126"/>
      <c r="Q10" s="126"/>
      <c r="R10" s="126"/>
      <c r="S10" s="126"/>
      <c r="T10" s="126"/>
      <c r="U10" s="126"/>
      <c r="V10" s="126"/>
      <c r="W10" s="126"/>
      <c r="X10" s="126"/>
      <c r="Y10" s="126"/>
      <c r="Z10" s="126"/>
    </row>
    <row r="11" spans="1:26" x14ac:dyDescent="0.2">
      <c r="A11" s="217"/>
      <c r="B11" s="218"/>
      <c r="C11" s="387"/>
      <c r="D11" s="387"/>
      <c r="E11" s="387"/>
      <c r="F11" s="387"/>
      <c r="G11" s="387"/>
      <c r="H11" s="387"/>
      <c r="I11" s="387"/>
      <c r="J11" s="387"/>
      <c r="K11" s="387"/>
      <c r="L11" s="387"/>
      <c r="M11" s="388"/>
      <c r="N11" s="126"/>
      <c r="O11" s="126"/>
      <c r="P11" s="126"/>
      <c r="Q11" s="126"/>
      <c r="R11" s="126"/>
      <c r="S11" s="126"/>
      <c r="T11" s="126"/>
      <c r="U11" s="126"/>
      <c r="V11" s="126"/>
      <c r="W11" s="126"/>
      <c r="X11" s="126"/>
      <c r="Y11" s="126"/>
      <c r="Z11" s="126"/>
    </row>
    <row r="12" spans="1:26" x14ac:dyDescent="0.2">
      <c r="A12" s="217"/>
      <c r="B12" s="218"/>
      <c r="C12" s="387"/>
      <c r="D12" s="387"/>
      <c r="E12" s="387"/>
      <c r="F12" s="387"/>
      <c r="G12" s="387"/>
      <c r="H12" s="387"/>
      <c r="I12" s="387"/>
      <c r="J12" s="387"/>
      <c r="K12" s="387"/>
      <c r="L12" s="387"/>
      <c r="M12" s="388"/>
      <c r="N12" s="126"/>
      <c r="O12" s="126"/>
      <c r="P12" s="126"/>
      <c r="Q12" s="126"/>
      <c r="R12" s="126"/>
      <c r="S12" s="126"/>
      <c r="T12" s="126"/>
      <c r="U12" s="126"/>
      <c r="V12" s="126"/>
      <c r="W12" s="126"/>
      <c r="X12" s="126"/>
      <c r="Y12" s="126"/>
      <c r="Z12" s="126"/>
    </row>
    <row r="13" spans="1:26" x14ac:dyDescent="0.2">
      <c r="A13" s="217"/>
      <c r="B13" s="218"/>
      <c r="C13" s="387"/>
      <c r="D13" s="387"/>
      <c r="E13" s="387"/>
      <c r="F13" s="387"/>
      <c r="G13" s="387"/>
      <c r="H13" s="387"/>
      <c r="I13" s="387"/>
      <c r="J13" s="387"/>
      <c r="K13" s="387"/>
      <c r="L13" s="387"/>
      <c r="M13" s="388"/>
      <c r="N13" s="126"/>
      <c r="O13" s="126"/>
      <c r="P13" s="126"/>
      <c r="Q13" s="126"/>
      <c r="R13" s="126"/>
      <c r="S13" s="126"/>
      <c r="T13" s="126"/>
      <c r="U13" s="126"/>
      <c r="V13" s="126"/>
      <c r="W13" s="126"/>
      <c r="X13" s="126"/>
      <c r="Y13" s="126"/>
      <c r="Z13" s="126"/>
    </row>
    <row r="14" spans="1:26" x14ac:dyDescent="0.2">
      <c r="A14" s="217"/>
      <c r="B14" s="218"/>
      <c r="C14" s="387"/>
      <c r="D14" s="387"/>
      <c r="E14" s="387"/>
      <c r="F14" s="387"/>
      <c r="G14" s="387"/>
      <c r="H14" s="387"/>
      <c r="I14" s="387"/>
      <c r="J14" s="387"/>
      <c r="K14" s="387"/>
      <c r="L14" s="387"/>
      <c r="M14" s="388"/>
      <c r="N14" s="126"/>
      <c r="O14" s="126"/>
      <c r="P14" s="126"/>
      <c r="Q14" s="126"/>
      <c r="R14" s="126"/>
      <c r="S14" s="126"/>
      <c r="T14" s="126"/>
      <c r="U14" s="126"/>
      <c r="V14" s="126"/>
      <c r="W14" s="126"/>
      <c r="X14" s="126"/>
      <c r="Y14" s="126"/>
      <c r="Z14" s="126"/>
    </row>
    <row r="15" spans="1:26" x14ac:dyDescent="0.2">
      <c r="A15" s="217"/>
      <c r="B15" s="218"/>
      <c r="C15" s="387"/>
      <c r="D15" s="387"/>
      <c r="E15" s="387"/>
      <c r="F15" s="387"/>
      <c r="G15" s="387"/>
      <c r="H15" s="387"/>
      <c r="I15" s="387"/>
      <c r="J15" s="387"/>
      <c r="K15" s="387"/>
      <c r="L15" s="387"/>
      <c r="M15" s="388"/>
      <c r="N15" s="126"/>
      <c r="O15" s="126"/>
      <c r="P15" s="126"/>
      <c r="Q15" s="126"/>
      <c r="R15" s="126"/>
      <c r="S15" s="126"/>
      <c r="T15" s="126"/>
      <c r="U15" s="126"/>
      <c r="V15" s="126"/>
      <c r="W15" s="126"/>
      <c r="X15" s="126"/>
      <c r="Y15" s="126"/>
      <c r="Z15" s="126"/>
    </row>
    <row r="16" spans="1:26" x14ac:dyDescent="0.2">
      <c r="A16" s="217"/>
      <c r="B16" s="218"/>
      <c r="C16" s="387"/>
      <c r="D16" s="387"/>
      <c r="E16" s="387"/>
      <c r="F16" s="387"/>
      <c r="G16" s="387"/>
      <c r="H16" s="387"/>
      <c r="I16" s="387"/>
      <c r="J16" s="387"/>
      <c r="K16" s="387"/>
      <c r="L16" s="387"/>
      <c r="M16" s="388"/>
      <c r="N16" s="126"/>
      <c r="O16" s="126"/>
      <c r="P16" s="126"/>
      <c r="Q16" s="126"/>
      <c r="R16" s="126"/>
      <c r="S16" s="126"/>
      <c r="T16" s="126"/>
      <c r="U16" s="126"/>
      <c r="V16" s="126"/>
      <c r="W16" s="126"/>
      <c r="X16" s="126"/>
      <c r="Y16" s="126"/>
      <c r="Z16" s="126"/>
    </row>
    <row r="17" spans="1:256" x14ac:dyDescent="0.2">
      <c r="A17" s="217"/>
      <c r="B17" s="218"/>
      <c r="C17" s="387"/>
      <c r="D17" s="387"/>
      <c r="E17" s="387"/>
      <c r="F17" s="387"/>
      <c r="G17" s="387"/>
      <c r="H17" s="387"/>
      <c r="I17" s="387"/>
      <c r="J17" s="387"/>
      <c r="K17" s="387"/>
      <c r="L17" s="387"/>
      <c r="M17" s="388"/>
      <c r="N17" s="126"/>
      <c r="O17" s="126"/>
      <c r="P17" s="126"/>
      <c r="Q17" s="126"/>
      <c r="R17" s="126"/>
      <c r="S17" s="126"/>
      <c r="T17" s="126"/>
      <c r="U17" s="126"/>
      <c r="V17" s="126"/>
      <c r="W17" s="126"/>
      <c r="X17" s="126"/>
      <c r="Y17" s="126"/>
      <c r="Z17" s="126"/>
    </row>
    <row r="18" spans="1:256" x14ac:dyDescent="0.2">
      <c r="A18" s="217"/>
      <c r="B18" s="218"/>
      <c r="C18" s="387"/>
      <c r="D18" s="387"/>
      <c r="E18" s="387"/>
      <c r="F18" s="387"/>
      <c r="G18" s="387"/>
      <c r="H18" s="387"/>
      <c r="I18" s="387"/>
      <c r="J18" s="387"/>
      <c r="K18" s="387"/>
      <c r="L18" s="387"/>
      <c r="M18" s="388"/>
      <c r="N18" s="126"/>
      <c r="O18" s="126"/>
      <c r="P18" s="126"/>
      <c r="Q18" s="126"/>
      <c r="R18" s="126"/>
      <c r="S18" s="126"/>
      <c r="T18" s="126"/>
      <c r="U18" s="126"/>
      <c r="V18" s="126"/>
      <c r="W18" s="126"/>
      <c r="X18" s="126"/>
      <c r="Y18" s="126"/>
      <c r="Z18" s="126"/>
    </row>
    <row r="19" spans="1:256" x14ac:dyDescent="0.2">
      <c r="A19" s="217"/>
      <c r="B19" s="218"/>
      <c r="C19" s="387"/>
      <c r="D19" s="387"/>
      <c r="E19" s="387"/>
      <c r="F19" s="387"/>
      <c r="G19" s="387"/>
      <c r="H19" s="387"/>
      <c r="I19" s="387"/>
      <c r="J19" s="387"/>
      <c r="K19" s="387"/>
      <c r="L19" s="387"/>
      <c r="M19" s="388"/>
      <c r="N19" s="126"/>
      <c r="O19" s="126"/>
      <c r="P19" s="126"/>
      <c r="Q19" s="126"/>
      <c r="R19" s="126"/>
      <c r="S19" s="126"/>
      <c r="T19" s="126"/>
      <c r="U19" s="126"/>
      <c r="V19" s="126"/>
      <c r="W19" s="126"/>
      <c r="X19" s="126"/>
      <c r="Y19" s="126"/>
      <c r="Z19" s="126"/>
    </row>
    <row r="20" spans="1:256" x14ac:dyDescent="0.2">
      <c r="A20" s="217"/>
      <c r="B20" s="218"/>
      <c r="C20" s="387"/>
      <c r="D20" s="387"/>
      <c r="E20" s="387"/>
      <c r="F20" s="387"/>
      <c r="G20" s="387"/>
      <c r="H20" s="387"/>
      <c r="I20" s="387"/>
      <c r="J20" s="387"/>
      <c r="K20" s="387"/>
      <c r="L20" s="387"/>
      <c r="M20" s="388"/>
      <c r="N20" s="126"/>
      <c r="O20" s="126"/>
      <c r="P20" s="126"/>
      <c r="Q20" s="126"/>
      <c r="R20" s="126"/>
      <c r="S20" s="126"/>
      <c r="T20" s="126"/>
      <c r="U20" s="126"/>
      <c r="V20" s="126"/>
      <c r="W20" s="126"/>
      <c r="X20" s="126"/>
      <c r="Y20" s="126"/>
      <c r="Z20" s="126"/>
    </row>
    <row r="21" spans="1:256" x14ac:dyDescent="0.2">
      <c r="A21" s="217"/>
      <c r="B21" s="218"/>
      <c r="C21" s="387"/>
      <c r="D21" s="387"/>
      <c r="E21" s="387"/>
      <c r="F21" s="387"/>
      <c r="G21" s="387"/>
      <c r="H21" s="387"/>
      <c r="I21" s="387"/>
      <c r="J21" s="387"/>
      <c r="K21" s="387"/>
      <c r="L21" s="387"/>
      <c r="M21" s="388"/>
      <c r="N21" s="126"/>
      <c r="O21" s="126"/>
      <c r="P21" s="126"/>
      <c r="Q21" s="126"/>
      <c r="R21" s="126"/>
      <c r="S21" s="126"/>
      <c r="T21" s="126"/>
      <c r="U21" s="126"/>
      <c r="V21" s="126"/>
      <c r="W21" s="126"/>
      <c r="X21" s="126"/>
      <c r="Y21" s="126"/>
      <c r="Z21" s="126"/>
    </row>
    <row r="22" spans="1:256" x14ac:dyDescent="0.2">
      <c r="A22" s="217"/>
      <c r="B22" s="218"/>
      <c r="C22" s="387"/>
      <c r="D22" s="387"/>
      <c r="E22" s="387"/>
      <c r="F22" s="387"/>
      <c r="G22" s="387"/>
      <c r="H22" s="387"/>
      <c r="I22" s="387"/>
      <c r="J22" s="387"/>
      <c r="K22" s="387"/>
      <c r="L22" s="387"/>
      <c r="M22" s="388"/>
      <c r="N22" s="126"/>
      <c r="O22" s="126"/>
      <c r="P22" s="126"/>
      <c r="Q22" s="126"/>
      <c r="R22" s="126"/>
      <c r="S22" s="126"/>
      <c r="T22" s="126"/>
      <c r="U22" s="126"/>
      <c r="V22" s="126"/>
      <c r="W22" s="126"/>
      <c r="X22" s="126"/>
      <c r="Y22" s="126"/>
      <c r="Z22" s="126"/>
    </row>
    <row r="23" spans="1:256" x14ac:dyDescent="0.2">
      <c r="A23" s="217"/>
      <c r="B23" s="218"/>
      <c r="C23" s="387"/>
      <c r="D23" s="387"/>
      <c r="E23" s="387"/>
      <c r="F23" s="387"/>
      <c r="G23" s="387"/>
      <c r="H23" s="387"/>
      <c r="I23" s="387"/>
      <c r="J23" s="387"/>
      <c r="K23" s="387"/>
      <c r="L23" s="387"/>
      <c r="M23" s="388"/>
      <c r="N23" s="126"/>
      <c r="O23" s="126"/>
      <c r="P23" s="126"/>
      <c r="Q23" s="126"/>
      <c r="R23" s="126"/>
      <c r="S23" s="126"/>
      <c r="T23" s="126"/>
      <c r="U23" s="126"/>
      <c r="V23" s="126"/>
      <c r="W23" s="126"/>
      <c r="X23" s="126"/>
      <c r="Y23" s="126"/>
      <c r="Z23" s="126"/>
    </row>
    <row r="24" spans="1:256" x14ac:dyDescent="0.2">
      <c r="A24" s="217"/>
      <c r="B24" s="218"/>
      <c r="C24" s="387"/>
      <c r="D24" s="387"/>
      <c r="E24" s="387"/>
      <c r="F24" s="387"/>
      <c r="G24" s="387"/>
      <c r="H24" s="387"/>
      <c r="I24" s="387"/>
      <c r="J24" s="387"/>
      <c r="K24" s="387"/>
      <c r="L24" s="387"/>
      <c r="M24" s="388"/>
      <c r="N24" s="126"/>
      <c r="O24" s="126"/>
      <c r="P24" s="126"/>
      <c r="Q24" s="126"/>
      <c r="R24" s="126"/>
      <c r="S24" s="126"/>
      <c r="T24" s="126"/>
      <c r="U24" s="126"/>
      <c r="V24" s="126"/>
      <c r="W24" s="126"/>
      <c r="X24" s="126"/>
      <c r="Y24" s="126"/>
      <c r="Z24" s="126"/>
    </row>
    <row r="25" spans="1:256" x14ac:dyDescent="0.2">
      <c r="A25" s="217"/>
      <c r="B25" s="218"/>
      <c r="C25" s="387"/>
      <c r="D25" s="387"/>
      <c r="E25" s="387"/>
      <c r="F25" s="387"/>
      <c r="G25" s="387"/>
      <c r="H25" s="387"/>
      <c r="I25" s="387"/>
      <c r="J25" s="387"/>
      <c r="K25" s="387"/>
      <c r="L25" s="387"/>
      <c r="M25" s="388"/>
      <c r="N25" s="126"/>
      <c r="O25" s="126"/>
      <c r="P25" s="126"/>
      <c r="Q25" s="126"/>
      <c r="R25" s="126"/>
      <c r="S25" s="126"/>
      <c r="T25" s="126"/>
      <c r="U25" s="126"/>
      <c r="V25" s="126"/>
      <c r="W25" s="126"/>
      <c r="X25" s="126"/>
      <c r="Y25" s="126"/>
      <c r="Z25" s="126"/>
    </row>
    <row r="26" spans="1:256" x14ac:dyDescent="0.2">
      <c r="A26" s="217"/>
      <c r="B26" s="218"/>
      <c r="C26" s="387"/>
      <c r="D26" s="387"/>
      <c r="E26" s="387"/>
      <c r="F26" s="387"/>
      <c r="G26" s="387"/>
      <c r="H26" s="387"/>
      <c r="I26" s="387"/>
      <c r="J26" s="387"/>
      <c r="K26" s="387"/>
      <c r="L26" s="387"/>
      <c r="M26" s="388"/>
      <c r="N26" s="126"/>
      <c r="O26" s="126"/>
      <c r="P26" s="126"/>
      <c r="Q26" s="126"/>
      <c r="R26" s="126"/>
      <c r="S26" s="126"/>
      <c r="T26" s="126"/>
      <c r="U26" s="126"/>
      <c r="V26" s="126"/>
      <c r="W26" s="126"/>
      <c r="X26" s="126"/>
      <c r="Y26" s="126"/>
      <c r="Z26" s="126"/>
    </row>
    <row r="27" spans="1:256" x14ac:dyDescent="0.2">
      <c r="A27" s="217"/>
      <c r="B27" s="218"/>
      <c r="C27" s="387"/>
      <c r="D27" s="387"/>
      <c r="E27" s="387"/>
      <c r="F27" s="387"/>
      <c r="G27" s="387"/>
      <c r="H27" s="387"/>
      <c r="I27" s="387"/>
      <c r="J27" s="387"/>
      <c r="K27" s="387"/>
      <c r="L27" s="387"/>
      <c r="M27" s="388"/>
      <c r="N27" s="126"/>
      <c r="O27" s="126"/>
      <c r="P27" s="126"/>
      <c r="Q27" s="126"/>
      <c r="R27" s="126"/>
      <c r="S27" s="126"/>
      <c r="T27" s="126"/>
      <c r="U27" s="126"/>
      <c r="V27" s="126"/>
      <c r="W27" s="126"/>
      <c r="X27" s="126"/>
      <c r="Y27" s="126"/>
      <c r="Z27" s="126"/>
    </row>
    <row r="28" spans="1:256" x14ac:dyDescent="0.2">
      <c r="A28" s="217"/>
      <c r="B28" s="218"/>
      <c r="C28" s="387"/>
      <c r="D28" s="387"/>
      <c r="E28" s="387"/>
      <c r="F28" s="387"/>
      <c r="G28" s="387"/>
      <c r="H28" s="387"/>
      <c r="I28" s="387"/>
      <c r="J28" s="387"/>
      <c r="K28" s="387"/>
      <c r="L28" s="387"/>
      <c r="M28" s="388"/>
      <c r="N28" s="126"/>
      <c r="O28" s="126"/>
      <c r="P28" s="126"/>
      <c r="Q28" s="126"/>
      <c r="R28" s="126"/>
      <c r="S28" s="126"/>
      <c r="T28" s="126"/>
      <c r="U28" s="126"/>
      <c r="V28" s="126"/>
      <c r="W28" s="126"/>
      <c r="X28" s="126"/>
      <c r="Y28" s="126"/>
      <c r="Z28" s="126"/>
    </row>
    <row r="29" spans="1:256" x14ac:dyDescent="0.2">
      <c r="A29" s="217"/>
      <c r="B29" s="218"/>
      <c r="C29" s="387"/>
      <c r="D29" s="387"/>
      <c r="E29" s="387"/>
      <c r="F29" s="387"/>
      <c r="G29" s="387"/>
      <c r="H29" s="387"/>
      <c r="I29" s="387"/>
      <c r="J29" s="387"/>
      <c r="K29" s="387"/>
      <c r="L29" s="387"/>
      <c r="M29" s="388"/>
      <c r="N29" s="210"/>
      <c r="O29" s="210"/>
      <c r="P29" s="393"/>
      <c r="Q29" s="393"/>
      <c r="R29" s="393"/>
      <c r="S29" s="393"/>
      <c r="T29" s="393"/>
      <c r="U29" s="393"/>
      <c r="V29" s="393"/>
      <c r="W29" s="393"/>
      <c r="X29" s="393"/>
      <c r="Y29" s="393"/>
      <c r="Z29" s="393"/>
      <c r="AA29" s="206"/>
      <c r="AB29" s="206"/>
      <c r="AC29" s="392"/>
      <c r="AD29" s="392"/>
      <c r="AE29" s="392"/>
      <c r="AF29" s="392"/>
      <c r="AG29" s="392"/>
      <c r="AH29" s="392"/>
      <c r="AI29" s="392"/>
      <c r="AJ29" s="392"/>
      <c r="AK29" s="392"/>
      <c r="AL29" s="392"/>
      <c r="AM29" s="392"/>
      <c r="AN29" s="206"/>
      <c r="AO29" s="206"/>
      <c r="AP29" s="392"/>
      <c r="AQ29" s="392"/>
      <c r="AR29" s="392"/>
      <c r="AS29" s="392"/>
      <c r="AT29" s="392"/>
      <c r="AU29" s="392"/>
      <c r="AV29" s="392"/>
      <c r="AW29" s="392"/>
      <c r="AX29" s="392"/>
      <c r="AY29" s="392"/>
      <c r="AZ29" s="392"/>
      <c r="BA29" s="206"/>
      <c r="BB29" s="206"/>
      <c r="BC29" s="392"/>
      <c r="BD29" s="392"/>
      <c r="BE29" s="392"/>
      <c r="BF29" s="392"/>
      <c r="BG29" s="392"/>
      <c r="BH29" s="392"/>
      <c r="BI29" s="392"/>
      <c r="BJ29" s="392"/>
      <c r="BK29" s="392"/>
      <c r="BL29" s="392"/>
      <c r="BM29" s="392"/>
      <c r="BN29" s="206"/>
      <c r="BO29" s="206"/>
      <c r="BP29" s="392"/>
      <c r="BQ29" s="392"/>
      <c r="BR29" s="392"/>
      <c r="BS29" s="392"/>
      <c r="BT29" s="392"/>
      <c r="BU29" s="392"/>
      <c r="BV29" s="392"/>
      <c r="BW29" s="392"/>
      <c r="BX29" s="392"/>
      <c r="BY29" s="392"/>
      <c r="BZ29" s="392"/>
      <c r="CA29" s="206"/>
      <c r="CB29" s="206"/>
      <c r="CC29" s="392"/>
      <c r="CD29" s="392"/>
      <c r="CE29" s="392"/>
      <c r="CF29" s="392"/>
      <c r="CG29" s="392"/>
      <c r="CH29" s="392"/>
      <c r="CI29" s="392"/>
      <c r="CJ29" s="392"/>
      <c r="CK29" s="392"/>
      <c r="CL29" s="392"/>
      <c r="CM29" s="392"/>
      <c r="CN29" s="206"/>
      <c r="CO29" s="206"/>
      <c r="CP29" s="392"/>
      <c r="CQ29" s="392"/>
      <c r="CR29" s="392"/>
      <c r="CS29" s="392"/>
      <c r="CT29" s="392"/>
      <c r="CU29" s="392"/>
      <c r="CV29" s="392"/>
      <c r="CW29" s="392"/>
      <c r="CX29" s="392"/>
      <c r="CY29" s="392"/>
      <c r="CZ29" s="392"/>
      <c r="DA29" s="206"/>
      <c r="DB29" s="206"/>
      <c r="DC29" s="392"/>
      <c r="DD29" s="392"/>
      <c r="DE29" s="392"/>
      <c r="DF29" s="392"/>
      <c r="DG29" s="392"/>
      <c r="DH29" s="392"/>
      <c r="DI29" s="392"/>
      <c r="DJ29" s="392"/>
      <c r="DK29" s="392"/>
      <c r="DL29" s="392"/>
      <c r="DM29" s="392"/>
      <c r="DN29" s="206"/>
      <c r="DO29" s="206"/>
      <c r="DP29" s="392"/>
      <c r="DQ29" s="392"/>
      <c r="DR29" s="392"/>
      <c r="DS29" s="392"/>
      <c r="DT29" s="392"/>
      <c r="DU29" s="392"/>
      <c r="DV29" s="392"/>
      <c r="DW29" s="392"/>
      <c r="DX29" s="392"/>
      <c r="DY29" s="392"/>
      <c r="DZ29" s="392"/>
      <c r="EA29" s="206"/>
      <c r="EB29" s="206"/>
      <c r="EC29" s="392"/>
      <c r="ED29" s="392"/>
      <c r="EE29" s="392"/>
      <c r="EF29" s="392"/>
      <c r="EG29" s="392"/>
      <c r="EH29" s="392"/>
      <c r="EI29" s="392"/>
      <c r="EJ29" s="392"/>
      <c r="EK29" s="392"/>
      <c r="EL29" s="392"/>
      <c r="EM29" s="392"/>
      <c r="EN29" s="206"/>
      <c r="EO29" s="206"/>
      <c r="EP29" s="392"/>
      <c r="EQ29" s="392"/>
      <c r="ER29" s="392"/>
      <c r="ES29" s="392"/>
      <c r="ET29" s="392"/>
      <c r="EU29" s="392"/>
      <c r="EV29" s="392"/>
      <c r="EW29" s="392"/>
      <c r="EX29" s="392"/>
      <c r="EY29" s="392"/>
      <c r="EZ29" s="392"/>
      <c r="FA29" s="206"/>
      <c r="FB29" s="206"/>
      <c r="FC29" s="392"/>
      <c r="FD29" s="392"/>
      <c r="FE29" s="392"/>
      <c r="FF29" s="392"/>
      <c r="FG29" s="392"/>
      <c r="FH29" s="392"/>
      <c r="FI29" s="392"/>
      <c r="FJ29" s="392"/>
      <c r="FK29" s="392"/>
      <c r="FL29" s="392"/>
      <c r="FM29" s="392"/>
      <c r="FN29" s="206"/>
      <c r="FO29" s="206"/>
      <c r="FP29" s="392"/>
      <c r="FQ29" s="392"/>
      <c r="FR29" s="392"/>
      <c r="FS29" s="392"/>
      <c r="FT29" s="392"/>
      <c r="FU29" s="392"/>
      <c r="FV29" s="392"/>
      <c r="FW29" s="392"/>
      <c r="FX29" s="392"/>
      <c r="FY29" s="392"/>
      <c r="FZ29" s="392"/>
      <c r="GA29" s="206"/>
      <c r="GB29" s="206"/>
      <c r="GC29" s="392"/>
      <c r="GD29" s="392"/>
      <c r="GE29" s="392"/>
      <c r="GF29" s="392"/>
      <c r="GG29" s="392"/>
      <c r="GH29" s="392"/>
      <c r="GI29" s="392"/>
      <c r="GJ29" s="392"/>
      <c r="GK29" s="392"/>
      <c r="GL29" s="392"/>
      <c r="GM29" s="392"/>
      <c r="GN29" s="206"/>
      <c r="GO29" s="206"/>
      <c r="GP29" s="392"/>
      <c r="GQ29" s="392"/>
      <c r="GR29" s="392"/>
      <c r="GS29" s="392"/>
      <c r="GT29" s="392"/>
      <c r="GU29" s="392"/>
      <c r="GV29" s="392"/>
      <c r="GW29" s="392"/>
      <c r="GX29" s="392"/>
      <c r="GY29" s="392"/>
      <c r="GZ29" s="392"/>
      <c r="HA29" s="206"/>
      <c r="HB29" s="206"/>
      <c r="HC29" s="392"/>
      <c r="HD29" s="392"/>
      <c r="HE29" s="392"/>
      <c r="HF29" s="392"/>
      <c r="HG29" s="392"/>
      <c r="HH29" s="392"/>
      <c r="HI29" s="392"/>
      <c r="HJ29" s="392"/>
      <c r="HK29" s="392"/>
      <c r="HL29" s="392"/>
      <c r="HM29" s="392"/>
      <c r="HN29" s="206"/>
      <c r="HO29" s="206"/>
      <c r="HP29" s="392"/>
      <c r="HQ29" s="392"/>
      <c r="HR29" s="392"/>
      <c r="HS29" s="392"/>
      <c r="HT29" s="392"/>
      <c r="HU29" s="392"/>
      <c r="HV29" s="392"/>
      <c r="HW29" s="392"/>
      <c r="HX29" s="392"/>
      <c r="HY29" s="392"/>
      <c r="HZ29" s="392"/>
      <c r="IA29" s="206"/>
      <c r="IB29" s="206"/>
      <c r="IC29" s="392"/>
      <c r="ID29" s="392"/>
      <c r="IE29" s="392"/>
      <c r="IF29" s="392"/>
      <c r="IG29" s="392"/>
      <c r="IH29" s="392"/>
      <c r="II29" s="392"/>
      <c r="IJ29" s="392"/>
      <c r="IK29" s="392"/>
      <c r="IL29" s="392"/>
      <c r="IM29" s="392"/>
      <c r="IN29" s="206"/>
      <c r="IO29" s="206"/>
      <c r="IP29" s="392"/>
      <c r="IQ29" s="392"/>
      <c r="IR29" s="392"/>
      <c r="IS29" s="392"/>
      <c r="IT29" s="392"/>
      <c r="IU29" s="392"/>
      <c r="IV29" s="392"/>
    </row>
    <row r="30" spans="1:256" x14ac:dyDescent="0.2">
      <c r="A30" s="217"/>
      <c r="B30" s="218"/>
      <c r="C30" s="387"/>
      <c r="D30" s="387"/>
      <c r="E30" s="387"/>
      <c r="F30" s="387"/>
      <c r="G30" s="387"/>
      <c r="H30" s="387"/>
      <c r="I30" s="387"/>
      <c r="J30" s="387"/>
      <c r="K30" s="387"/>
      <c r="L30" s="387"/>
      <c r="M30" s="388"/>
      <c r="N30" s="210"/>
      <c r="O30" s="210"/>
      <c r="P30" s="393"/>
      <c r="Q30" s="393"/>
      <c r="R30" s="393"/>
      <c r="S30" s="393"/>
      <c r="T30" s="393"/>
      <c r="U30" s="393"/>
      <c r="V30" s="393"/>
      <c r="W30" s="393"/>
      <c r="X30" s="393"/>
      <c r="Y30" s="393"/>
      <c r="Z30" s="393"/>
      <c r="AA30" s="206"/>
      <c r="AB30" s="206"/>
      <c r="AC30" s="392"/>
      <c r="AD30" s="392"/>
      <c r="AE30" s="392"/>
      <c r="AF30" s="392"/>
      <c r="AG30" s="392"/>
      <c r="AH30" s="392"/>
      <c r="AI30" s="392"/>
      <c r="AJ30" s="392"/>
      <c r="AK30" s="392"/>
      <c r="AL30" s="392"/>
      <c r="AM30" s="392"/>
      <c r="AN30" s="206"/>
      <c r="AO30" s="206"/>
      <c r="AP30" s="392"/>
      <c r="AQ30" s="392"/>
      <c r="AR30" s="392"/>
      <c r="AS30" s="392"/>
      <c r="AT30" s="392"/>
      <c r="AU30" s="392"/>
      <c r="AV30" s="392"/>
      <c r="AW30" s="392"/>
      <c r="AX30" s="392"/>
      <c r="AY30" s="392"/>
      <c r="AZ30" s="392"/>
      <c r="BA30" s="206"/>
      <c r="BB30" s="206"/>
      <c r="BC30" s="392"/>
      <c r="BD30" s="392"/>
      <c r="BE30" s="392"/>
      <c r="BF30" s="392"/>
      <c r="BG30" s="392"/>
      <c r="BH30" s="392"/>
      <c r="BI30" s="392"/>
      <c r="BJ30" s="392"/>
      <c r="BK30" s="392"/>
      <c r="BL30" s="392"/>
      <c r="BM30" s="392"/>
      <c r="BN30" s="206"/>
      <c r="BO30" s="206"/>
      <c r="BP30" s="392"/>
      <c r="BQ30" s="392"/>
      <c r="BR30" s="392"/>
      <c r="BS30" s="392"/>
      <c r="BT30" s="392"/>
      <c r="BU30" s="392"/>
      <c r="BV30" s="392"/>
      <c r="BW30" s="392"/>
      <c r="BX30" s="392"/>
      <c r="BY30" s="392"/>
      <c r="BZ30" s="392"/>
      <c r="CA30" s="206"/>
      <c r="CB30" s="206"/>
      <c r="CC30" s="392"/>
      <c r="CD30" s="392"/>
      <c r="CE30" s="392"/>
      <c r="CF30" s="392"/>
      <c r="CG30" s="392"/>
      <c r="CH30" s="392"/>
      <c r="CI30" s="392"/>
      <c r="CJ30" s="392"/>
      <c r="CK30" s="392"/>
      <c r="CL30" s="392"/>
      <c r="CM30" s="392"/>
      <c r="CN30" s="206"/>
      <c r="CO30" s="206"/>
      <c r="CP30" s="392"/>
      <c r="CQ30" s="392"/>
      <c r="CR30" s="392"/>
      <c r="CS30" s="392"/>
      <c r="CT30" s="392"/>
      <c r="CU30" s="392"/>
      <c r="CV30" s="392"/>
      <c r="CW30" s="392"/>
      <c r="CX30" s="392"/>
      <c r="CY30" s="392"/>
      <c r="CZ30" s="392"/>
      <c r="DA30" s="206"/>
      <c r="DB30" s="206"/>
      <c r="DC30" s="392"/>
      <c r="DD30" s="392"/>
      <c r="DE30" s="392"/>
      <c r="DF30" s="392"/>
      <c r="DG30" s="392"/>
      <c r="DH30" s="392"/>
      <c r="DI30" s="392"/>
      <c r="DJ30" s="392"/>
      <c r="DK30" s="392"/>
      <c r="DL30" s="392"/>
      <c r="DM30" s="392"/>
      <c r="DN30" s="206"/>
      <c r="DO30" s="206"/>
      <c r="DP30" s="392"/>
      <c r="DQ30" s="392"/>
      <c r="DR30" s="392"/>
      <c r="DS30" s="392"/>
      <c r="DT30" s="392"/>
      <c r="DU30" s="392"/>
      <c r="DV30" s="392"/>
      <c r="DW30" s="392"/>
      <c r="DX30" s="392"/>
      <c r="DY30" s="392"/>
      <c r="DZ30" s="392"/>
      <c r="EA30" s="206"/>
      <c r="EB30" s="206"/>
      <c r="EC30" s="392"/>
      <c r="ED30" s="392"/>
      <c r="EE30" s="392"/>
      <c r="EF30" s="392"/>
      <c r="EG30" s="392"/>
      <c r="EH30" s="392"/>
      <c r="EI30" s="392"/>
      <c r="EJ30" s="392"/>
      <c r="EK30" s="392"/>
      <c r="EL30" s="392"/>
      <c r="EM30" s="392"/>
      <c r="EN30" s="206"/>
      <c r="EO30" s="206"/>
      <c r="EP30" s="392"/>
      <c r="EQ30" s="392"/>
      <c r="ER30" s="392"/>
      <c r="ES30" s="392"/>
      <c r="ET30" s="392"/>
      <c r="EU30" s="392"/>
      <c r="EV30" s="392"/>
      <c r="EW30" s="392"/>
      <c r="EX30" s="392"/>
      <c r="EY30" s="392"/>
      <c r="EZ30" s="392"/>
      <c r="FA30" s="206"/>
      <c r="FB30" s="206"/>
      <c r="FC30" s="392"/>
      <c r="FD30" s="392"/>
      <c r="FE30" s="392"/>
      <c r="FF30" s="392"/>
      <c r="FG30" s="392"/>
      <c r="FH30" s="392"/>
      <c r="FI30" s="392"/>
      <c r="FJ30" s="392"/>
      <c r="FK30" s="392"/>
      <c r="FL30" s="392"/>
      <c r="FM30" s="392"/>
      <c r="FN30" s="206"/>
      <c r="FO30" s="206"/>
      <c r="FP30" s="392"/>
      <c r="FQ30" s="392"/>
      <c r="FR30" s="392"/>
      <c r="FS30" s="392"/>
      <c r="FT30" s="392"/>
      <c r="FU30" s="392"/>
      <c r="FV30" s="392"/>
      <c r="FW30" s="392"/>
      <c r="FX30" s="392"/>
      <c r="FY30" s="392"/>
      <c r="FZ30" s="392"/>
      <c r="GA30" s="206"/>
      <c r="GB30" s="206"/>
      <c r="GC30" s="392"/>
      <c r="GD30" s="392"/>
      <c r="GE30" s="392"/>
      <c r="GF30" s="392"/>
      <c r="GG30" s="392"/>
      <c r="GH30" s="392"/>
      <c r="GI30" s="392"/>
      <c r="GJ30" s="392"/>
      <c r="GK30" s="392"/>
      <c r="GL30" s="392"/>
      <c r="GM30" s="392"/>
      <c r="GN30" s="206"/>
      <c r="GO30" s="206"/>
      <c r="GP30" s="392"/>
      <c r="GQ30" s="392"/>
      <c r="GR30" s="392"/>
      <c r="GS30" s="392"/>
      <c r="GT30" s="392"/>
      <c r="GU30" s="392"/>
      <c r="GV30" s="392"/>
      <c r="GW30" s="392"/>
      <c r="GX30" s="392"/>
      <c r="GY30" s="392"/>
      <c r="GZ30" s="392"/>
      <c r="HA30" s="206"/>
      <c r="HB30" s="206"/>
      <c r="HC30" s="392"/>
      <c r="HD30" s="392"/>
      <c r="HE30" s="392"/>
      <c r="HF30" s="392"/>
      <c r="HG30" s="392"/>
      <c r="HH30" s="392"/>
      <c r="HI30" s="392"/>
      <c r="HJ30" s="392"/>
      <c r="HK30" s="392"/>
      <c r="HL30" s="392"/>
      <c r="HM30" s="392"/>
      <c r="HN30" s="206"/>
      <c r="HO30" s="206"/>
      <c r="HP30" s="392"/>
      <c r="HQ30" s="392"/>
      <c r="HR30" s="392"/>
      <c r="HS30" s="392"/>
      <c r="HT30" s="392"/>
      <c r="HU30" s="392"/>
      <c r="HV30" s="392"/>
      <c r="HW30" s="392"/>
      <c r="HX30" s="392"/>
      <c r="HY30" s="392"/>
      <c r="HZ30" s="392"/>
      <c r="IA30" s="206"/>
      <c r="IB30" s="206"/>
      <c r="IC30" s="392"/>
      <c r="ID30" s="392"/>
      <c r="IE30" s="392"/>
      <c r="IF30" s="392"/>
      <c r="IG30" s="392"/>
      <c r="IH30" s="392"/>
      <c r="II30" s="392"/>
      <c r="IJ30" s="392"/>
      <c r="IK30" s="392"/>
      <c r="IL30" s="392"/>
      <c r="IM30" s="392"/>
      <c r="IN30" s="206"/>
      <c r="IO30" s="206"/>
      <c r="IP30" s="392"/>
      <c r="IQ30" s="392"/>
      <c r="IR30" s="392"/>
      <c r="IS30" s="392"/>
      <c r="IT30" s="392"/>
      <c r="IU30" s="392"/>
      <c r="IV30" s="392"/>
    </row>
    <row r="31" spans="1:256" x14ac:dyDescent="0.2">
      <c r="A31" s="217"/>
      <c r="B31" s="218"/>
      <c r="C31" s="387"/>
      <c r="D31" s="387"/>
      <c r="E31" s="387"/>
      <c r="F31" s="387"/>
      <c r="G31" s="387"/>
      <c r="H31" s="387"/>
      <c r="I31" s="387"/>
      <c r="J31" s="387"/>
      <c r="K31" s="387"/>
      <c r="L31" s="387"/>
      <c r="M31" s="388"/>
      <c r="N31" s="210"/>
      <c r="O31" s="210"/>
      <c r="P31" s="393"/>
      <c r="Q31" s="393"/>
      <c r="R31" s="393"/>
      <c r="S31" s="393"/>
      <c r="T31" s="393"/>
      <c r="U31" s="393"/>
      <c r="V31" s="393"/>
      <c r="W31" s="393"/>
      <c r="X31" s="393"/>
      <c r="Y31" s="393"/>
      <c r="Z31" s="393"/>
      <c r="AA31" s="206"/>
      <c r="AB31" s="206"/>
      <c r="AC31" s="392"/>
      <c r="AD31" s="392"/>
      <c r="AE31" s="392"/>
      <c r="AF31" s="392"/>
      <c r="AG31" s="392"/>
      <c r="AH31" s="392"/>
      <c r="AI31" s="392"/>
      <c r="AJ31" s="392"/>
      <c r="AK31" s="392"/>
      <c r="AL31" s="392"/>
      <c r="AM31" s="392"/>
      <c r="AN31" s="206"/>
      <c r="AO31" s="206"/>
      <c r="AP31" s="392"/>
      <c r="AQ31" s="392"/>
      <c r="AR31" s="392"/>
      <c r="AS31" s="392"/>
      <c r="AT31" s="392"/>
      <c r="AU31" s="392"/>
      <c r="AV31" s="392"/>
      <c r="AW31" s="392"/>
      <c r="AX31" s="392"/>
      <c r="AY31" s="392"/>
      <c r="AZ31" s="392"/>
      <c r="BA31" s="206"/>
      <c r="BB31" s="206"/>
      <c r="BC31" s="392"/>
      <c r="BD31" s="392"/>
      <c r="BE31" s="392"/>
      <c r="BF31" s="392"/>
      <c r="BG31" s="392"/>
      <c r="BH31" s="392"/>
      <c r="BI31" s="392"/>
      <c r="BJ31" s="392"/>
      <c r="BK31" s="392"/>
      <c r="BL31" s="392"/>
      <c r="BM31" s="392"/>
      <c r="BN31" s="206"/>
      <c r="BO31" s="206"/>
      <c r="BP31" s="392"/>
      <c r="BQ31" s="392"/>
      <c r="BR31" s="392"/>
      <c r="BS31" s="392"/>
      <c r="BT31" s="392"/>
      <c r="BU31" s="392"/>
      <c r="BV31" s="392"/>
      <c r="BW31" s="392"/>
      <c r="BX31" s="392"/>
      <c r="BY31" s="392"/>
      <c r="BZ31" s="392"/>
      <c r="CA31" s="206"/>
      <c r="CB31" s="206"/>
      <c r="CC31" s="392"/>
      <c r="CD31" s="392"/>
      <c r="CE31" s="392"/>
      <c r="CF31" s="392"/>
      <c r="CG31" s="392"/>
      <c r="CH31" s="392"/>
      <c r="CI31" s="392"/>
      <c r="CJ31" s="392"/>
      <c r="CK31" s="392"/>
      <c r="CL31" s="392"/>
      <c r="CM31" s="392"/>
      <c r="CN31" s="206"/>
      <c r="CO31" s="206"/>
      <c r="CP31" s="392"/>
      <c r="CQ31" s="392"/>
      <c r="CR31" s="392"/>
      <c r="CS31" s="392"/>
      <c r="CT31" s="392"/>
      <c r="CU31" s="392"/>
      <c r="CV31" s="392"/>
      <c r="CW31" s="392"/>
      <c r="CX31" s="392"/>
      <c r="CY31" s="392"/>
      <c r="CZ31" s="392"/>
      <c r="DA31" s="206"/>
      <c r="DB31" s="206"/>
      <c r="DC31" s="392"/>
      <c r="DD31" s="392"/>
      <c r="DE31" s="392"/>
      <c r="DF31" s="392"/>
      <c r="DG31" s="392"/>
      <c r="DH31" s="392"/>
      <c r="DI31" s="392"/>
      <c r="DJ31" s="392"/>
      <c r="DK31" s="392"/>
      <c r="DL31" s="392"/>
      <c r="DM31" s="392"/>
      <c r="DN31" s="206"/>
      <c r="DO31" s="206"/>
      <c r="DP31" s="392"/>
      <c r="DQ31" s="392"/>
      <c r="DR31" s="392"/>
      <c r="DS31" s="392"/>
      <c r="DT31" s="392"/>
      <c r="DU31" s="392"/>
      <c r="DV31" s="392"/>
      <c r="DW31" s="392"/>
      <c r="DX31" s="392"/>
      <c r="DY31" s="392"/>
      <c r="DZ31" s="392"/>
      <c r="EA31" s="206"/>
      <c r="EB31" s="206"/>
      <c r="EC31" s="392"/>
      <c r="ED31" s="392"/>
      <c r="EE31" s="392"/>
      <c r="EF31" s="392"/>
      <c r="EG31" s="392"/>
      <c r="EH31" s="392"/>
      <c r="EI31" s="392"/>
      <c r="EJ31" s="392"/>
      <c r="EK31" s="392"/>
      <c r="EL31" s="392"/>
      <c r="EM31" s="392"/>
      <c r="EN31" s="206"/>
      <c r="EO31" s="206"/>
      <c r="EP31" s="392"/>
      <c r="EQ31" s="392"/>
      <c r="ER31" s="392"/>
      <c r="ES31" s="392"/>
      <c r="ET31" s="392"/>
      <c r="EU31" s="392"/>
      <c r="EV31" s="392"/>
      <c r="EW31" s="392"/>
      <c r="EX31" s="392"/>
      <c r="EY31" s="392"/>
      <c r="EZ31" s="392"/>
      <c r="FA31" s="206"/>
      <c r="FB31" s="206"/>
      <c r="FC31" s="392"/>
      <c r="FD31" s="392"/>
      <c r="FE31" s="392"/>
      <c r="FF31" s="392"/>
      <c r="FG31" s="392"/>
      <c r="FH31" s="392"/>
      <c r="FI31" s="392"/>
      <c r="FJ31" s="392"/>
      <c r="FK31" s="392"/>
      <c r="FL31" s="392"/>
      <c r="FM31" s="392"/>
      <c r="FN31" s="206"/>
      <c r="FO31" s="206"/>
      <c r="FP31" s="392"/>
      <c r="FQ31" s="392"/>
      <c r="FR31" s="392"/>
      <c r="FS31" s="392"/>
      <c r="FT31" s="392"/>
      <c r="FU31" s="392"/>
      <c r="FV31" s="392"/>
      <c r="FW31" s="392"/>
      <c r="FX31" s="392"/>
      <c r="FY31" s="392"/>
      <c r="FZ31" s="392"/>
      <c r="GA31" s="206"/>
      <c r="GB31" s="206"/>
      <c r="GC31" s="392"/>
      <c r="GD31" s="392"/>
      <c r="GE31" s="392"/>
      <c r="GF31" s="392"/>
      <c r="GG31" s="392"/>
      <c r="GH31" s="392"/>
      <c r="GI31" s="392"/>
      <c r="GJ31" s="392"/>
      <c r="GK31" s="392"/>
      <c r="GL31" s="392"/>
      <c r="GM31" s="392"/>
      <c r="GN31" s="206"/>
      <c r="GO31" s="206"/>
      <c r="GP31" s="392"/>
      <c r="GQ31" s="392"/>
      <c r="GR31" s="392"/>
      <c r="GS31" s="392"/>
      <c r="GT31" s="392"/>
      <c r="GU31" s="392"/>
      <c r="GV31" s="392"/>
      <c r="GW31" s="392"/>
      <c r="GX31" s="392"/>
      <c r="GY31" s="392"/>
      <c r="GZ31" s="392"/>
      <c r="HA31" s="206"/>
      <c r="HB31" s="206"/>
      <c r="HC31" s="392"/>
      <c r="HD31" s="392"/>
      <c r="HE31" s="392"/>
      <c r="HF31" s="392"/>
      <c r="HG31" s="392"/>
      <c r="HH31" s="392"/>
      <c r="HI31" s="392"/>
      <c r="HJ31" s="392"/>
      <c r="HK31" s="392"/>
      <c r="HL31" s="392"/>
      <c r="HM31" s="392"/>
      <c r="HN31" s="206"/>
      <c r="HO31" s="206"/>
      <c r="HP31" s="392"/>
      <c r="HQ31" s="392"/>
      <c r="HR31" s="392"/>
      <c r="HS31" s="392"/>
      <c r="HT31" s="392"/>
      <c r="HU31" s="392"/>
      <c r="HV31" s="392"/>
      <c r="HW31" s="392"/>
      <c r="HX31" s="392"/>
      <c r="HY31" s="392"/>
      <c r="HZ31" s="392"/>
      <c r="IA31" s="206"/>
      <c r="IB31" s="206"/>
      <c r="IC31" s="392"/>
      <c r="ID31" s="392"/>
      <c r="IE31" s="392"/>
      <c r="IF31" s="392"/>
      <c r="IG31" s="392"/>
      <c r="IH31" s="392"/>
      <c r="II31" s="392"/>
      <c r="IJ31" s="392"/>
      <c r="IK31" s="392"/>
      <c r="IL31" s="392"/>
      <c r="IM31" s="392"/>
      <c r="IN31" s="206"/>
      <c r="IO31" s="206"/>
      <c r="IP31" s="392"/>
      <c r="IQ31" s="392"/>
      <c r="IR31" s="392"/>
      <c r="IS31" s="392"/>
      <c r="IT31" s="392"/>
      <c r="IU31" s="392"/>
      <c r="IV31" s="392"/>
    </row>
    <row r="32" spans="1:256" x14ac:dyDescent="0.2">
      <c r="A32" s="217"/>
      <c r="B32" s="218"/>
      <c r="C32" s="387"/>
      <c r="D32" s="387"/>
      <c r="E32" s="387"/>
      <c r="F32" s="387"/>
      <c r="G32" s="387"/>
      <c r="H32" s="387"/>
      <c r="I32" s="387"/>
      <c r="J32" s="387"/>
      <c r="K32" s="387"/>
      <c r="L32" s="387"/>
      <c r="M32" s="388"/>
      <c r="N32" s="222"/>
      <c r="O32" s="222"/>
      <c r="P32" s="394"/>
      <c r="Q32" s="394"/>
      <c r="R32" s="394"/>
      <c r="S32" s="394"/>
      <c r="T32" s="394"/>
      <c r="U32" s="394"/>
      <c r="V32" s="394"/>
      <c r="W32" s="394"/>
      <c r="X32" s="394"/>
      <c r="Y32" s="394"/>
      <c r="Z32" s="395"/>
      <c r="AA32" s="217"/>
      <c r="AB32" s="218"/>
      <c r="AC32" s="387"/>
      <c r="AD32" s="387"/>
      <c r="AE32" s="387"/>
      <c r="AF32" s="387"/>
      <c r="AG32" s="387"/>
      <c r="AH32" s="387"/>
      <c r="AI32" s="387"/>
      <c r="AJ32" s="387"/>
      <c r="AK32" s="387"/>
      <c r="AL32" s="387"/>
      <c r="AM32" s="388"/>
      <c r="AN32" s="217"/>
      <c r="AO32" s="218"/>
      <c r="AP32" s="387"/>
      <c r="AQ32" s="387"/>
      <c r="AR32" s="387"/>
      <c r="AS32" s="387"/>
      <c r="AT32" s="387"/>
      <c r="AU32" s="387"/>
      <c r="AV32" s="387"/>
      <c r="AW32" s="387"/>
      <c r="AX32" s="387"/>
      <c r="AY32" s="387"/>
      <c r="AZ32" s="388"/>
      <c r="BA32" s="217"/>
      <c r="BB32" s="218"/>
      <c r="BC32" s="387"/>
      <c r="BD32" s="387"/>
      <c r="BE32" s="387"/>
      <c r="BF32" s="387"/>
      <c r="BG32" s="387"/>
      <c r="BH32" s="387"/>
      <c r="BI32" s="387"/>
      <c r="BJ32" s="387"/>
      <c r="BK32" s="387"/>
      <c r="BL32" s="387"/>
      <c r="BM32" s="388"/>
      <c r="BN32" s="217"/>
      <c r="BO32" s="218"/>
      <c r="BP32" s="387"/>
      <c r="BQ32" s="387"/>
      <c r="BR32" s="387"/>
      <c r="BS32" s="387"/>
      <c r="BT32" s="387"/>
      <c r="BU32" s="387"/>
      <c r="BV32" s="387"/>
      <c r="BW32" s="387"/>
      <c r="BX32" s="387"/>
      <c r="BY32" s="387"/>
      <c r="BZ32" s="388"/>
      <c r="CA32" s="217"/>
      <c r="CB32" s="218"/>
      <c r="CC32" s="387"/>
      <c r="CD32" s="387"/>
      <c r="CE32" s="387"/>
      <c r="CF32" s="387"/>
      <c r="CG32" s="387"/>
      <c r="CH32" s="387"/>
      <c r="CI32" s="387"/>
      <c r="CJ32" s="387"/>
      <c r="CK32" s="387"/>
      <c r="CL32" s="387"/>
      <c r="CM32" s="388"/>
      <c r="CN32" s="217"/>
      <c r="CO32" s="218"/>
      <c r="CP32" s="387"/>
      <c r="CQ32" s="387"/>
      <c r="CR32" s="387"/>
      <c r="CS32" s="387"/>
      <c r="CT32" s="387"/>
      <c r="CU32" s="387"/>
      <c r="CV32" s="387"/>
      <c r="CW32" s="387"/>
      <c r="CX32" s="387"/>
      <c r="CY32" s="387"/>
      <c r="CZ32" s="388"/>
      <c r="DA32" s="217"/>
      <c r="DB32" s="218"/>
      <c r="DC32" s="387"/>
      <c r="DD32" s="387"/>
      <c r="DE32" s="387"/>
      <c r="DF32" s="387"/>
      <c r="DG32" s="387"/>
      <c r="DH32" s="387"/>
      <c r="DI32" s="387"/>
      <c r="DJ32" s="387"/>
      <c r="DK32" s="387"/>
      <c r="DL32" s="387"/>
      <c r="DM32" s="388"/>
      <c r="DN32" s="217"/>
      <c r="DO32" s="218"/>
      <c r="DP32" s="387"/>
      <c r="DQ32" s="387"/>
      <c r="DR32" s="387"/>
      <c r="DS32" s="387"/>
      <c r="DT32" s="387"/>
      <c r="DU32" s="387"/>
      <c r="DV32" s="387"/>
      <c r="DW32" s="387"/>
      <c r="DX32" s="387"/>
      <c r="DY32" s="387"/>
      <c r="DZ32" s="388"/>
      <c r="EA32" s="217"/>
      <c r="EB32" s="218"/>
      <c r="EC32" s="387"/>
      <c r="ED32" s="387"/>
      <c r="EE32" s="387"/>
      <c r="EF32" s="387"/>
      <c r="EG32" s="387"/>
      <c r="EH32" s="387"/>
      <c r="EI32" s="387"/>
      <c r="EJ32" s="387"/>
      <c r="EK32" s="387"/>
      <c r="EL32" s="387"/>
      <c r="EM32" s="388"/>
      <c r="EN32" s="217"/>
      <c r="EO32" s="218"/>
      <c r="EP32" s="387"/>
      <c r="EQ32" s="387"/>
      <c r="ER32" s="387"/>
      <c r="ES32" s="387"/>
      <c r="ET32" s="387"/>
      <c r="EU32" s="387"/>
      <c r="EV32" s="387"/>
      <c r="EW32" s="387"/>
      <c r="EX32" s="387"/>
      <c r="EY32" s="387"/>
      <c r="EZ32" s="388"/>
      <c r="FA32" s="217"/>
      <c r="FB32" s="218"/>
      <c r="FC32" s="387"/>
      <c r="FD32" s="387"/>
      <c r="FE32" s="387"/>
      <c r="FF32" s="387"/>
      <c r="FG32" s="387"/>
      <c r="FH32" s="387"/>
      <c r="FI32" s="387"/>
      <c r="FJ32" s="387"/>
      <c r="FK32" s="387"/>
      <c r="FL32" s="387"/>
      <c r="FM32" s="388"/>
      <c r="FN32" s="217"/>
      <c r="FO32" s="218"/>
      <c r="FP32" s="387"/>
      <c r="FQ32" s="387"/>
      <c r="FR32" s="387"/>
      <c r="FS32" s="387"/>
      <c r="FT32" s="387"/>
      <c r="FU32" s="387"/>
      <c r="FV32" s="387"/>
      <c r="FW32" s="387"/>
      <c r="FX32" s="387"/>
      <c r="FY32" s="387"/>
      <c r="FZ32" s="388"/>
      <c r="GA32" s="217"/>
      <c r="GB32" s="218"/>
      <c r="GC32" s="387"/>
      <c r="GD32" s="387"/>
      <c r="GE32" s="387"/>
      <c r="GF32" s="387"/>
      <c r="GG32" s="387"/>
      <c r="GH32" s="387"/>
      <c r="GI32" s="387"/>
      <c r="GJ32" s="387"/>
      <c r="GK32" s="387"/>
      <c r="GL32" s="387"/>
      <c r="GM32" s="388"/>
      <c r="GN32" s="217"/>
      <c r="GO32" s="218"/>
      <c r="GP32" s="387"/>
      <c r="GQ32" s="387"/>
      <c r="GR32" s="387"/>
      <c r="GS32" s="387"/>
      <c r="GT32" s="387"/>
      <c r="GU32" s="387"/>
      <c r="GV32" s="387"/>
      <c r="GW32" s="387"/>
      <c r="GX32" s="387"/>
      <c r="GY32" s="387"/>
      <c r="GZ32" s="388"/>
      <c r="HA32" s="217"/>
      <c r="HB32" s="218"/>
      <c r="HC32" s="387"/>
      <c r="HD32" s="387"/>
      <c r="HE32" s="387"/>
      <c r="HF32" s="387"/>
      <c r="HG32" s="387"/>
      <c r="HH32" s="387"/>
      <c r="HI32" s="387"/>
      <c r="HJ32" s="387"/>
      <c r="HK32" s="387"/>
      <c r="HL32" s="387"/>
      <c r="HM32" s="388"/>
      <c r="HN32" s="217"/>
      <c r="HO32" s="218"/>
      <c r="HP32" s="387"/>
      <c r="HQ32" s="387"/>
      <c r="HR32" s="387"/>
      <c r="HS32" s="387"/>
      <c r="HT32" s="387"/>
      <c r="HU32" s="387"/>
      <c r="HV32" s="387"/>
      <c r="HW32" s="387"/>
      <c r="HX32" s="387"/>
      <c r="HY32" s="387"/>
      <c r="HZ32" s="388"/>
      <c r="IA32" s="217"/>
      <c r="IB32" s="218"/>
      <c r="IC32" s="387"/>
      <c r="ID32" s="387"/>
      <c r="IE32" s="387"/>
      <c r="IF32" s="387"/>
      <c r="IG32" s="387"/>
      <c r="IH32" s="387"/>
      <c r="II32" s="387"/>
      <c r="IJ32" s="387"/>
      <c r="IK32" s="387"/>
      <c r="IL32" s="387"/>
      <c r="IM32" s="388"/>
      <c r="IN32" s="217"/>
      <c r="IO32" s="218"/>
      <c r="IP32" s="387"/>
      <c r="IQ32" s="387"/>
      <c r="IR32" s="387"/>
      <c r="IS32" s="387"/>
      <c r="IT32" s="387"/>
      <c r="IU32" s="387"/>
      <c r="IV32" s="387"/>
    </row>
    <row r="33" spans="1:256" x14ac:dyDescent="0.2">
      <c r="A33" s="217"/>
      <c r="B33" s="218"/>
      <c r="C33" s="387"/>
      <c r="D33" s="387"/>
      <c r="E33" s="387"/>
      <c r="F33" s="387"/>
      <c r="G33" s="387"/>
      <c r="H33" s="387"/>
      <c r="I33" s="387"/>
      <c r="J33" s="387"/>
      <c r="K33" s="387"/>
      <c r="L33" s="387"/>
      <c r="M33" s="388"/>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7"/>
      <c r="D34" s="387"/>
      <c r="E34" s="387"/>
      <c r="F34" s="387"/>
      <c r="G34" s="387"/>
      <c r="H34" s="387"/>
      <c r="I34" s="387"/>
      <c r="J34" s="387"/>
      <c r="K34" s="387"/>
      <c r="L34" s="387"/>
      <c r="M34" s="388"/>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7"/>
      <c r="D35" s="387"/>
      <c r="E35" s="387"/>
      <c r="F35" s="387"/>
      <c r="G35" s="387"/>
      <c r="H35" s="387"/>
      <c r="I35" s="387"/>
      <c r="J35" s="387"/>
      <c r="K35" s="387"/>
      <c r="L35" s="387"/>
      <c r="M35" s="388"/>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7"/>
      <c r="D36" s="387"/>
      <c r="E36" s="387"/>
      <c r="F36" s="387"/>
      <c r="G36" s="387"/>
      <c r="H36" s="387"/>
      <c r="I36" s="387"/>
      <c r="J36" s="387"/>
      <c r="K36" s="387"/>
      <c r="L36" s="387"/>
      <c r="M36" s="388"/>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7"/>
      <c r="D37" s="387"/>
      <c r="E37" s="387"/>
      <c r="F37" s="387"/>
      <c r="G37" s="387"/>
      <c r="H37" s="387"/>
      <c r="I37" s="387"/>
      <c r="J37" s="387"/>
      <c r="K37" s="387"/>
      <c r="L37" s="387"/>
      <c r="M37" s="388"/>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7"/>
      <c r="D38" s="387"/>
      <c r="E38" s="387"/>
      <c r="F38" s="387"/>
      <c r="G38" s="387"/>
      <c r="H38" s="387"/>
      <c r="I38" s="387"/>
      <c r="J38" s="387"/>
      <c r="K38" s="387"/>
      <c r="L38" s="387"/>
      <c r="M38" s="388"/>
      <c r="N38" s="210"/>
      <c r="O38" s="210"/>
      <c r="P38" s="393"/>
      <c r="Q38" s="393"/>
      <c r="R38" s="393"/>
      <c r="S38" s="393"/>
      <c r="T38" s="393"/>
      <c r="U38" s="393"/>
      <c r="V38" s="393"/>
      <c r="W38" s="393"/>
      <c r="X38" s="393"/>
      <c r="Y38" s="393"/>
      <c r="Z38" s="393"/>
      <c r="AA38" s="206"/>
      <c r="AB38" s="206"/>
      <c r="AC38" s="392"/>
      <c r="AD38" s="392"/>
      <c r="AE38" s="392"/>
      <c r="AF38" s="392"/>
      <c r="AG38" s="392"/>
      <c r="AH38" s="392"/>
      <c r="AI38" s="392"/>
      <c r="AJ38" s="392"/>
      <c r="AK38" s="392"/>
      <c r="AL38" s="392"/>
      <c r="AM38" s="392"/>
      <c r="AN38" s="206"/>
      <c r="AO38" s="206"/>
      <c r="AP38" s="392"/>
      <c r="AQ38" s="392"/>
      <c r="AR38" s="392"/>
      <c r="AS38" s="392"/>
      <c r="AT38" s="392"/>
      <c r="AU38" s="392"/>
      <c r="AV38" s="392"/>
      <c r="AW38" s="392"/>
      <c r="AX38" s="392"/>
      <c r="AY38" s="392"/>
      <c r="AZ38" s="392"/>
      <c r="BA38" s="206"/>
      <c r="BB38" s="206"/>
      <c r="BC38" s="392"/>
      <c r="BD38" s="392"/>
      <c r="BE38" s="392"/>
      <c r="BF38" s="392"/>
      <c r="BG38" s="392"/>
      <c r="BH38" s="392"/>
      <c r="BI38" s="392"/>
      <c r="BJ38" s="392"/>
      <c r="BK38" s="392"/>
      <c r="BL38" s="392"/>
      <c r="BM38" s="392"/>
      <c r="BN38" s="206"/>
      <c r="BO38" s="206"/>
      <c r="BP38" s="392"/>
      <c r="BQ38" s="392"/>
      <c r="BR38" s="392"/>
      <c r="BS38" s="392"/>
      <c r="BT38" s="392"/>
      <c r="BU38" s="392"/>
      <c r="BV38" s="392"/>
      <c r="BW38" s="392"/>
      <c r="BX38" s="392"/>
      <c r="BY38" s="392"/>
      <c r="BZ38" s="392"/>
      <c r="CA38" s="206"/>
      <c r="CB38" s="206"/>
      <c r="CC38" s="392"/>
      <c r="CD38" s="392"/>
      <c r="CE38" s="392"/>
      <c r="CF38" s="392"/>
      <c r="CG38" s="392"/>
      <c r="CH38" s="392"/>
      <c r="CI38" s="392"/>
      <c r="CJ38" s="392"/>
      <c r="CK38" s="392"/>
      <c r="CL38" s="392"/>
      <c r="CM38" s="392"/>
      <c r="CN38" s="206"/>
      <c r="CO38" s="206"/>
      <c r="CP38" s="392"/>
      <c r="CQ38" s="392"/>
      <c r="CR38" s="392"/>
      <c r="CS38" s="392"/>
      <c r="CT38" s="392"/>
      <c r="CU38" s="392"/>
      <c r="CV38" s="392"/>
      <c r="CW38" s="392"/>
      <c r="CX38" s="392"/>
      <c r="CY38" s="392"/>
      <c r="CZ38" s="392"/>
      <c r="DA38" s="206"/>
      <c r="DB38" s="206"/>
      <c r="DC38" s="392"/>
      <c r="DD38" s="392"/>
      <c r="DE38" s="392"/>
      <c r="DF38" s="392"/>
      <c r="DG38" s="392"/>
      <c r="DH38" s="392"/>
      <c r="DI38" s="392"/>
      <c r="DJ38" s="392"/>
      <c r="DK38" s="392"/>
      <c r="DL38" s="392"/>
      <c r="DM38" s="392"/>
      <c r="DN38" s="206"/>
      <c r="DO38" s="206"/>
      <c r="DP38" s="392"/>
      <c r="DQ38" s="392"/>
      <c r="DR38" s="392"/>
      <c r="DS38" s="392"/>
      <c r="DT38" s="392"/>
      <c r="DU38" s="392"/>
      <c r="DV38" s="392"/>
      <c r="DW38" s="392"/>
      <c r="DX38" s="392"/>
      <c r="DY38" s="392"/>
      <c r="DZ38" s="392"/>
      <c r="EA38" s="206"/>
      <c r="EB38" s="206"/>
      <c r="EC38" s="392"/>
      <c r="ED38" s="392"/>
      <c r="EE38" s="392"/>
      <c r="EF38" s="392"/>
      <c r="EG38" s="392"/>
      <c r="EH38" s="392"/>
      <c r="EI38" s="392"/>
      <c r="EJ38" s="392"/>
      <c r="EK38" s="392"/>
      <c r="EL38" s="392"/>
      <c r="EM38" s="392"/>
      <c r="EN38" s="206"/>
      <c r="EO38" s="206"/>
      <c r="EP38" s="392"/>
      <c r="EQ38" s="392"/>
      <c r="ER38" s="392"/>
      <c r="ES38" s="392"/>
      <c r="ET38" s="392"/>
      <c r="EU38" s="392"/>
      <c r="EV38" s="392"/>
      <c r="EW38" s="392"/>
      <c r="EX38" s="392"/>
      <c r="EY38" s="392"/>
      <c r="EZ38" s="392"/>
      <c r="FA38" s="206"/>
      <c r="FB38" s="206"/>
      <c r="FC38" s="392"/>
      <c r="FD38" s="392"/>
      <c r="FE38" s="392"/>
      <c r="FF38" s="392"/>
      <c r="FG38" s="392"/>
      <c r="FH38" s="392"/>
      <c r="FI38" s="392"/>
      <c r="FJ38" s="392"/>
      <c r="FK38" s="392"/>
      <c r="FL38" s="392"/>
      <c r="FM38" s="392"/>
      <c r="FN38" s="206"/>
      <c r="FO38" s="206"/>
      <c r="FP38" s="392"/>
      <c r="FQ38" s="392"/>
      <c r="FR38" s="392"/>
      <c r="FS38" s="392"/>
      <c r="FT38" s="392"/>
      <c r="FU38" s="392"/>
      <c r="FV38" s="392"/>
      <c r="FW38" s="392"/>
      <c r="FX38" s="392"/>
      <c r="FY38" s="392"/>
      <c r="FZ38" s="392"/>
      <c r="GA38" s="206"/>
      <c r="GB38" s="206"/>
      <c r="GC38" s="392"/>
      <c r="GD38" s="392"/>
      <c r="GE38" s="392"/>
      <c r="GF38" s="392"/>
      <c r="GG38" s="392"/>
      <c r="GH38" s="392"/>
      <c r="GI38" s="392"/>
      <c r="GJ38" s="392"/>
      <c r="GK38" s="392"/>
      <c r="GL38" s="392"/>
      <c r="GM38" s="392"/>
      <c r="GN38" s="206"/>
      <c r="GO38" s="206"/>
      <c r="GP38" s="392"/>
      <c r="GQ38" s="392"/>
      <c r="GR38" s="392"/>
      <c r="GS38" s="392"/>
      <c r="GT38" s="392"/>
      <c r="GU38" s="392"/>
      <c r="GV38" s="392"/>
      <c r="GW38" s="392"/>
      <c r="GX38" s="392"/>
      <c r="GY38" s="392"/>
      <c r="GZ38" s="392"/>
      <c r="HA38" s="206"/>
      <c r="HB38" s="206"/>
      <c r="HC38" s="392"/>
      <c r="HD38" s="392"/>
      <c r="HE38" s="392"/>
      <c r="HF38" s="392"/>
      <c r="HG38" s="392"/>
      <c r="HH38" s="392"/>
      <c r="HI38" s="392"/>
      <c r="HJ38" s="392"/>
      <c r="HK38" s="392"/>
      <c r="HL38" s="392"/>
      <c r="HM38" s="392"/>
      <c r="HN38" s="206"/>
      <c r="HO38" s="206"/>
      <c r="HP38" s="392"/>
      <c r="HQ38" s="392"/>
      <c r="HR38" s="392"/>
      <c r="HS38" s="392"/>
      <c r="HT38" s="392"/>
      <c r="HU38" s="392"/>
      <c r="HV38" s="392"/>
      <c r="HW38" s="392"/>
      <c r="HX38" s="392"/>
      <c r="HY38" s="392"/>
      <c r="HZ38" s="392"/>
      <c r="IA38" s="206"/>
      <c r="IB38" s="206"/>
      <c r="IC38" s="392"/>
      <c r="ID38" s="392"/>
      <c r="IE38" s="392"/>
      <c r="IF38" s="392"/>
      <c r="IG38" s="392"/>
      <c r="IH38" s="392"/>
      <c r="II38" s="392"/>
      <c r="IJ38" s="392"/>
      <c r="IK38" s="392"/>
      <c r="IL38" s="392"/>
      <c r="IM38" s="392"/>
      <c r="IN38" s="206"/>
      <c r="IO38" s="206"/>
      <c r="IP38" s="392"/>
      <c r="IQ38" s="392"/>
      <c r="IR38" s="392"/>
      <c r="IS38" s="392"/>
      <c r="IT38" s="392"/>
      <c r="IU38" s="392"/>
      <c r="IV38" s="392"/>
    </row>
    <row r="39" spans="1:256" x14ac:dyDescent="0.2">
      <c r="A39" s="217"/>
      <c r="B39" s="218"/>
      <c r="C39" s="387"/>
      <c r="D39" s="387"/>
      <c r="E39" s="387"/>
      <c r="F39" s="387"/>
      <c r="G39" s="387"/>
      <c r="H39" s="387"/>
      <c r="I39" s="387"/>
      <c r="J39" s="387"/>
      <c r="K39" s="387"/>
      <c r="L39" s="387"/>
      <c r="M39" s="388"/>
      <c r="N39" s="210"/>
      <c r="O39" s="210"/>
      <c r="P39" s="393"/>
      <c r="Q39" s="393"/>
      <c r="R39" s="393"/>
      <c r="S39" s="393"/>
      <c r="T39" s="393"/>
      <c r="U39" s="393"/>
      <c r="V39" s="393"/>
      <c r="W39" s="393"/>
      <c r="X39" s="393"/>
      <c r="Y39" s="393"/>
      <c r="Z39" s="393"/>
      <c r="AA39" s="206"/>
      <c r="AB39" s="206"/>
      <c r="AC39" s="392"/>
      <c r="AD39" s="392"/>
      <c r="AE39" s="392"/>
      <c r="AF39" s="392"/>
      <c r="AG39" s="392"/>
      <c r="AH39" s="392"/>
      <c r="AI39" s="392"/>
      <c r="AJ39" s="392"/>
      <c r="AK39" s="392"/>
      <c r="AL39" s="392"/>
      <c r="AM39" s="392"/>
      <c r="AN39" s="206"/>
      <c r="AO39" s="206"/>
      <c r="AP39" s="392"/>
      <c r="AQ39" s="392"/>
      <c r="AR39" s="392"/>
      <c r="AS39" s="392"/>
      <c r="AT39" s="392"/>
      <c r="AU39" s="392"/>
      <c r="AV39" s="392"/>
      <c r="AW39" s="392"/>
      <c r="AX39" s="392"/>
      <c r="AY39" s="392"/>
      <c r="AZ39" s="392"/>
      <c r="BA39" s="206"/>
      <c r="BB39" s="206"/>
      <c r="BC39" s="392"/>
      <c r="BD39" s="392"/>
      <c r="BE39" s="392"/>
      <c r="BF39" s="392"/>
      <c r="BG39" s="392"/>
      <c r="BH39" s="392"/>
      <c r="BI39" s="392"/>
      <c r="BJ39" s="392"/>
      <c r="BK39" s="392"/>
      <c r="BL39" s="392"/>
      <c r="BM39" s="392"/>
      <c r="BN39" s="206"/>
      <c r="BO39" s="206"/>
      <c r="BP39" s="392"/>
      <c r="BQ39" s="392"/>
      <c r="BR39" s="392"/>
      <c r="BS39" s="392"/>
      <c r="BT39" s="392"/>
      <c r="BU39" s="392"/>
      <c r="BV39" s="392"/>
      <c r="BW39" s="392"/>
      <c r="BX39" s="392"/>
      <c r="BY39" s="392"/>
      <c r="BZ39" s="392"/>
      <c r="CA39" s="206"/>
      <c r="CB39" s="206"/>
      <c r="CC39" s="392"/>
      <c r="CD39" s="392"/>
      <c r="CE39" s="392"/>
      <c r="CF39" s="392"/>
      <c r="CG39" s="392"/>
      <c r="CH39" s="392"/>
      <c r="CI39" s="392"/>
      <c r="CJ39" s="392"/>
      <c r="CK39" s="392"/>
      <c r="CL39" s="392"/>
      <c r="CM39" s="392"/>
      <c r="CN39" s="206"/>
      <c r="CO39" s="206"/>
      <c r="CP39" s="392"/>
      <c r="CQ39" s="392"/>
      <c r="CR39" s="392"/>
      <c r="CS39" s="392"/>
      <c r="CT39" s="392"/>
      <c r="CU39" s="392"/>
      <c r="CV39" s="392"/>
      <c r="CW39" s="392"/>
      <c r="CX39" s="392"/>
      <c r="CY39" s="392"/>
      <c r="CZ39" s="392"/>
      <c r="DA39" s="206"/>
      <c r="DB39" s="206"/>
      <c r="DC39" s="392"/>
      <c r="DD39" s="392"/>
      <c r="DE39" s="392"/>
      <c r="DF39" s="392"/>
      <c r="DG39" s="392"/>
      <c r="DH39" s="392"/>
      <c r="DI39" s="392"/>
      <c r="DJ39" s="392"/>
      <c r="DK39" s="392"/>
      <c r="DL39" s="392"/>
      <c r="DM39" s="392"/>
      <c r="DN39" s="206"/>
      <c r="DO39" s="206"/>
      <c r="DP39" s="392"/>
      <c r="DQ39" s="392"/>
      <c r="DR39" s="392"/>
      <c r="DS39" s="392"/>
      <c r="DT39" s="392"/>
      <c r="DU39" s="392"/>
      <c r="DV39" s="392"/>
      <c r="DW39" s="392"/>
      <c r="DX39" s="392"/>
      <c r="DY39" s="392"/>
      <c r="DZ39" s="392"/>
      <c r="EA39" s="206"/>
      <c r="EB39" s="206"/>
      <c r="EC39" s="392"/>
      <c r="ED39" s="392"/>
      <c r="EE39" s="392"/>
      <c r="EF39" s="392"/>
      <c r="EG39" s="392"/>
      <c r="EH39" s="392"/>
      <c r="EI39" s="392"/>
      <c r="EJ39" s="392"/>
      <c r="EK39" s="392"/>
      <c r="EL39" s="392"/>
      <c r="EM39" s="392"/>
      <c r="EN39" s="206"/>
      <c r="EO39" s="206"/>
      <c r="EP39" s="392"/>
      <c r="EQ39" s="392"/>
      <c r="ER39" s="392"/>
      <c r="ES39" s="392"/>
      <c r="ET39" s="392"/>
      <c r="EU39" s="392"/>
      <c r="EV39" s="392"/>
      <c r="EW39" s="392"/>
      <c r="EX39" s="392"/>
      <c r="EY39" s="392"/>
      <c r="EZ39" s="392"/>
      <c r="FA39" s="206"/>
      <c r="FB39" s="206"/>
      <c r="FC39" s="392"/>
      <c r="FD39" s="392"/>
      <c r="FE39" s="392"/>
      <c r="FF39" s="392"/>
      <c r="FG39" s="392"/>
      <c r="FH39" s="392"/>
      <c r="FI39" s="392"/>
      <c r="FJ39" s="392"/>
      <c r="FK39" s="392"/>
      <c r="FL39" s="392"/>
      <c r="FM39" s="392"/>
      <c r="FN39" s="206"/>
      <c r="FO39" s="206"/>
      <c r="FP39" s="392"/>
      <c r="FQ39" s="392"/>
      <c r="FR39" s="392"/>
      <c r="FS39" s="392"/>
      <c r="FT39" s="392"/>
      <c r="FU39" s="392"/>
      <c r="FV39" s="392"/>
      <c r="FW39" s="392"/>
      <c r="FX39" s="392"/>
      <c r="FY39" s="392"/>
      <c r="FZ39" s="392"/>
      <c r="GA39" s="206"/>
      <c r="GB39" s="206"/>
      <c r="GC39" s="392"/>
      <c r="GD39" s="392"/>
      <c r="GE39" s="392"/>
      <c r="GF39" s="392"/>
      <c r="GG39" s="392"/>
      <c r="GH39" s="392"/>
      <c r="GI39" s="392"/>
      <c r="GJ39" s="392"/>
      <c r="GK39" s="392"/>
      <c r="GL39" s="392"/>
      <c r="GM39" s="392"/>
      <c r="GN39" s="206"/>
      <c r="GO39" s="206"/>
      <c r="GP39" s="392"/>
      <c r="GQ39" s="392"/>
      <c r="GR39" s="392"/>
      <c r="GS39" s="392"/>
      <c r="GT39" s="392"/>
      <c r="GU39" s="392"/>
      <c r="GV39" s="392"/>
      <c r="GW39" s="392"/>
      <c r="GX39" s="392"/>
      <c r="GY39" s="392"/>
      <c r="GZ39" s="392"/>
      <c r="HA39" s="206"/>
      <c r="HB39" s="206"/>
      <c r="HC39" s="392"/>
      <c r="HD39" s="392"/>
      <c r="HE39" s="392"/>
      <c r="HF39" s="392"/>
      <c r="HG39" s="392"/>
      <c r="HH39" s="392"/>
      <c r="HI39" s="392"/>
      <c r="HJ39" s="392"/>
      <c r="HK39" s="392"/>
      <c r="HL39" s="392"/>
      <c r="HM39" s="392"/>
      <c r="HN39" s="206"/>
      <c r="HO39" s="206"/>
      <c r="HP39" s="392"/>
      <c r="HQ39" s="392"/>
      <c r="HR39" s="392"/>
      <c r="HS39" s="392"/>
      <c r="HT39" s="392"/>
      <c r="HU39" s="392"/>
      <c r="HV39" s="392"/>
      <c r="HW39" s="392"/>
      <c r="HX39" s="392"/>
      <c r="HY39" s="392"/>
      <c r="HZ39" s="392"/>
      <c r="IA39" s="206"/>
      <c r="IB39" s="206"/>
      <c r="IC39" s="392"/>
      <c r="ID39" s="392"/>
      <c r="IE39" s="392"/>
      <c r="IF39" s="392"/>
      <c r="IG39" s="392"/>
      <c r="IH39" s="392"/>
      <c r="II39" s="392"/>
      <c r="IJ39" s="392"/>
      <c r="IK39" s="392"/>
      <c r="IL39" s="392"/>
      <c r="IM39" s="392"/>
      <c r="IN39" s="206"/>
      <c r="IO39" s="206"/>
      <c r="IP39" s="392"/>
      <c r="IQ39" s="392"/>
      <c r="IR39" s="392"/>
      <c r="IS39" s="392"/>
      <c r="IT39" s="392"/>
      <c r="IU39" s="392"/>
      <c r="IV39" s="392"/>
    </row>
    <row r="40" spans="1:256" x14ac:dyDescent="0.2">
      <c r="A40" s="217"/>
      <c r="B40" s="218"/>
      <c r="C40" s="387"/>
      <c r="D40" s="387"/>
      <c r="E40" s="387"/>
      <c r="F40" s="387"/>
      <c r="G40" s="387"/>
      <c r="H40" s="387"/>
      <c r="I40" s="387"/>
      <c r="J40" s="387"/>
      <c r="K40" s="387"/>
      <c r="L40" s="387"/>
      <c r="M40" s="388"/>
      <c r="N40" s="210"/>
      <c r="O40" s="210"/>
      <c r="P40" s="393"/>
      <c r="Q40" s="393"/>
      <c r="R40" s="393"/>
      <c r="S40" s="393"/>
      <c r="T40" s="393"/>
      <c r="U40" s="393"/>
      <c r="V40" s="393"/>
      <c r="W40" s="393"/>
      <c r="X40" s="393"/>
      <c r="Y40" s="393"/>
      <c r="Z40" s="393"/>
      <c r="AA40" s="206"/>
      <c r="AB40" s="206"/>
      <c r="AC40" s="392"/>
      <c r="AD40" s="392"/>
      <c r="AE40" s="392"/>
      <c r="AF40" s="392"/>
      <c r="AG40" s="392"/>
      <c r="AH40" s="392"/>
      <c r="AI40" s="392"/>
      <c r="AJ40" s="392"/>
      <c r="AK40" s="392"/>
      <c r="AL40" s="392"/>
      <c r="AM40" s="392"/>
      <c r="AN40" s="206"/>
      <c r="AO40" s="206"/>
      <c r="AP40" s="392"/>
      <c r="AQ40" s="392"/>
      <c r="AR40" s="392"/>
      <c r="AS40" s="392"/>
      <c r="AT40" s="392"/>
      <c r="AU40" s="392"/>
      <c r="AV40" s="392"/>
      <c r="AW40" s="392"/>
      <c r="AX40" s="392"/>
      <c r="AY40" s="392"/>
      <c r="AZ40" s="392"/>
      <c r="BA40" s="206"/>
      <c r="BB40" s="206"/>
      <c r="BC40" s="392"/>
      <c r="BD40" s="392"/>
      <c r="BE40" s="392"/>
      <c r="BF40" s="392"/>
      <c r="BG40" s="392"/>
      <c r="BH40" s="392"/>
      <c r="BI40" s="392"/>
      <c r="BJ40" s="392"/>
      <c r="BK40" s="392"/>
      <c r="BL40" s="392"/>
      <c r="BM40" s="392"/>
      <c r="BN40" s="206"/>
      <c r="BO40" s="206"/>
      <c r="BP40" s="392"/>
      <c r="BQ40" s="392"/>
      <c r="BR40" s="392"/>
      <c r="BS40" s="392"/>
      <c r="BT40" s="392"/>
      <c r="BU40" s="392"/>
      <c r="BV40" s="392"/>
      <c r="BW40" s="392"/>
      <c r="BX40" s="392"/>
      <c r="BY40" s="392"/>
      <c r="BZ40" s="392"/>
      <c r="CA40" s="206"/>
      <c r="CB40" s="206"/>
      <c r="CC40" s="392"/>
      <c r="CD40" s="392"/>
      <c r="CE40" s="392"/>
      <c r="CF40" s="392"/>
      <c r="CG40" s="392"/>
      <c r="CH40" s="392"/>
      <c r="CI40" s="392"/>
      <c r="CJ40" s="392"/>
      <c r="CK40" s="392"/>
      <c r="CL40" s="392"/>
      <c r="CM40" s="392"/>
      <c r="CN40" s="206"/>
      <c r="CO40" s="206"/>
      <c r="CP40" s="392"/>
      <c r="CQ40" s="392"/>
      <c r="CR40" s="392"/>
      <c r="CS40" s="392"/>
      <c r="CT40" s="392"/>
      <c r="CU40" s="392"/>
      <c r="CV40" s="392"/>
      <c r="CW40" s="392"/>
      <c r="CX40" s="392"/>
      <c r="CY40" s="392"/>
      <c r="CZ40" s="392"/>
      <c r="DA40" s="206"/>
      <c r="DB40" s="206"/>
      <c r="DC40" s="392"/>
      <c r="DD40" s="392"/>
      <c r="DE40" s="392"/>
      <c r="DF40" s="392"/>
      <c r="DG40" s="392"/>
      <c r="DH40" s="392"/>
      <c r="DI40" s="392"/>
      <c r="DJ40" s="392"/>
      <c r="DK40" s="392"/>
      <c r="DL40" s="392"/>
      <c r="DM40" s="392"/>
      <c r="DN40" s="206"/>
      <c r="DO40" s="206"/>
      <c r="DP40" s="392"/>
      <c r="DQ40" s="392"/>
      <c r="DR40" s="392"/>
      <c r="DS40" s="392"/>
      <c r="DT40" s="392"/>
      <c r="DU40" s="392"/>
      <c r="DV40" s="392"/>
      <c r="DW40" s="392"/>
      <c r="DX40" s="392"/>
      <c r="DY40" s="392"/>
      <c r="DZ40" s="392"/>
      <c r="EA40" s="206"/>
      <c r="EB40" s="206"/>
      <c r="EC40" s="392"/>
      <c r="ED40" s="392"/>
      <c r="EE40" s="392"/>
      <c r="EF40" s="392"/>
      <c r="EG40" s="392"/>
      <c r="EH40" s="392"/>
      <c r="EI40" s="392"/>
      <c r="EJ40" s="392"/>
      <c r="EK40" s="392"/>
      <c r="EL40" s="392"/>
      <c r="EM40" s="392"/>
      <c r="EN40" s="206"/>
      <c r="EO40" s="206"/>
      <c r="EP40" s="392"/>
      <c r="EQ40" s="392"/>
      <c r="ER40" s="392"/>
      <c r="ES40" s="392"/>
      <c r="ET40" s="392"/>
      <c r="EU40" s="392"/>
      <c r="EV40" s="392"/>
      <c r="EW40" s="392"/>
      <c r="EX40" s="392"/>
      <c r="EY40" s="392"/>
      <c r="EZ40" s="392"/>
      <c r="FA40" s="206"/>
      <c r="FB40" s="206"/>
      <c r="FC40" s="392"/>
      <c r="FD40" s="392"/>
      <c r="FE40" s="392"/>
      <c r="FF40" s="392"/>
      <c r="FG40" s="392"/>
      <c r="FH40" s="392"/>
      <c r="FI40" s="392"/>
      <c r="FJ40" s="392"/>
      <c r="FK40" s="392"/>
      <c r="FL40" s="392"/>
      <c r="FM40" s="392"/>
      <c r="FN40" s="206"/>
      <c r="FO40" s="206"/>
      <c r="FP40" s="392"/>
      <c r="FQ40" s="392"/>
      <c r="FR40" s="392"/>
      <c r="FS40" s="392"/>
      <c r="FT40" s="392"/>
      <c r="FU40" s="392"/>
      <c r="FV40" s="392"/>
      <c r="FW40" s="392"/>
      <c r="FX40" s="392"/>
      <c r="FY40" s="392"/>
      <c r="FZ40" s="392"/>
      <c r="GA40" s="206"/>
      <c r="GB40" s="206"/>
      <c r="GC40" s="392"/>
      <c r="GD40" s="392"/>
      <c r="GE40" s="392"/>
      <c r="GF40" s="392"/>
      <c r="GG40" s="392"/>
      <c r="GH40" s="392"/>
      <c r="GI40" s="392"/>
      <c r="GJ40" s="392"/>
      <c r="GK40" s="392"/>
      <c r="GL40" s="392"/>
      <c r="GM40" s="392"/>
      <c r="GN40" s="206"/>
      <c r="GO40" s="206"/>
      <c r="GP40" s="392"/>
      <c r="GQ40" s="392"/>
      <c r="GR40" s="392"/>
      <c r="GS40" s="392"/>
      <c r="GT40" s="392"/>
      <c r="GU40" s="392"/>
      <c r="GV40" s="392"/>
      <c r="GW40" s="392"/>
      <c r="GX40" s="392"/>
      <c r="GY40" s="392"/>
      <c r="GZ40" s="392"/>
      <c r="HA40" s="206"/>
      <c r="HB40" s="206"/>
      <c r="HC40" s="392"/>
      <c r="HD40" s="392"/>
      <c r="HE40" s="392"/>
      <c r="HF40" s="392"/>
      <c r="HG40" s="392"/>
      <c r="HH40" s="392"/>
      <c r="HI40" s="392"/>
      <c r="HJ40" s="392"/>
      <c r="HK40" s="392"/>
      <c r="HL40" s="392"/>
      <c r="HM40" s="392"/>
      <c r="HN40" s="206"/>
      <c r="HO40" s="206"/>
      <c r="HP40" s="392"/>
      <c r="HQ40" s="392"/>
      <c r="HR40" s="392"/>
      <c r="HS40" s="392"/>
      <c r="HT40" s="392"/>
      <c r="HU40" s="392"/>
      <c r="HV40" s="392"/>
      <c r="HW40" s="392"/>
      <c r="HX40" s="392"/>
      <c r="HY40" s="392"/>
      <c r="HZ40" s="392"/>
      <c r="IA40" s="206"/>
      <c r="IB40" s="206"/>
      <c r="IC40" s="392"/>
      <c r="ID40" s="392"/>
      <c r="IE40" s="392"/>
      <c r="IF40" s="392"/>
      <c r="IG40" s="392"/>
      <c r="IH40" s="392"/>
      <c r="II40" s="392"/>
      <c r="IJ40" s="392"/>
      <c r="IK40" s="392"/>
      <c r="IL40" s="392"/>
      <c r="IM40" s="392"/>
      <c r="IN40" s="206"/>
      <c r="IO40" s="206"/>
      <c r="IP40" s="392"/>
      <c r="IQ40" s="392"/>
      <c r="IR40" s="392"/>
      <c r="IS40" s="392"/>
      <c r="IT40" s="392"/>
      <c r="IU40" s="392"/>
      <c r="IV40" s="392"/>
    </row>
    <row r="41" spans="1:256" x14ac:dyDescent="0.2">
      <c r="A41" s="217"/>
      <c r="B41" s="218"/>
      <c r="C41" s="387"/>
      <c r="D41" s="387"/>
      <c r="E41" s="387"/>
      <c r="F41" s="387"/>
      <c r="G41" s="387"/>
      <c r="H41" s="387"/>
      <c r="I41" s="387"/>
      <c r="J41" s="387"/>
      <c r="K41" s="387"/>
      <c r="L41" s="387"/>
      <c r="M41" s="388"/>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7"/>
      <c r="D42" s="387"/>
      <c r="E42" s="387"/>
      <c r="F42" s="387"/>
      <c r="G42" s="387"/>
      <c r="H42" s="387"/>
      <c r="I42" s="387"/>
      <c r="J42" s="387"/>
      <c r="K42" s="387"/>
      <c r="L42" s="387"/>
      <c r="M42" s="388"/>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7"/>
      <c r="D43" s="387"/>
      <c r="E43" s="387"/>
      <c r="F43" s="387"/>
      <c r="G43" s="387"/>
      <c r="H43" s="387"/>
      <c r="I43" s="387"/>
      <c r="J43" s="387"/>
      <c r="K43" s="387"/>
      <c r="L43" s="387"/>
      <c r="M43" s="388"/>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7"/>
      <c r="D44" s="387"/>
      <c r="E44" s="387"/>
      <c r="F44" s="387"/>
      <c r="G44" s="387"/>
      <c r="H44" s="387"/>
      <c r="I44" s="387"/>
      <c r="J44" s="387"/>
      <c r="K44" s="387"/>
      <c r="L44" s="387"/>
      <c r="M44" s="388"/>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7"/>
      <c r="D45" s="387"/>
      <c r="E45" s="387"/>
      <c r="F45" s="387"/>
      <c r="G45" s="387"/>
      <c r="H45" s="387"/>
      <c r="I45" s="387"/>
      <c r="J45" s="387"/>
      <c r="K45" s="387"/>
      <c r="L45" s="387"/>
      <c r="M45" s="388"/>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7"/>
      <c r="D46" s="387"/>
      <c r="E46" s="387"/>
      <c r="F46" s="387"/>
      <c r="G46" s="387"/>
      <c r="H46" s="387"/>
      <c r="I46" s="387"/>
      <c r="J46" s="387"/>
      <c r="K46" s="387"/>
      <c r="L46" s="387"/>
      <c r="M46" s="388"/>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7"/>
      <c r="D47" s="387"/>
      <c r="E47" s="387"/>
      <c r="F47" s="387"/>
      <c r="G47" s="387"/>
      <c r="H47" s="387"/>
      <c r="I47" s="387"/>
      <c r="J47" s="387"/>
      <c r="K47" s="387"/>
      <c r="L47" s="387"/>
      <c r="M47" s="388"/>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7"/>
      <c r="D48" s="387"/>
      <c r="E48" s="387"/>
      <c r="F48" s="387"/>
      <c r="G48" s="387"/>
      <c r="H48" s="387"/>
      <c r="I48" s="387"/>
      <c r="J48" s="387"/>
      <c r="K48" s="387"/>
      <c r="L48" s="387"/>
      <c r="M48" s="388"/>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7"/>
      <c r="D49" s="387"/>
      <c r="E49" s="387"/>
      <c r="F49" s="387"/>
      <c r="G49" s="387"/>
      <c r="H49" s="387"/>
      <c r="I49" s="387"/>
      <c r="J49" s="387"/>
      <c r="K49" s="387"/>
      <c r="L49" s="387"/>
      <c r="M49" s="388"/>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7"/>
      <c r="D50" s="387"/>
      <c r="E50" s="387"/>
      <c r="F50" s="387"/>
      <c r="G50" s="387"/>
      <c r="H50" s="387"/>
      <c r="I50" s="387"/>
      <c r="J50" s="387"/>
      <c r="K50" s="387"/>
      <c r="L50" s="387"/>
      <c r="M50" s="388"/>
      <c r="N50" s="126"/>
      <c r="O50" s="126"/>
      <c r="P50" s="126"/>
      <c r="Q50" s="126"/>
      <c r="R50" s="126"/>
      <c r="S50" s="126"/>
      <c r="T50" s="126"/>
      <c r="U50" s="126"/>
      <c r="V50" s="126"/>
      <c r="W50" s="126"/>
      <c r="X50" s="126"/>
      <c r="Y50" s="126"/>
      <c r="Z50" s="126"/>
    </row>
    <row r="51" spans="1:256" x14ac:dyDescent="0.2">
      <c r="A51" s="217"/>
      <c r="B51" s="218"/>
      <c r="C51" s="387"/>
      <c r="D51" s="387"/>
      <c r="E51" s="387"/>
      <c r="F51" s="387"/>
      <c r="G51" s="387"/>
      <c r="H51" s="387"/>
      <c r="I51" s="387"/>
      <c r="J51" s="387"/>
      <c r="K51" s="387"/>
      <c r="L51" s="387"/>
      <c r="M51" s="388"/>
      <c r="N51" s="126"/>
      <c r="O51" s="126"/>
      <c r="P51" s="126"/>
      <c r="Q51" s="126"/>
      <c r="R51" s="126"/>
      <c r="S51" s="126"/>
      <c r="T51" s="126"/>
      <c r="U51" s="126"/>
      <c r="V51" s="126"/>
      <c r="W51" s="126"/>
      <c r="X51" s="126"/>
      <c r="Y51" s="126"/>
      <c r="Z51" s="126"/>
    </row>
    <row r="52" spans="1:256" x14ac:dyDescent="0.2">
      <c r="A52" s="217"/>
      <c r="B52" s="218"/>
      <c r="C52" s="387"/>
      <c r="D52" s="387"/>
      <c r="E52" s="387"/>
      <c r="F52" s="387"/>
      <c r="G52" s="387"/>
      <c r="H52" s="387"/>
      <c r="I52" s="387"/>
      <c r="J52" s="387"/>
      <c r="K52" s="387"/>
      <c r="L52" s="387"/>
      <c r="M52" s="388"/>
      <c r="N52" s="126"/>
      <c r="O52" s="126"/>
      <c r="P52" s="126"/>
      <c r="Q52" s="126"/>
      <c r="R52" s="126"/>
      <c r="S52" s="126"/>
      <c r="T52" s="126"/>
      <c r="U52" s="126"/>
      <c r="V52" s="126"/>
      <c r="W52" s="126"/>
      <c r="X52" s="126"/>
      <c r="Y52" s="126"/>
      <c r="Z52" s="126"/>
    </row>
    <row r="53" spans="1:256" x14ac:dyDescent="0.2">
      <c r="A53" s="217"/>
      <c r="B53" s="218"/>
      <c r="C53" s="387"/>
      <c r="D53" s="387"/>
      <c r="E53" s="387"/>
      <c r="F53" s="387"/>
      <c r="G53" s="387"/>
      <c r="H53" s="387"/>
      <c r="I53" s="387"/>
      <c r="J53" s="387"/>
      <c r="K53" s="387"/>
      <c r="L53" s="387"/>
      <c r="M53" s="388"/>
      <c r="N53" s="126"/>
      <c r="O53" s="126"/>
      <c r="P53" s="126"/>
      <c r="Q53" s="126"/>
      <c r="R53" s="126"/>
      <c r="S53" s="126"/>
      <c r="T53" s="126"/>
      <c r="U53" s="126"/>
      <c r="V53" s="126"/>
      <c r="W53" s="126"/>
      <c r="X53" s="126"/>
      <c r="Y53" s="126"/>
      <c r="Z53" s="126"/>
    </row>
    <row r="54" spans="1:256" x14ac:dyDescent="0.2">
      <c r="A54" s="217"/>
      <c r="B54" s="218"/>
      <c r="C54" s="387"/>
      <c r="D54" s="387"/>
      <c r="E54" s="387"/>
      <c r="F54" s="387"/>
      <c r="G54" s="387"/>
      <c r="H54" s="387"/>
      <c r="I54" s="387"/>
      <c r="J54" s="387"/>
      <c r="K54" s="387"/>
      <c r="L54" s="387"/>
      <c r="M54" s="388"/>
      <c r="N54" s="126"/>
      <c r="O54" s="126"/>
      <c r="P54" s="126"/>
      <c r="Q54" s="126"/>
      <c r="R54" s="126"/>
      <c r="S54" s="126"/>
      <c r="T54" s="126"/>
      <c r="U54" s="126"/>
      <c r="V54" s="126"/>
      <c r="W54" s="126"/>
      <c r="X54" s="126"/>
      <c r="Y54" s="126"/>
      <c r="Z54" s="126"/>
    </row>
    <row r="55" spans="1:256" x14ac:dyDescent="0.2">
      <c r="A55" s="217"/>
      <c r="B55" s="218"/>
      <c r="C55" s="387"/>
      <c r="D55" s="387"/>
      <c r="E55" s="387"/>
      <c r="F55" s="387"/>
      <c r="G55" s="387"/>
      <c r="H55" s="387"/>
      <c r="I55" s="387"/>
      <c r="J55" s="387"/>
      <c r="K55" s="387"/>
      <c r="L55" s="387"/>
      <c r="M55" s="388"/>
      <c r="N55" s="126"/>
      <c r="O55" s="126"/>
      <c r="P55" s="126"/>
      <c r="Q55" s="126"/>
      <c r="R55" s="126"/>
      <c r="S55" s="126"/>
      <c r="T55" s="126"/>
      <c r="U55" s="126"/>
      <c r="V55" s="126"/>
      <c r="W55" s="126"/>
      <c r="X55" s="126"/>
      <c r="Y55" s="126"/>
      <c r="Z55" s="126"/>
    </row>
    <row r="56" spans="1:256" x14ac:dyDescent="0.2">
      <c r="A56" s="217"/>
      <c r="B56" s="218"/>
      <c r="C56" s="387"/>
      <c r="D56" s="387"/>
      <c r="E56" s="387"/>
      <c r="F56" s="387"/>
      <c r="G56" s="387"/>
      <c r="H56" s="387"/>
      <c r="I56" s="387"/>
      <c r="J56" s="387"/>
      <c r="K56" s="387"/>
      <c r="L56" s="387"/>
      <c r="M56" s="388"/>
      <c r="N56" s="126"/>
      <c r="O56" s="126"/>
      <c r="P56" s="126"/>
      <c r="Q56" s="126"/>
      <c r="R56" s="126"/>
      <c r="S56" s="126"/>
      <c r="T56" s="126"/>
      <c r="U56" s="126"/>
      <c r="V56" s="126"/>
      <c r="W56" s="126"/>
      <c r="X56" s="126"/>
      <c r="Y56" s="126"/>
      <c r="Z56" s="126"/>
    </row>
    <row r="57" spans="1:256" x14ac:dyDescent="0.2">
      <c r="A57" s="217"/>
      <c r="B57" s="218"/>
      <c r="C57" s="387"/>
      <c r="D57" s="387"/>
      <c r="E57" s="387"/>
      <c r="F57" s="387"/>
      <c r="G57" s="387"/>
      <c r="H57" s="387"/>
      <c r="I57" s="387"/>
      <c r="J57" s="387"/>
      <c r="K57" s="387"/>
      <c r="L57" s="387"/>
      <c r="M57" s="388"/>
      <c r="N57" s="126"/>
      <c r="O57" s="126"/>
      <c r="P57" s="126"/>
      <c r="Q57" s="126"/>
      <c r="R57" s="126"/>
      <c r="S57" s="126"/>
      <c r="T57" s="126"/>
      <c r="U57" s="126"/>
      <c r="V57" s="126"/>
      <c r="W57" s="126"/>
      <c r="X57" s="126"/>
      <c r="Y57" s="126"/>
      <c r="Z57" s="126"/>
    </row>
    <row r="58" spans="1:256" x14ac:dyDescent="0.2">
      <c r="A58" s="217"/>
      <c r="B58" s="218"/>
      <c r="C58" s="387"/>
      <c r="D58" s="387"/>
      <c r="E58" s="387"/>
      <c r="F58" s="387"/>
      <c r="G58" s="387"/>
      <c r="H58" s="387"/>
      <c r="I58" s="387"/>
      <c r="J58" s="387"/>
      <c r="K58" s="387"/>
      <c r="L58" s="387"/>
      <c r="M58" s="388"/>
      <c r="N58" s="126"/>
      <c r="O58" s="126"/>
      <c r="P58" s="126"/>
      <c r="Q58" s="126"/>
      <c r="R58" s="126"/>
      <c r="S58" s="126"/>
      <c r="T58" s="126"/>
      <c r="U58" s="126"/>
      <c r="V58" s="126"/>
      <c r="W58" s="126"/>
      <c r="X58" s="126"/>
      <c r="Y58" s="126"/>
      <c r="Z58" s="126"/>
    </row>
    <row r="59" spans="1:256" x14ac:dyDescent="0.2">
      <c r="A59" s="217"/>
      <c r="B59" s="218"/>
      <c r="C59" s="387"/>
      <c r="D59" s="387"/>
      <c r="E59" s="387"/>
      <c r="F59" s="387"/>
      <c r="G59" s="387"/>
      <c r="H59" s="387"/>
      <c r="I59" s="387"/>
      <c r="J59" s="387"/>
      <c r="K59" s="387"/>
      <c r="L59" s="387"/>
      <c r="M59" s="388"/>
    </row>
    <row r="60" spans="1:256" x14ac:dyDescent="0.2">
      <c r="A60" s="217"/>
      <c r="B60" s="218"/>
      <c r="C60" s="387"/>
      <c r="D60" s="387"/>
      <c r="E60" s="387"/>
      <c r="F60" s="387"/>
      <c r="G60" s="387"/>
      <c r="H60" s="387"/>
      <c r="I60" s="387"/>
      <c r="J60" s="387"/>
      <c r="K60" s="387"/>
      <c r="L60" s="387"/>
      <c r="M60" s="388"/>
    </row>
    <row r="61" spans="1:256" x14ac:dyDescent="0.2">
      <c r="A61" s="217"/>
      <c r="B61" s="218"/>
      <c r="C61" s="387"/>
      <c r="D61" s="387"/>
      <c r="E61" s="387"/>
      <c r="F61" s="387"/>
      <c r="G61" s="387"/>
      <c r="H61" s="387"/>
      <c r="I61" s="387"/>
      <c r="J61" s="387"/>
      <c r="K61" s="387"/>
      <c r="L61" s="387"/>
      <c r="M61" s="388"/>
    </row>
    <row r="62" spans="1:256" x14ac:dyDescent="0.2">
      <c r="A62" s="217"/>
      <c r="B62" s="218"/>
      <c r="C62" s="387"/>
      <c r="D62" s="387"/>
      <c r="E62" s="387"/>
      <c r="F62" s="387"/>
      <c r="G62" s="387"/>
      <c r="H62" s="387"/>
      <c r="I62" s="387"/>
      <c r="J62" s="387"/>
      <c r="K62" s="387"/>
      <c r="L62" s="387"/>
      <c r="M62" s="388"/>
    </row>
    <row r="63" spans="1:256" x14ac:dyDescent="0.2">
      <c r="A63" s="217"/>
      <c r="B63" s="218"/>
      <c r="C63" s="387"/>
      <c r="D63" s="387"/>
      <c r="E63" s="387"/>
      <c r="F63" s="387"/>
      <c r="G63" s="387"/>
      <c r="H63" s="387"/>
      <c r="I63" s="387"/>
      <c r="J63" s="387"/>
      <c r="K63" s="387"/>
      <c r="L63" s="387"/>
      <c r="M63" s="388"/>
    </row>
    <row r="64" spans="1:256" x14ac:dyDescent="0.2">
      <c r="A64" s="217"/>
      <c r="B64" s="218"/>
      <c r="C64" s="387"/>
      <c r="D64" s="387"/>
      <c r="E64" s="387"/>
      <c r="F64" s="387"/>
      <c r="G64" s="387"/>
      <c r="H64" s="387"/>
      <c r="I64" s="387"/>
      <c r="J64" s="387"/>
      <c r="K64" s="387"/>
      <c r="L64" s="387"/>
      <c r="M64" s="388"/>
    </row>
    <row r="65" spans="1:13" x14ac:dyDescent="0.2">
      <c r="A65" s="217"/>
      <c r="B65" s="218"/>
      <c r="C65" s="387"/>
      <c r="D65" s="387"/>
      <c r="E65" s="387"/>
      <c r="F65" s="387"/>
      <c r="G65" s="387"/>
      <c r="H65" s="387"/>
      <c r="I65" s="387"/>
      <c r="J65" s="387"/>
      <c r="K65" s="387"/>
      <c r="L65" s="387"/>
      <c r="M65" s="388"/>
    </row>
    <row r="66" spans="1:13" x14ac:dyDescent="0.2">
      <c r="A66" s="217"/>
      <c r="B66" s="218"/>
      <c r="C66" s="387"/>
      <c r="D66" s="387"/>
      <c r="E66" s="387"/>
      <c r="F66" s="387"/>
      <c r="G66" s="387"/>
      <c r="H66" s="387"/>
      <c r="I66" s="387"/>
      <c r="J66" s="387"/>
      <c r="K66" s="387"/>
      <c r="L66" s="387"/>
      <c r="M66" s="388"/>
    </row>
    <row r="67" spans="1:13" x14ac:dyDescent="0.2">
      <c r="A67" s="217"/>
      <c r="B67" s="218"/>
      <c r="C67" s="387"/>
      <c r="D67" s="387"/>
      <c r="E67" s="387"/>
      <c r="F67" s="387"/>
      <c r="G67" s="387"/>
      <c r="H67" s="387"/>
      <c r="I67" s="387"/>
      <c r="J67" s="387"/>
      <c r="K67" s="387"/>
      <c r="L67" s="387"/>
      <c r="M67" s="388"/>
    </row>
    <row r="68" spans="1:13" x14ac:dyDescent="0.2">
      <c r="A68" s="217"/>
      <c r="B68" s="218"/>
      <c r="C68" s="387"/>
      <c r="D68" s="387"/>
      <c r="E68" s="387"/>
      <c r="F68" s="387"/>
      <c r="G68" s="387"/>
      <c r="H68" s="387"/>
      <c r="I68" s="387"/>
      <c r="J68" s="387"/>
      <c r="K68" s="387"/>
      <c r="L68" s="387"/>
      <c r="M68" s="388"/>
    </row>
    <row r="69" spans="1:13" x14ac:dyDescent="0.2">
      <c r="A69" s="217"/>
      <c r="B69" s="218"/>
      <c r="C69" s="387"/>
      <c r="D69" s="387"/>
      <c r="E69" s="387"/>
      <c r="F69" s="387"/>
      <c r="G69" s="387"/>
      <c r="H69" s="387"/>
      <c r="I69" s="387"/>
      <c r="J69" s="387"/>
      <c r="K69" s="387"/>
      <c r="L69" s="387"/>
      <c r="M69" s="388"/>
    </row>
    <row r="70" spans="1:13" ht="12" thickBot="1" x14ac:dyDescent="0.25">
      <c r="A70" s="219"/>
      <c r="B70" s="220"/>
      <c r="C70" s="389"/>
      <c r="D70" s="389"/>
      <c r="E70" s="389"/>
      <c r="F70" s="389"/>
      <c r="G70" s="389"/>
      <c r="H70" s="389"/>
      <c r="I70" s="389"/>
      <c r="J70" s="389"/>
      <c r="K70" s="389"/>
      <c r="L70" s="389"/>
      <c r="M70" s="390"/>
    </row>
    <row r="71" spans="1:13" ht="12" thickTop="1" x14ac:dyDescent="0.2">
      <c r="A71" s="207"/>
      <c r="B71" s="207"/>
      <c r="C71" s="208"/>
      <c r="D71" s="208"/>
      <c r="E71" s="208"/>
      <c r="F71" s="208"/>
      <c r="G71" s="208"/>
      <c r="H71" s="208"/>
      <c r="I71" s="208"/>
      <c r="J71" s="208"/>
      <c r="K71" s="208"/>
      <c r="L71" s="208"/>
    </row>
    <row r="72" spans="1:13" ht="12.75" x14ac:dyDescent="0.2">
      <c r="A72" s="391" t="s">
        <v>832</v>
      </c>
      <c r="B72" s="391"/>
      <c r="C72" s="391"/>
      <c r="D72" s="391"/>
      <c r="E72" s="391"/>
      <c r="F72" s="126"/>
      <c r="G72" s="126"/>
      <c r="H72" s="126"/>
      <c r="I72" s="126"/>
      <c r="J72" s="126"/>
      <c r="K72" s="126"/>
      <c r="L72" s="126"/>
      <c r="M72" s="126"/>
    </row>
    <row r="73" spans="1:13" x14ac:dyDescent="0.2">
      <c r="A73" s="209" t="s">
        <v>764</v>
      </c>
      <c r="B73" s="209" t="s">
        <v>765</v>
      </c>
      <c r="C73" s="386"/>
      <c r="D73" s="386"/>
      <c r="E73" s="386"/>
      <c r="F73" s="386"/>
      <c r="G73" s="386"/>
      <c r="H73" s="386"/>
      <c r="I73" s="386"/>
      <c r="J73" s="386"/>
      <c r="K73" s="386"/>
      <c r="L73" s="386"/>
      <c r="M73" s="386"/>
    </row>
    <row r="74" spans="1:13" x14ac:dyDescent="0.2">
      <c r="A74" s="210"/>
      <c r="B74" s="210"/>
      <c r="C74" s="386"/>
      <c r="D74" s="386"/>
      <c r="E74" s="386"/>
      <c r="F74" s="386"/>
      <c r="G74" s="386"/>
      <c r="H74" s="386"/>
      <c r="I74" s="386"/>
      <c r="J74" s="386"/>
      <c r="K74" s="386"/>
      <c r="L74" s="386"/>
      <c r="M74" s="386"/>
    </row>
    <row r="75" spans="1:13" x14ac:dyDescent="0.2">
      <c r="A75" s="210"/>
      <c r="B75" s="210"/>
      <c r="C75" s="386"/>
      <c r="D75" s="386"/>
      <c r="E75" s="386"/>
      <c r="F75" s="386"/>
      <c r="G75" s="386"/>
      <c r="H75" s="386"/>
      <c r="I75" s="386"/>
      <c r="J75" s="386"/>
      <c r="K75" s="386"/>
      <c r="L75" s="386"/>
      <c r="M75" s="386"/>
    </row>
    <row r="76" spans="1:13" x14ac:dyDescent="0.2">
      <c r="A76" s="210"/>
      <c r="B76" s="210"/>
      <c r="C76" s="386"/>
      <c r="D76" s="386"/>
      <c r="E76" s="386"/>
      <c r="F76" s="386"/>
      <c r="G76" s="386"/>
      <c r="H76" s="386"/>
      <c r="I76" s="386"/>
      <c r="J76" s="386"/>
      <c r="K76" s="386"/>
      <c r="L76" s="386"/>
      <c r="M76" s="386"/>
    </row>
    <row r="77" spans="1:13" x14ac:dyDescent="0.2">
      <c r="A77" s="210"/>
      <c r="B77" s="210"/>
      <c r="C77" s="386"/>
      <c r="D77" s="386"/>
      <c r="E77" s="386"/>
      <c r="F77" s="386"/>
      <c r="G77" s="386"/>
      <c r="H77" s="386"/>
      <c r="I77" s="386"/>
      <c r="J77" s="386"/>
      <c r="K77" s="386"/>
      <c r="L77" s="386"/>
      <c r="M77" s="386"/>
    </row>
    <row r="78" spans="1:13" x14ac:dyDescent="0.2">
      <c r="A78" s="210"/>
      <c r="B78" s="210"/>
      <c r="C78" s="386"/>
      <c r="D78" s="386"/>
      <c r="E78" s="386"/>
      <c r="F78" s="386"/>
      <c r="G78" s="386"/>
      <c r="H78" s="386"/>
      <c r="I78" s="386"/>
      <c r="J78" s="386"/>
      <c r="K78" s="386"/>
      <c r="L78" s="386"/>
      <c r="M78" s="386"/>
    </row>
    <row r="79" spans="1:13" x14ac:dyDescent="0.2">
      <c r="A79" s="210"/>
      <c r="B79" s="210"/>
      <c r="C79" s="386"/>
      <c r="D79" s="386"/>
      <c r="E79" s="386"/>
      <c r="F79" s="386"/>
      <c r="G79" s="386"/>
      <c r="H79" s="386"/>
      <c r="I79" s="386"/>
      <c r="J79" s="386"/>
      <c r="K79" s="386"/>
      <c r="L79" s="386"/>
      <c r="M79" s="386"/>
    </row>
    <row r="80" spans="1:13" x14ac:dyDescent="0.2">
      <c r="A80" s="210"/>
      <c r="B80" s="210"/>
      <c r="C80" s="386"/>
      <c r="D80" s="386"/>
      <c r="E80" s="386"/>
      <c r="F80" s="386"/>
      <c r="G80" s="386"/>
      <c r="H80" s="386"/>
      <c r="I80" s="386"/>
      <c r="J80" s="386"/>
      <c r="K80" s="386"/>
      <c r="L80" s="386"/>
      <c r="M80" s="386"/>
    </row>
    <row r="81" spans="1:13" x14ac:dyDescent="0.2">
      <c r="A81" s="210"/>
      <c r="B81" s="210"/>
      <c r="C81" s="386"/>
      <c r="D81" s="386"/>
      <c r="E81" s="386"/>
      <c r="F81" s="386"/>
      <c r="G81" s="386"/>
      <c r="H81" s="386"/>
      <c r="I81" s="386"/>
      <c r="J81" s="386"/>
      <c r="K81" s="386"/>
      <c r="L81" s="386"/>
      <c r="M81" s="386"/>
    </row>
    <row r="82" spans="1:13" x14ac:dyDescent="0.2">
      <c r="A82" s="210"/>
      <c r="B82" s="210"/>
      <c r="C82" s="386"/>
      <c r="D82" s="386"/>
      <c r="E82" s="386"/>
      <c r="F82" s="386"/>
      <c r="G82" s="386"/>
      <c r="H82" s="386"/>
      <c r="I82" s="386"/>
      <c r="J82" s="386"/>
      <c r="K82" s="386"/>
      <c r="L82" s="386"/>
      <c r="M82" s="386"/>
    </row>
    <row r="83" spans="1:13" x14ac:dyDescent="0.2">
      <c r="A83" s="210"/>
      <c r="B83" s="210"/>
      <c r="C83" s="386"/>
      <c r="D83" s="386"/>
      <c r="E83" s="386"/>
      <c r="F83" s="386"/>
      <c r="G83" s="386"/>
      <c r="H83" s="386"/>
      <c r="I83" s="386"/>
      <c r="J83" s="386"/>
      <c r="K83" s="386"/>
      <c r="L83" s="386"/>
      <c r="M83" s="386"/>
    </row>
    <row r="84" spans="1:13" x14ac:dyDescent="0.2">
      <c r="A84" s="210"/>
      <c r="B84" s="210"/>
      <c r="C84" s="386"/>
      <c r="D84" s="386"/>
      <c r="E84" s="386"/>
      <c r="F84" s="386"/>
      <c r="G84" s="386"/>
      <c r="H84" s="386"/>
      <c r="I84" s="386"/>
      <c r="J84" s="386"/>
      <c r="K84" s="386"/>
      <c r="L84" s="386"/>
      <c r="M84" s="386"/>
    </row>
    <row r="85" spans="1:13" x14ac:dyDescent="0.2">
      <c r="A85" s="210"/>
      <c r="B85" s="210"/>
      <c r="C85" s="386"/>
      <c r="D85" s="386"/>
      <c r="E85" s="386"/>
      <c r="F85" s="386"/>
      <c r="G85" s="386"/>
      <c r="H85" s="386"/>
      <c r="I85" s="386"/>
      <c r="J85" s="386"/>
      <c r="K85" s="386"/>
      <c r="L85" s="386"/>
      <c r="M85" s="386"/>
    </row>
    <row r="86" spans="1:13" x14ac:dyDescent="0.2">
      <c r="A86" s="210"/>
      <c r="B86" s="210"/>
      <c r="C86" s="386"/>
      <c r="D86" s="386"/>
      <c r="E86" s="386"/>
      <c r="F86" s="386"/>
      <c r="G86" s="386"/>
      <c r="H86" s="386"/>
      <c r="I86" s="386"/>
      <c r="J86" s="386"/>
      <c r="K86" s="386"/>
      <c r="L86" s="386"/>
      <c r="M86" s="386"/>
    </row>
    <row r="87" spans="1:13" x14ac:dyDescent="0.2">
      <c r="A87" s="210"/>
      <c r="B87" s="210"/>
      <c r="C87" s="386"/>
      <c r="D87" s="386"/>
      <c r="E87" s="386"/>
      <c r="F87" s="386"/>
      <c r="G87" s="386"/>
      <c r="H87" s="386"/>
      <c r="I87" s="386"/>
      <c r="J87" s="386"/>
      <c r="K87" s="386"/>
      <c r="L87" s="386"/>
      <c r="M87" s="386"/>
    </row>
    <row r="88" spans="1:13" x14ac:dyDescent="0.2">
      <c r="A88" s="210"/>
      <c r="B88" s="210"/>
      <c r="C88" s="386"/>
      <c r="D88" s="386"/>
      <c r="E88" s="386"/>
      <c r="F88" s="386"/>
      <c r="G88" s="386"/>
      <c r="H88" s="386"/>
      <c r="I88" s="386"/>
      <c r="J88" s="386"/>
      <c r="K88" s="386"/>
      <c r="L88" s="386"/>
      <c r="M88" s="386"/>
    </row>
    <row r="89" spans="1:13" x14ac:dyDescent="0.2">
      <c r="A89" s="210"/>
      <c r="B89" s="210"/>
      <c r="C89" s="386"/>
      <c r="D89" s="386"/>
      <c r="E89" s="386"/>
      <c r="F89" s="386"/>
      <c r="G89" s="386"/>
      <c r="H89" s="386"/>
      <c r="I89" s="386"/>
      <c r="J89" s="386"/>
      <c r="K89" s="386"/>
      <c r="L89" s="386"/>
      <c r="M89" s="386"/>
    </row>
    <row r="90" spans="1:13" x14ac:dyDescent="0.2">
      <c r="A90" s="210"/>
      <c r="B90" s="210"/>
      <c r="C90" s="386"/>
      <c r="D90" s="386"/>
      <c r="E90" s="386"/>
      <c r="F90" s="386"/>
      <c r="G90" s="386"/>
      <c r="H90" s="386"/>
      <c r="I90" s="386"/>
      <c r="J90" s="386"/>
      <c r="K90" s="386"/>
      <c r="L90" s="386"/>
      <c r="M90" s="386"/>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96</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f>IFERROR(SMALL($T$4:$T$75,ROWS($T$4:T4)),"")</f>
        <v>17</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f>IFERROR(SMALL(AE4:$AE$100,ROWS($AE$4:AE4)),"")</f>
        <v>23</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f>IF('School Level Expenditures'!$B$2='School Tables'!L20,'School Tables'!S20,"")</f>
        <v>17</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f>IF('School Level Expenditures'!$B$2='School Tables'!W26,'School Tables'!AD26,"")</f>
        <v>23</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f>IF('School Level Expenditures'!$B$2=A99,'School Tables'!H99,"")</f>
        <v>96</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2022-11-14T21:12:10Z</cp:lastPrinted>
  <dcterms:created xsi:type="dcterms:W3CDTF">1997-12-04T19:04:30Z</dcterms:created>
  <dcterms:modified xsi:type="dcterms:W3CDTF">2022-12-19T15:20:24Z</dcterms:modified>
</cp:coreProperties>
</file>