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6ABA42AF-00AA-44E5-B095-7E9B96B90B8C}"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F540" i="1" s="1"/>
  <c r="G535" i="1"/>
  <c r="G540" i="1" s="1"/>
  <c r="H535" i="1"/>
  <c r="H540" i="1" s="1"/>
  <c r="I535" i="1"/>
  <c r="J535" i="1"/>
  <c r="K535"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J112" i="1" l="1"/>
  <c r="H140" i="1"/>
  <c r="C110" i="2"/>
  <c r="J652" i="1"/>
  <c r="E120" i="2"/>
  <c r="H120" i="2" s="1"/>
  <c r="C119" i="2"/>
  <c r="F409" i="1"/>
  <c r="H644" i="1" s="1"/>
  <c r="E124" i="2"/>
  <c r="E111" i="2"/>
  <c r="G663" i="1"/>
  <c r="C125" i="2"/>
  <c r="H125" i="2" s="1"/>
  <c r="H72" i="2"/>
  <c r="C12" i="10"/>
  <c r="G646" i="1"/>
  <c r="C85" i="2"/>
  <c r="C91" i="2" s="1"/>
  <c r="G409" i="1"/>
  <c r="H646" i="1" s="1"/>
  <c r="H59" i="2"/>
  <c r="H34" i="2"/>
  <c r="H29" i="2"/>
  <c r="H9" i="2"/>
  <c r="D18" i="13"/>
  <c r="C18" i="13" s="1"/>
  <c r="D15" i="13"/>
  <c r="C15" i="13" s="1"/>
  <c r="H80" i="2"/>
  <c r="H89" i="2"/>
  <c r="H113" i="2"/>
  <c r="H93" i="2"/>
  <c r="H87" i="2"/>
  <c r="H26" i="2"/>
  <c r="D6" i="13"/>
  <c r="C6" i="13" s="1"/>
  <c r="H69" i="2"/>
  <c r="H73" i="2"/>
  <c r="H94" i="2"/>
  <c r="H24" i="2"/>
  <c r="H132" i="2"/>
  <c r="H36" i="2"/>
  <c r="H44" i="2"/>
  <c r="H48" i="2"/>
  <c r="H101" i="2"/>
  <c r="H99" i="2"/>
  <c r="H79" i="2"/>
  <c r="H76" i="2"/>
  <c r="H58" i="2"/>
  <c r="E121" i="2"/>
  <c r="H97" i="2"/>
  <c r="H61" i="2"/>
  <c r="H22" i="2"/>
  <c r="I409" i="1"/>
  <c r="H35" i="2"/>
  <c r="H13" i="2"/>
  <c r="D144" i="2"/>
  <c r="H30" i="2"/>
  <c r="H28" i="2"/>
  <c r="H25" i="2"/>
  <c r="H17" i="2"/>
  <c r="H38" i="2"/>
  <c r="H43" i="2"/>
  <c r="H102" i="2"/>
  <c r="H100" i="2"/>
  <c r="H98" i="2"/>
  <c r="H23" i="2"/>
  <c r="H15" i="2"/>
  <c r="H11" i="2"/>
  <c r="H143" i="2"/>
  <c r="C112" i="2"/>
  <c r="H112" i="2" s="1"/>
  <c r="G477" i="1"/>
  <c r="H624" i="1" s="1"/>
  <c r="J624" i="1" s="1"/>
  <c r="H477" i="1"/>
  <c r="H625" i="1" s="1"/>
  <c r="J625" i="1" s="1"/>
  <c r="H47" i="2"/>
  <c r="G662" i="1"/>
  <c r="E13" i="13"/>
  <c r="C13" i="13" s="1"/>
  <c r="C121" i="2"/>
  <c r="C13" i="10"/>
  <c r="A40" i="12"/>
  <c r="H96" i="2"/>
  <c r="D78" i="2"/>
  <c r="D81" i="2" s="1"/>
  <c r="H77" i="2"/>
  <c r="H27" i="2"/>
  <c r="H8" i="2"/>
  <c r="H12" i="2"/>
  <c r="E119" i="2"/>
  <c r="H409" i="1"/>
  <c r="H645" i="1" s="1"/>
  <c r="J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1" i="2" l="1"/>
  <c r="H124" i="2"/>
  <c r="B33" i="16"/>
  <c r="I663" i="1"/>
  <c r="H119" i="2"/>
  <c r="J646" i="1"/>
  <c r="H131" i="2"/>
  <c r="H31" i="2"/>
  <c r="H62" i="2"/>
  <c r="H121" i="2"/>
  <c r="H21" i="2"/>
  <c r="H57" i="2"/>
  <c r="H103" i="2"/>
  <c r="H78" i="2"/>
  <c r="H16" i="2"/>
  <c r="H42" i="2"/>
  <c r="L572" i="1"/>
  <c r="H134" i="2"/>
  <c r="H85" i="2"/>
  <c r="H50" i="2"/>
  <c r="D128" i="2"/>
  <c r="D145" i="2" s="1"/>
  <c r="H127" i="2"/>
  <c r="H122" i="2"/>
  <c r="E128" i="2"/>
  <c r="H118" i="2"/>
  <c r="E115" i="2"/>
  <c r="F661" i="1"/>
  <c r="F665" i="1" s="1"/>
  <c r="F668" i="1" s="1"/>
  <c r="H109" i="2"/>
  <c r="F194" i="1"/>
  <c r="G628" i="1" s="1"/>
  <c r="J628" i="1" s="1"/>
  <c r="H91" i="2"/>
  <c r="C81" i="2"/>
  <c r="H81" i="2" s="1"/>
  <c r="D51" i="2"/>
  <c r="E5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51" i="2"/>
  <c r="H128" i="2"/>
  <c r="H115" i="2"/>
  <c r="C144" i="2"/>
  <c r="H144"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<sst xmlns="http://schemas.openxmlformats.org/spreadsheetml/2006/main" count="6533" uniqueCount="1805">
  <si>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</si>
  <si>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</si>
  <si>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</si>
  <si>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</si>
  <si>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</si>
  <si>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</si>
  <si>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</si>
  <si>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</si>
  <si>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</si>
  <si>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</si>
  <si>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</si>
  <si>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</si>
  <si>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</si>
  <si>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</si>
  <si>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</si>
  <si>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</si>
  <si>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</si>
  <si>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</si>
  <si>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</si>
  <si>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</si>
  <si>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</si>
  <si>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</si>
  <si>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</si>
  <si>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</si>
  <si>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</si>
  <si>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</si>
  <si>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</si>
  <si>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</si>
  <si>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</si>
  <si>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</si>
  <si>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</si>
  <si>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</si>
  <si>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</si>
  <si>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</si>
  <si>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</si>
  <si>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</si>
  <si>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</si>
  <si>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</si>
  <si>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</si>
  <si>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</si>
  <si>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</si>
  <si>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</si>
  <si>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</si>
  <si>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</si>
  <si>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</si>
  <si>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</si>
  <si>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</si>
  <si>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</si>
  <si>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</si>
  <si>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</si>
  <si>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</si>
  <si>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</si>
  <si>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</si>
  <si>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</si>
  <si>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</si>
  <si>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</si>
  <si>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</si>
  <si>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</si>
  <si>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</si>
  <si>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</si>
  <si>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</si>
  <si>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</si>
  <si>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</si>
  <si>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</si>
  <si>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</si>
  <si>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</si>
  <si>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</si>
  <si>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</si>
  <si>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</si>
  <si>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</si>
  <si>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</si>
  <si>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</si>
  <si>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</si>
  <si>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</si>
  <si>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</si>
  <si>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</si>
  <si>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</si>
  <si>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</si>
  <si>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</si>
  <si>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</si>
  <si>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</si>
  <si>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</si>
  <si>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</si>
  <si>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</si>
  <si>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</si>
  <si>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</si>
  <si>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</si>
  <si>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</si>
  <si>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</si>
  <si>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</si>
  <si>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</si>
  <si>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</si>
  <si>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</si>
  <si>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</si>
  <si>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</si>
  <si>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</si>
  <si>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</si>
  <si>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</si>
  <si>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</si>
  <si>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</si>
  <si>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</si>
  <si>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</si>
  <si>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</si>
  <si>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</si>
  <si>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</si>
  <si>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</si>
  <si>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</si>
  <si>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</si>
  <si>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</si>
  <si>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</si>
  <si>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</si>
  <si>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</si>
  <si>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</si>
  <si>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</si>
  <si>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</si>
  <si>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</si>
  <si>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</si>
  <si>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</si>
  <si>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</si>
  <si>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</si>
  <si>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</si>
  <si>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</si>
  <si>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</si>
  <si>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</si>
  <si>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</si>
  <si>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</si>
  <si>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</si>
  <si>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</si>
  <si>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</si>
  <si>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</si>
  <si>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</si>
  <si>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</si>
  <si>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</si>
  <si>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</si>
  <si>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</si>
  <si>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</si>
  <si>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</si>
  <si>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</si>
  <si>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</si>
  <si>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</si>
  <si>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</si>
  <si>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</si>
  <si>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</si>
  <si>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</si>
  <si>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</si>
  <si>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</si>
  <si>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</si>
  <si>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</si>
  <si>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</si>
  <si>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</si>
  <si>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</si>
  <si>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</si>
  <si>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</si>
  <si>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</si>
  <si>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</si>
  <si>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</si>
  <si>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</si>
  <si>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</si>
  <si>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</si>
  <si>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</si>
  <si>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</si>
  <si>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</si>
  <si>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</si>
  <si>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</si>
  <si>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</si>
  <si>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</si>
  <si>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</si>
  <si>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</si>
  <si>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</si>
  <si>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</si>
  <si>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</si>
  <si>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</si>
  <si>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</si>
  <si>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</si>
  <si>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</si>
  <si>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</si>
  <si>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</si>
  <si>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</si>
  <si>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</si>
  <si>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</si>
  <si>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</si>
  <si>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</si>
  <si>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</si>
  <si>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</si>
  <si>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</si>
  <si>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</si>
  <si>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</si>
  <si>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</si>
  <si>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</si>
  <si>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</si>
  <si>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</si>
  <si>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</si>
  <si>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</si>
  <si>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</si>
  <si>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</si>
  <si>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</si>
  <si>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</si>
  <si>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</si>
  <si>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</si>
  <si>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</si>
  <si>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</si>
  <si>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</si>
  <si>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</si>
  <si>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</si>
  <si>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</si>
  <si>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</si>
  <si>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</si>
  <si>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</si>
  <si>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</si>
  <si>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</si>
  <si>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</si>
  <si>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</si>
  <si>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</si>
  <si>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</si>
  <si>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</si>
  <si>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</si>
  <si>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</si>
  <si>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</si>
  <si>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</si>
  <si>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</si>
  <si>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</si>
  <si>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</si>
  <si>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</si>
  <si>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</si>
  <si>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</si>
  <si>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</si>
  <si>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</si>
  <si>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</si>
  <si>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</si>
  <si>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</si>
  <si>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</si>
  <si>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</si>
  <si>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</si>
  <si>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</si>
  <si>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</si>
  <si>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</si>
  <si>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</si>
  <si>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</si>
  <si>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</si>
  <si>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</si>
  <si>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</si>
  <si>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</si>
  <si>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</si>
  <si>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</si>
  <si>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</si>
  <si>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</si>
  <si>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</si>
  <si>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</si>
  <si>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</si>
  <si>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</si>
  <si>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</si>
  <si>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</si>
  <si>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</si>
  <si>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</si>
  <si>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</si>
  <si>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</si>
  <si>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</si>
  <si>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</si>
  <si>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</si>
  <si>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</si>
  <si>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</si>
  <si>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</si>
  <si>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</si>
  <si>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</si>
  <si>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</si>
  <si>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</si>
  <si>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</si>
  <si>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</si>
  <si>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</si>
  <si>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</si>
  <si>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</si>
  <si>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</si>
  <si>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</si>
  <si>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</si>
  <si>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</si>
  <si>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</si>
  <si>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</si>
  <si>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</si>
  <si>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</si>
  <si>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</si>
  <si>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</si>
  <si>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</si>
  <si>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</si>
  <si>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</si>
  <si>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</si>
  <si>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</si>
  <si>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</si>
  <si>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</si>
  <si>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</si>
  <si>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</si>
  <si>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</si>
  <si>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</si>
  <si>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</si>
  <si>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</si>
  <si>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</si>
  <si>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</si>
  <si>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</si>
  <si>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</si>
  <si>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</si>
  <si>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</si>
  <si>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</si>
  <si>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</si>
  <si>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</si>
  <si>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</si>
  <si>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</si>
  <si>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</si>
  <si>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</si>
  <si>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</si>
  <si>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</si>
  <si>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</si>
  <si>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</si>
  <si>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</si>
  <si>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</si>
  <si>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</si>
  <si>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</si>
  <si>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</si>
  <si>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</si>
  <si>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</si>
  <si>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</si>
  <si>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</si>
  <si>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</si>
  <si>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</si>
  <si>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</si>
  <si>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</si>
  <si>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</si>
  <si>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</si>
  <si>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</si>
  <si>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</si>
  <si>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</si>
  <si>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</si>
  <si>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</si>
  <si>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</si>
  <si>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</si>
  <si>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</si>
  <si>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</si>
  <si>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</si>
  <si>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</si>
  <si>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</si>
  <si>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</si>
  <si>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</si>
  <si>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</si>
  <si>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</si>
  <si>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</si>
  <si>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</si>
  <si>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</si>
  <si>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</si>
  <si>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</si>
  <si>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</si>
  <si>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</si>
  <si>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</si>
  <si>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</si>
  <si>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</si>
  <si>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</si>
  <si>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</si>
  <si>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</si>
  <si>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</si>
  <si>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</si>
  <si>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</si>
  <si>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</si>
  <si>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</si>
  <si>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</si>
  <si>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</si>
  <si>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</si>
  <si>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</si>
  <si>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</si>
  <si>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</si>
  <si>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</si>
  <si>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</si>
  <si>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</si>
  <si>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</si>
  <si>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</si>
  <si>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</si>
  <si>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</si>
  <si>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</si>
  <si>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</si>
  <si>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</si>
  <si>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</si>
  <si>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</si>
  <si>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</si>
  <si>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</si>
  <si>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</si>
  <si>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</si>
  <si>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</si>
  <si>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</si>
  <si>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</si>
  <si>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</si>
  <si>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</si>
  <si>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</si>
  <si>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</si>
  <si>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</si>
  <si>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</si>
  <si>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</si>
  <si>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</si>
  <si>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</si>
  <si>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</si>
  <si>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</si>
  <si>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</si>
  <si>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</si>
  <si>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</si>
  <si>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</si>
  <si>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</si>
  <si>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</si>
  <si>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</si>
  <si>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</si>
  <si>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</si>
  <si>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</si>
  <si>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</si>
  <si>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</si>
  <si>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</si>
  <si>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</si>
  <si>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</si>
  <si>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</si>
  <si>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</si>
  <si>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</si>
  <si>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</si>
  <si>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</si>
  <si>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</si>
  <si>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</si>
  <si>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</si>
  <si>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</si>
  <si>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</si>
  <si>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</si>
  <si>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</si>
  <si>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</si>
  <si>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</si>
  <si>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</si>
  <si>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</si>
  <si>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</si>
  <si>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</si>
  <si>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</si>
  <si>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</si>
  <si>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</si>
  <si>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</si>
  <si>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</si>
  <si>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</si>
  <si>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</si>
  <si>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</si>
  <si>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</si>
  <si>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</si>
  <si>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</si>
  <si>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</si>
  <si>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</si>
  <si>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</si>
  <si>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</si>
  <si>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</si>
  <si>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</si>
  <si>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</si>
  <si>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</si>
  <si>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</si>
  <si>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</si>
  <si>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</si>
  <si>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</si>
  <si>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</si>
  <si>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</si>
  <si>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</si>
  <si>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</si>
  <si>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</si>
  <si>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</si>
  <si>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</si>
  <si>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</si>
  <si>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</si>
  <si>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</si>
  <si>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</si>
  <si>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</si>
  <si>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</si>
  <si>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</si>
  <si>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</si>
  <si>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</si>
  <si>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</si>
  <si>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</si>
  <si>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</si>
  <si>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</si>
  <si>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</si>
  <si>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</si>
  <si>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</si>
  <si>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</si>
  <si>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</si>
  <si>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</si>
  <si>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</si>
  <si>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</si>
  <si>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</si>
  <si>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</si>
  <si>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</si>
  <si>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</si>
  <si>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</si>
  <si>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</si>
  <si>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</si>
  <si>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</si>
  <si>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</si>
  <si>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</si>
  <si>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</si>
  <si>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</si>
  <si>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</si>
  <si>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</si>
  <si>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</si>
  <si>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</si>
  <si>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</si>
  <si>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</si>
  <si>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</si>
  <si>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</si>
  <si>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</si>
  <si>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</si>
  <si>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</si>
  <si>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</si>
  <si>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</si>
  <si>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</si>
  <si>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</si>
  <si>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</si>
  <si>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</si>
  <si>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</si>
  <si>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</si>
  <si>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</si>
  <si>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</si>
  <si>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</si>
  <si>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</si>
  <si>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</si>
  <si>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</si>
  <si>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</si>
  <si>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</si>
  <si>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</si>
  <si>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</si>
  <si>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</si>
  <si>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</si>
  <si>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</si>
  <si>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</si>
  <si>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</si>
  <si>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</si>
  <si>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</si>
  <si>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</si>
  <si>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</si>
  <si>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</si>
  <si>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</si>
  <si>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</si>
  <si>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</si>
  <si>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</si>
  <si>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</si>
  <si>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</si>
  <si>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</si>
  <si>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</si>
  <si>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</si>
  <si>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</si>
  <si>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</si>
  <si>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</si>
  <si>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</si>
  <si>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</si>
  <si>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</si>
  <si>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</si>
  <si>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</si>
  <si>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</si>
  <si>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</si>
  <si>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</si>
  <si>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</si>
  <si>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</si>
  <si>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</si>
  <si>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</si>
  <si>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</si>
  <si>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</si>
  <si>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</si>
  <si>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</si>
  <si>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</si>
  <si>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</si>
  <si>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</si>
  <si>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</si>
  <si>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</si>
  <si>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</si>
  <si>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</si>
  <si>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</si>
  <si>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</si>
  <si>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</si>
  <si>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</si>
  <si>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</si>
  <si>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</si>
  <si>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</si>
  <si>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</si>
  <si>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</si>
  <si>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</si>
  <si>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</si>
  <si>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</si>
  <si>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</si>
  <si>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</si>
  <si>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</si>
  <si>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</si>
  <si>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</si>
  <si>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</si>
  <si>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</si>
  <si>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</si>
  <si>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</si>
  <si>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</si>
  <si>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</si>
  <si>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</si>
  <si>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</si>
  <si>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</si>
  <si>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</si>
  <si>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</si>
  <si>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</si>
  <si>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</si>
  <si>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</si>
  <si>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</si>
  <si>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</si>
  <si>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</si>
  <si>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</si>
  <si>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</si>
  <si>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</si>
  <si>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</si>
  <si>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</si>
  <si>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</si>
  <si>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</si>
  <si>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</si>
  <si>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</si>
  <si>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</si>
  <si>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</si>
  <si>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</si>
  <si>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</si>
  <si>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</si>
  <si>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</si>
  <si>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</si>
  <si>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</si>
  <si>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</si>
  <si>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</si>
  <si>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</si>
  <si>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</si>
  <si>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</si>
  <si>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</si>
  <si>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</si>
  <si>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</si>
  <si>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</si>
  <si>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</si>
  <si>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</si>
  <si>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</si>
  <si>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</si>
  <si>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</si>
  <si>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</si>
  <si>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</si>
  <si>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</si>
  <si>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</si>
  <si>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</si>
  <si>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</si>
  <si>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</si>
  <si>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</si>
  <si>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</si>
  <si>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</si>
  <si>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</si>
  <si>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</si>
  <si>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</si>
  <si>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</si>
  <si>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</si>
  <si>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</si>
  <si>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</si>
  <si>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</si>
  <si>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</si>
  <si>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</si>
  <si>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</si>
  <si>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</si>
  <si>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</si>
  <si>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</si>
  <si>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</si>
  <si>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</si>
  <si>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</si>
  <si>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</si>
  <si>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</si>
  <si>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</si>
  <si>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</si>
  <si>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</si>
  <si>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</si>
  <si>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</si>
  <si>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</si>
  <si>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</si>
  <si>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</si>
  <si>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</si>
  <si>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</si>
  <si>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</si>
  <si>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</si>
  <si>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</si>
  <si>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</si>
  <si>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</si>
  <si>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</si>
  <si>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</si>
  <si>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</si>
  <si>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</si>
  <si>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</si>
  <si>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</si>
  <si>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</si>
  <si>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</si>
  <si>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</si>
  <si>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</si>
  <si>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</si>
  <si>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</si>
  <si>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</si>
  <si>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</si>
  <si>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</si>
  <si>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</si>
  <si>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</si>
  <si>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</si>
  <si>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</si>
  <si>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</si>
  <si>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</si>
  <si>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</si>
  <si>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</si>
  <si>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</si>
  <si>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</si>
  <si>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</si>
  <si>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</si>
  <si>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</si>
  <si>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</si>
  <si>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</si>
  <si>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</si>
  <si>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</si>
  <si>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</si>
  <si>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</si>
  <si>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</si>
  <si>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</si>
  <si>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</si>
  <si>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</si>
  <si>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</si>
  <si>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</si>
  <si>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</si>
  <si>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</si>
  <si>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</si>
  <si>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</si>
  <si>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</si>
  <si>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</si>
  <si>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</si>
  <si>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</si>
  <si>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</si>
  <si>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</si>
  <si>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</si>
  <si>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</si>
  <si>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</si>
  <si>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</si>
  <si>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</si>
  <si>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</si>
  <si>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</si>
  <si>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</si>
  <si>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</si>
  <si>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</si>
  <si>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</si>
  <si>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</si>
  <si>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</si>
  <si>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</si>
  <si>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</si>
  <si>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</si>
  <si>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</si>
  <si>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</si>
  <si>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</si>
  <si>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</si>
  <si>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</si>
  <si>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</si>
  <si>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</si>
  <si>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</si>
  <si>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</si>
  <si>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</si>
  <si>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</si>
  <si>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</si>
  <si>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</si>
  <si>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</si>
  <si>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</si>
  <si>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</si>
  <si>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</si>
  <si>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</si>
  <si>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</si>
  <si>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</si>
  <si>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</si>
  <si>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</si>
  <si>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</si>
  <si>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</si>
  <si>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</si>
  <si>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</si>
  <si>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</si>
  <si>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</si>
  <si>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</si>
  <si>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</si>
  <si>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</si>
  <si>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</si>
  <si>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</si>
  <si>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</si>
  <si>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</si>
  <si>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</si>
  <si>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</si>
  <si>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</si>
  <si>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</si>
  <si>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</si>
  <si>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</si>
  <si>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</si>
  <si>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</si>
  <si>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</si>
  <si>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</si>
  <si>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</si>
  <si>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</si>
  <si>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</si>
  <si>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</si>
  <si>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</si>
  <si>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</si>
  <si>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</si>
  <si>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</si>
  <si>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</si>
  <si>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</si>
  <si>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</si>
  <si>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</si>
  <si>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</si>
  <si>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</si>
  <si>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</si>
  <si>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</si>
  <si>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</si>
  <si>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</si>
  <si>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</si>
  <si>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</si>
  <si>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</si>
  <si>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</si>
  <si>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</si>
  <si>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</si>
  <si>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</si>
  <si>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</si>
  <si>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</si>
  <si>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</si>
  <si>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</si>
  <si>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</si>
  <si>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</si>
  <si>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</si>
  <si>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</si>
  <si>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</si>
  <si>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</si>
  <si>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</si>
  <si>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</si>
  <si>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</si>
  <si>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</si>
  <si>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</si>
  <si>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</si>
  <si>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</si>
  <si>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</si>
  <si>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</si>
  <si>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</si>
  <si>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</si>
  <si>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</si>
  <si>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</si>
  <si>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</si>
  <si>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</si>
  <si>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</si>
  <si>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</si>
  <si>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</si>
  <si>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</si>
  <si>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</si>
  <si>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</si>
  <si>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</si>
  <si>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</si>
  <si>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</si>
  <si>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</si>
  <si>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</si>
  <si>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</si>
  <si>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</si>
  <si>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</si>
  <si>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</si>
  <si>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</si>
  <si>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</si>
  <si>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</si>
  <si>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</si>
  <si>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</si>
  <si>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</si>
  <si>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</si>
  <si>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</si>
  <si>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</si>
  <si>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</si>
  <si>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</si>
  <si>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</si>
  <si>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</si>
  <si>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</si>
  <si>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</si>
  <si>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</si>
  <si>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</si>
  <si>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</si>
  <si>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</si>
  <si>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</si>
  <si>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</si>
  <si>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</si>
  <si>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</si>
  <si>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</si>
  <si>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</si>
  <si>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</si>
  <si>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</si>
  <si>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</si>
  <si>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</si>
  <si>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</si>
  <si>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</si>
  <si>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</si>
  <si>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</si>
  <si>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</si>
  <si>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</si>
  <si>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</si>
  <si>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</si>
  <si>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</si>
  <si>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</si>
  <si>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</si>
  <si>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</si>
  <si>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</si>
  <si>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</si>
  <si>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</si>
  <si>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</si>
  <si>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</si>
  <si>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</si>
  <si>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</si>
  <si>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</si>
  <si>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</si>
  <si>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</si>
  <si>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</si>
  <si>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</si>
  <si>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</si>
  <si>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</si>
  <si>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</si>
  <si>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</si>
  <si>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</si>
  <si>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</si>
  <si>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</si>
  <si>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</si>
  <si>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</si>
  <si>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</si>
  <si>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</si>
  <si>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</si>
  <si>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</si>
  <si>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</si>
  <si>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</si>
  <si>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</si>
  <si>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</si>
  <si>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</si>
  <si>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</si>
  <si>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</si>
  <si>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</si>
  <si>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</si>
  <si>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</si>
  <si>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</si>
  <si>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</si>
  <si>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</si>
  <si>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</si>
  <si>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</si>
  <si>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</si>
  <si>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</si>
  <si>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</si>
  <si>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</si>
  <si>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</si>
  <si>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</si>
  <si>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</si>
  <si>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</si>
  <si>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</si>
  <si>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</si>
  <si>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</si>
  <si>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</si>
  <si>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</si>
  <si>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</si>
  <si>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</si>
  <si>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</si>
  <si>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</si>
  <si>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</si>
  <si>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</si>
  <si>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</si>
  <si>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</si>
  <si>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</si>
  <si>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</si>
  <si>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</si>
  <si>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</si>
  <si>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</si>
  <si>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</si>
  <si>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</si>
  <si>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</si>
  <si>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</si>
  <si>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</si>
  <si>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</si>
  <si>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</si>
  <si>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</si>
  <si>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</si>
  <si>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</si>
  <si>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</si>
  <si>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</si>
  <si>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</si>
  <si>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</si>
  <si>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</si>
  <si>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</si>
  <si>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</si>
  <si>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</si>
  <si>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</si>
  <si>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</si>
  <si>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</si>
  <si>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</si>
  <si>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</si>
  <si>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</si>
  <si>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</si>
  <si>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</si>
  <si>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</si>
  <si>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</si>
  <si>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</si>
  <si>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</si>
  <si>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</si>
  <si>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</si>
  <si>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</si>
  <si>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</si>
  <si>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</si>
  <si>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</si>
  <si>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</si>
  <si>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</si>
  <si>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</si>
  <si>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</si>
  <si>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</si>
  <si>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</si>
  <si>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</si>
  <si>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</si>
  <si>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</si>
  <si>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</si>
  <si>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</si>
  <si>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</si>
  <si>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</si>
  <si>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</si>
  <si>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</si>
  <si>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</si>
  <si>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</si>
  <si>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</si>
  <si>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</si>
  <si>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</si>
  <si>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</si>
  <si>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</si>
  <si>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</si>
  <si>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</si>
  <si>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</si>
  <si>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</si>
  <si>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</si>
  <si>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</si>
  <si>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</si>
  <si>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</si>
  <si>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</si>
  <si>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</si>
  <si>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</si>
  <si>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</si>
  <si>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</si>
  <si>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</si>
  <si>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</si>
  <si>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</si>
  <si>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</si>
  <si>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</si>
  <si>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</si>
  <si>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</si>
  <si>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</si>
  <si>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</si>
  <si>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</si>
  <si>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</si>
  <si>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</si>
  <si>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</si>
  <si>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</si>
  <si>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</si>
  <si>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</si>
  <si>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</si>
  <si>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</si>
  <si>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</si>
  <si>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</si>
  <si>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</si>
  <si>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</si>
  <si>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</si>
  <si>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</si>
  <si>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</si>
  <si>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</si>
  <si>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</si>
  <si>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</si>
  <si>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</si>
  <si>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</si>
  <si>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</si>
  <si>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</si>
  <si>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</si>
  <si>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</si>
  <si>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</si>
  <si>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</si>
  <si>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</si>
  <si>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</si>
  <si>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</si>
  <si>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</si>
  <si>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</si>
  <si>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</si>
  <si>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</si>
  <si>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</si>
  <si>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</si>
  <si>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</si>
  <si>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</si>
  <si>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</si>
  <si>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</si>
  <si>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</si>
  <si>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</si>
  <si>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</si>
  <si>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</si>
  <si>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</si>
  <si>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</si>
  <si>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</si>
  <si>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</si>
  <si>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</si>
  <si>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</si>
  <si>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</si>
  <si>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</si>
  <si>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</si>
  <si>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</si>
  <si>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</si>
  <si>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</si>
  <si>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</si>
  <si>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</si>
  <si>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</si>
  <si>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</si>
  <si>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</si>
  <si>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</si>
  <si>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</si>
  <si>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</si>
  <si>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</si>
  <si>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</si>
  <si>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</si>
  <si>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</si>
  <si>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</si>
  <si>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</si>
  <si>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</si>
  <si>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</si>
  <si>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</si>
  <si>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</si>
  <si>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</si>
  <si>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</si>
  <si>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</si>
  <si>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</si>
  <si>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</si>
  <si>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</si>
  <si>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</si>
  <si>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</si>
  <si>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</si>
  <si>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</si>
  <si>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</si>
  <si>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</si>
  <si>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</si>
  <si>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</si>
  <si>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</si>
  <si>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</si>
  <si>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</si>
  <si>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</si>
  <si>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</si>
  <si>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</si>
  <si>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</si>
  <si>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</si>
  <si>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</si>
  <si>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</si>
  <si>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</si>
  <si>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</si>
  <si>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</si>
  <si>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</si>
  <si>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</si>
  <si>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</si>
  <si>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</si>
  <si>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</si>
  <si>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</si>
  <si>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</si>
  <si>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</si>
  <si>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</si>
  <si>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</si>
  <si>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</si>
  <si>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</si>
  <si>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</si>
  <si>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</si>
  <si>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</si>
  <si>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</si>
  <si>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</si>
  <si>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</si>
  <si>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</si>
  <si>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</si>
  <si>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</si>
  <si>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</si>
  <si>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</si>
  <si>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</si>
  <si>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</si>
  <si>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</si>
  <si>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</si>
  <si>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</si>
  <si>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</si>
  <si>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</si>
  <si>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</si>
  <si>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</si>
  <si>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</si>
  <si>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</si>
  <si>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</si>
  <si>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</si>
  <si>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</si>
  <si>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</si>
  <si>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</si>
  <si>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</si>
  <si>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</si>
  <si>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</si>
  <si>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</si>
  <si>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</si>
  <si>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</si>
  <si>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</si>
  <si>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</si>
  <si>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</si>
  <si>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</si>
  <si>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</si>
  <si>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</si>
  <si>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</si>
  <si>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</si>
  <si>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</si>
  <si>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</si>
  <si>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</si>
  <si>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</si>
  <si>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</si>
  <si>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</si>
  <si>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</si>
  <si>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</si>
  <si>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</si>
  <si>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</si>
  <si>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</si>
  <si>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</si>
  <si>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</si>
  <si>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</si>
  <si>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</si>
  <si>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</si>
  <si>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</si>
  <si>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</si>
  <si>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</si>
  <si>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</si>
  <si>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</si>
  <si>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</si>
  <si>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</si>
  <si>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</si>
  <si>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</si>
  <si>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</si>
  <si>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</si>
  <si>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</si>
  <si>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</si>
  <si>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</si>
  <si>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</si>
  <si>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</si>
  <si>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</si>
  <si>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</si>
  <si>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</si>
  <si>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</si>
  <si>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</si>
  <si>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</si>
  <si>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</si>
  <si>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</si>
  <si>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</si>
  <si>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</si>
  <si>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</si>
  <si>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</si>
  <si>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</si>
  <si>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</si>
  <si>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</si>
  <si>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</si>
  <si>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</si>
  <si>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</si>
  <si>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</si>
  <si>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</si>
  <si>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</si>
  <si>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</si>
  <si>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</si>
  <si>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</si>
  <si>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</si>
  <si>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</si>
  <si>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</si>
  <si>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</si>
  <si>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</si>
  <si>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</si>
  <si>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</si>
  <si>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</si>
  <si>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</si>
  <si>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</si>
  <si>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</si>
  <si>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</si>
  <si>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</si>
  <si>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</si>
  <si>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</si>
  <si>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</si>
  <si>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</si>
  <si>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</si>
  <si>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</si>
  <si>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</si>
  <si>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</si>
  <si>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</si>
  <si>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</si>
  <si>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</si>
  <si>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</si>
  <si>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</si>
  <si>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</si>
  <si>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</si>
  <si>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</si>
  <si>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</si>
  <si>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</si>
  <si>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</si>
  <si>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</si>
  <si>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</si>
  <si>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</si>
  <si>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</si>
  <si>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</si>
  <si>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</si>
  <si>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</si>
  <si>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</si>
  <si>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</si>
  <si>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</si>
  <si>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</si>
  <si>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</si>
  <si>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</si>
  <si>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</si>
  <si>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</si>
  <si>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</si>
  <si>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</si>
  <si>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</si>
  <si>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</si>
  <si>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</si>
  <si>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</si>
  <si>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</si>
  <si>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</si>
  <si>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</si>
  <si>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</si>
  <si>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</si>
  <si>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</si>
  <si>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</si>
  <si>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</si>
  <si>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</si>
  <si>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</si>
  <si>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</si>
  <si>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</si>
  <si>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</si>
  <si>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</si>
  <si>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</si>
  <si>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</si>
  <si>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</si>
  <si>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</si>
  <si>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</si>
  <si>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</si>
  <si>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</si>
  <si>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</si>
  <si>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</si>
  <si>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</si>
  <si>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</si>
  <si>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</si>
  <si>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</si>
  <si>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</si>
  <si>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</si>
  <si>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</si>
  <si>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</si>
  <si>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</si>
  <si>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</si>
  <si>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</si>
  <si>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</si>
  <si>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</si>
  <si>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</si>
  <si>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</si>
  <si>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</si>
  <si>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</si>
  <si>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</si>
  <si>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</si>
  <si>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</si>
  <si>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</si>
  <si>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</si>
  <si>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</si>
  <si>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</si>
  <si>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</si>
  <si>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</si>
  <si>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</si>
  <si>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</si>
  <si>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</si>
  <si>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</si>
  <si>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</si>
  <si>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</si>
  <si>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</si>
  <si>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</si>
  <si>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</si>
  <si>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</si>
  <si>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</si>
  <si>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</si>
  <si>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</si>
  <si>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</si>
  <si>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</si>
  <si>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</si>
  <si>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</si>
  <si>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</si>
  <si>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</si>
  <si>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</si>
  <si>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</si>
  <si>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</si>
  <si>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</si>
  <si>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</si>
  <si>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</si>
  <si>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</si>
  <si>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</si>
  <si>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</si>
  <si>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</si>
  <si>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</si>
  <si>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</si>
  <si>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</si>
  <si>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</si>
  <si>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</si>
  <si>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</si>
  <si>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</si>
  <si>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</si>
  <si>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</si>
  <si>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</si>
  <si>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</si>
  <si>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</si>
  <si>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</si>
  <si>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</si>
  <si>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</si>
  <si>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</si>
  <si>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</si>
  <si>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</si>
  <si>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</si>
  <si>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</si>
  <si>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</si>
  <si>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</si>
  <si>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</si>
  <si>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</si>
  <si>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</si>
  <si>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</si>
  <si>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</si>
  <si>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</si>
  <si>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</si>
  <si>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</si>
  <si>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</si>
  <si>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</si>
  <si>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</si>
  <si>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</si>
  <si>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</si>
  <si>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</si>
  <si>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</si>
  <si>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</si>
  <si>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</si>
  <si>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</si>
  <si>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</si>
  <si>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</si>
  <si>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</si>
  <si>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</si>
  <si>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</si>
  <si>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</si>
  <si>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</si>
  <si>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</si>
  <si>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</si>
  <si>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</si>
  <si>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</si>
  <si>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</si>
  <si>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</si>
  <si>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</si>
  <si>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</si>
  <si>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</si>
  <si>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</si>
  <si>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</si>
  <si>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</si>
  <si>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</si>
  <si>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</si>
  <si>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</si>
  <si>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</si>
  <si>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</si>
  <si>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</si>
  <si>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</si>
  <si>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</si>
  <si>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</si>
  <si>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</si>
  <si>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</si>
  <si>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</si>
  <si>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</si>
  <si>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</si>
  <si>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</si>
  <si>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</si>
  <si>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</si>
  <si>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</si>
  <si>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</si>
  <si>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</si>
  <si>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</si>
  <si>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</si>
  <si>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</si>
  <si>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</si>
  <si>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</si>
  <si>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</si>
  <si>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</si>
  <si>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</si>
  <si>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</si>
  <si>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</si>
  <si>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</si>
  <si>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</si>
  <si>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</si>
  <si>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</si>
  <si>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</si>
  <si>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</si>
  <si>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</si>
  <si>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</si>
  <si>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</si>
  <si>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</si>
  <si>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</si>
  <si>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</si>
  <si>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</si>
  <si>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</si>
  <si>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</si>
  <si>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</si>
  <si>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</si>
  <si>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</si>
  <si>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</si>
  <si>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</si>
  <si>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</si>
  <si>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</si>
  <si>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</si>
  <si>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</si>
  <si>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</si>
  <si>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</si>
  <si>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</si>
  <si>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</si>
  <si>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</si>
  <si>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</si>
  <si>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</si>
  <si>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</si>
  <si>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</si>
  <si>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</si>
  <si>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</si>
  <si>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</si>
  <si>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</si>
  <si>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</si>
  <si>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</si>
  <si>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</si>
  <si>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</si>
  <si>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</si>
  <si>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</si>
  <si>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</si>
  <si>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</si>
  <si>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</si>
  <si>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</si>
  <si>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</si>
  <si>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</si>
  <si>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</si>
  <si>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</si>
  <si>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</si>
  <si>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</si>
  <si>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</si>
  <si>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</si>
  <si>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</si>
  <si>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</si>
  <si>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</si>
  <si>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</si>
  <si>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</si>
  <si>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</si>
  <si>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</si>
  <si>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</si>
  <si>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</si>
  <si>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</si>
  <si>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</si>
  <si>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</si>
  <si>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</si>
  <si>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</si>
  <si>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</si>
  <si>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</si>
  <si>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</si>
  <si>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</si>
  <si>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</si>
  <si>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</si>
  <si>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</si>
  <si>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</si>
  <si>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</si>
  <si>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</si>
  <si>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</si>
  <si>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</si>
  <si>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</si>
  <si>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</si>
  <si>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</si>
  <si>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</si>
  <si>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</si>
  <si>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</si>
  <si>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</si>
  <si>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</si>
  <si>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</si>
  <si>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</si>
  <si>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</si>
  <si>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</si>
  <si>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</si>
  <si>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</si>
  <si>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</si>
  <si>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</si>
  <si>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</si>
  <si>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</si>
  <si>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</si>
  <si>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</si>
  <si>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</si>
  <si>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</si>
  <si>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</si>
  <si>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</si>
  <si>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</si>
  <si>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</si>
  <si>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</si>
  <si>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</si>
  <si>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</si>
  <si>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</si>
  <si>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</si>
  <si>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</si>
  <si>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</si>
  <si>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</si>
  <si>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</si>
  <si>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</si>
  <si>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</si>
  <si>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</si>
  <si>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</si>
  <si>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</si>
  <si>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</si>
  <si>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</si>
  <si>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</si>
  <si>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</si>
  <si>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</si>
  <si>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</si>
  <si>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</si>
  <si>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</si>
  <si>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</si>
  <si>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</si>
  <si>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</si>
  <si>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</si>
  <si>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</si>
  <si>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</si>
  <si>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</si>
  <si>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</si>
  <si>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</si>
  <si>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</si>
  <si>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</si>
  <si>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</si>
  <si>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</si>
  <si>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</si>
  <si>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</si>
  <si>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</si>
  <si>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</si>
  <si>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</si>
  <si>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</si>
  <si>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</si>
  <si>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</si>
  <si>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</si>
  <si>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</si>
  <si>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</si>
  <si>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</si>
  <si>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</si>
  <si>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</si>
  <si>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</si>
  <si>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</si>
  <si>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</si>
  <si>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</si>
  <si>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</si>
  <si>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</si>
  <si>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</si>
  <si>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</si>
  <si>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</si>
  <si>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</si>
  <si>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</si>
  <si>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</si>
  <si>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</si>
  <si>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</si>
  <si>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</si>
  <si>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</si>
  <si>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</si>
  <si>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</si>
  <si>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</si>
  <si>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</si>
  <si>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</si>
  <si>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</si>
  <si>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</si>
  <si>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</si>
  <si>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</si>
  <si>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</si>
  <si>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</si>
  <si>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</si>
  <si>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</si>
  <si>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</si>
  <si>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</si>
  <si>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</si>
  <si>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</si>
  <si>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</si>
  <si>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</si>
  <si>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</si>
  <si>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</si>
  <si>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</si>
  <si>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</si>
  <si>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</si>
  <si>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</si>
  <si>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</si>
  <si>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</si>
  <si>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</si>
  <si>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</si>
  <si>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</si>
  <si>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</si>
  <si>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</si>
  <si>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</si>
  <si>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</si>
  <si>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</si>
  <si>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</si>
  <si>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</si>
  <si>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</si>
  <si>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</si>
  <si>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</si>
  <si>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</si>
  <si>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</si>
  <si>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</si>
  <si>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</si>
  <si>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</si>
  <si>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</si>
  <si>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</si>
  <si>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</si>
  <si>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</si>
  <si>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</si>
  <si>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</si>
  <si>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</si>
  <si>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</si>
  <si>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</si>
  <si>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</si>
  <si>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</si>
  <si>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</si>
  <si>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</si>
  <si>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</si>
  <si>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</si>
  <si>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</si>
  <si>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</si>
  <si>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</si>
  <si>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</si>
  <si>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</si>
  <si>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</si>
  <si>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</si>
  <si>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</si>
  <si>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</si>
  <si>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</si>
  <si>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</si>
  <si>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</si>
  <si>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</si>
  <si>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</si>
  <si>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</si>
  <si>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</si>
  <si>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</si>
  <si>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</si>
  <si>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</si>
  <si>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</si>
  <si>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</si>
  <si>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</si>
  <si>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</si>
  <si>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</si>
  <si>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</si>
  <si>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</si>
  <si>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</si>
  <si>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</si>
  <si>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</si>
  <si>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</si>
  <si>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</si>
  <si>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</si>
  <si>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</si>
  <si>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</si>
  <si>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</si>
  <si>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</si>
  <si>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</si>
  <si>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</si>
  <si>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</si>
  <si>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</si>
  <si>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</si>
  <si>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</si>
  <si>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</si>
  <si>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</si>
  <si>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</si>
  <si>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</si>
  <si>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</si>
  <si>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</si>
  <si>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</si>
  <si>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</si>
  <si>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</si>
  <si>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</si>
  <si>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</si>
  <si>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</si>
  <si>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</si>
  <si>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</si>
  <si>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</si>
  <si>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</si>
  <si>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</si>
  <si>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</si>
  <si>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</si>
  <si>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</si>
  <si>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</si>
  <si>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</si>
  <si>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</si>
  <si>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</si>
  <si>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</si>
  <si>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</si>
  <si>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</si>
  <si>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</si>
  <si>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</si>
  <si>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</si>
  <si>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</si>
  <si>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</si>
  <si>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</si>
  <si>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</si>
  <si>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</si>
  <si>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</si>
  <si>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</si>
  <si>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</si>
  <si>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</si>
  <si>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</si>
  <si>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</si>
  <si>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</si>
  <si>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</si>
  <si>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</si>
  <si>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</si>
  <si>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</si>
  <si>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</si>
  <si>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</si>
  <si>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</si>
  <si>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</si>
  <si>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</si>
  <si>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</si>
  <si>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</si>
  <si>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</si>
  <si>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</si>
  <si>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</si>
  <si>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</si>
  <si>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</si>
  <si>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</si>
  <si>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</si>
  <si>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08/19</t>
  </si>
  <si>
    <t>08/34</t>
  </si>
  <si>
    <t xml:space="preserve">Other state aid not recorded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</si>
</sst>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rgb="FF0000FF"/>
      <name val="Arial"/>
      <family val="2"/>
    </font>
    <font>
      <sz val="8"/>
      <color rgb="FF0000FF"/>
      <name val="Arial Rounded"/>
    </font>
    <font>
      <sz val="8"/>
      <color rgb="FF00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4">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33">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80" fillId="0" borderId="43" xfId="0" applyNumberFormat="1" applyFont="1" applyBorder="1" applyAlignment="1" applyProtection="1">
      <alignment horizontal="right" wrapText="1"/>
      <protection locked="0"/>
    </xf>
    <xf numFmtId="0" fontId="15" fillId="0" borderId="43" xfId="0" applyFont="1" applyBorder="1" applyAlignment="1" applyProtection="1">
      <alignment wrapText="1"/>
      <protection locked="0"/>
    </xf>
    <xf numFmtId="4" fontId="81" fillId="0" borderId="43" xfId="0" applyNumberFormat="1" applyFont="1" applyBorder="1" applyAlignment="1" applyProtection="1">
      <alignment horizontal="right" wrapText="1"/>
      <protection locked="0"/>
    </xf>
    <xf numFmtId="4" fontId="15" fillId="0" borderId="42" xfId="0" applyNumberFormat="1" applyFont="1" applyBorder="1" applyAlignment="1" applyProtection="1">
      <alignment horizontal="right" wrapText="1"/>
      <protection locked="0"/>
    </xf>
    <xf numFmtId="4" fontId="82" fillId="0" borderId="0" xfId="0" applyNumberFormat="1" applyFont="1" applyProtection="1">
      <protection locked="0"/>
    </xf>
    <xf numFmtId="0" fontId="15" fillId="0" borderId="0" xfId="0"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topLeftCell="A646" zoomScaleNormal="100" workbookViewId="0">
      <selection activeCell="F666" sqref="F666"/>
    </sheetView>
  </sheetViews>
  <sheetFormatPr defaultRowHeight="12.2" customHeight="1"/>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c r="A1" s="1" t="s">
        <v>261</v>
      </c>
      <c r="B1" s="2" t="s">
        <v>262</v>
      </c>
      <c r="C1" s="2" t="s">
        <v>263</v>
      </c>
      <c r="D1" s="2"/>
      <c r="E1" s="2"/>
      <c r="F1" s="13"/>
      <c r="G1" s="13"/>
      <c r="H1" s="15" t="s">
        <v>1628</v>
      </c>
      <c r="I1" s="13"/>
      <c r="J1" s="13"/>
      <c r="K1" s="13"/>
      <c r="L1" s="13"/>
    </row>
    <row r="2" spans="1:14" s="3" customFormat="1" ht="12.2" customHeight="1">
      <c r="A2" s="280" t="s">
        <v>1061</v>
      </c>
      <c r="B2">
        <f>INDEX('School Tables'!$AH$3:$AH$208,MATCH('DOE25'!A2,'School Tables'!$AJ$3:$AJ$208,0))</f>
        <v>195</v>
      </c>
      <c r="C2">
        <f>INDEX('School Tables'!$AI$3:$AI$208,MATCH('DOE25'!A2,'School Tables'!$AJ$3:$AJ$208,0))</f>
        <v>195</v>
      </c>
      <c r="D2" s="20"/>
      <c r="E2" s="6" t="s">
        <v>678</v>
      </c>
      <c r="F2" s="15" t="s">
        <v>264</v>
      </c>
      <c r="G2" s="15" t="s">
        <v>265</v>
      </c>
      <c r="H2" s="15" t="s">
        <v>266</v>
      </c>
      <c r="I2" s="15" t="s">
        <v>267</v>
      </c>
      <c r="J2" s="15" t="s">
        <v>268</v>
      </c>
      <c r="K2" s="15" t="s">
        <v>269</v>
      </c>
      <c r="L2" s="15" t="s">
        <v>688</v>
      </c>
    </row>
    <row r="3" spans="1:14" s="3" customFormat="1" ht="12.2" customHeight="1">
      <c r="A3" s="5" t="s">
        <v>270</v>
      </c>
      <c r="B3" s="6" t="s">
        <v>271</v>
      </c>
      <c r="C3" s="6" t="s">
        <v>272</v>
      </c>
      <c r="D3" s="6"/>
      <c r="E3" s="22" t="s">
        <v>402</v>
      </c>
    </row>
    <row r="4" spans="1:14" s="3" customFormat="1" ht="12.2" customHeight="1">
      <c r="A4" s="1" t="s">
        <v>278</v>
      </c>
      <c r="K4" s="13"/>
      <c r="L4" s="13"/>
    </row>
    <row r="5" spans="1:14" s="3" customFormat="1" ht="12.2" customHeight="1">
      <c r="A5" s="1" t="s">
        <v>279</v>
      </c>
      <c r="F5" s="22" t="s">
        <v>273</v>
      </c>
      <c r="G5" s="22" t="s">
        <v>274</v>
      </c>
      <c r="H5" s="22" t="s">
        <v>275</v>
      </c>
      <c r="I5" s="22" t="s">
        <v>276</v>
      </c>
      <c r="J5" s="22" t="s">
        <v>277</v>
      </c>
      <c r="K5" s="13"/>
      <c r="L5" s="13"/>
    </row>
    <row r="6" spans="1:14" s="3" customFormat="1" ht="12.2" customHeight="1">
      <c r="B6" s="7"/>
      <c r="C6" s="7"/>
      <c r="D6" s="7"/>
      <c r="F6" s="164" t="s">
        <v>280</v>
      </c>
      <c r="G6" s="164" t="s">
        <v>281</v>
      </c>
      <c r="H6" s="164" t="s">
        <v>282</v>
      </c>
      <c r="I6" s="164" t="s">
        <v>283</v>
      </c>
      <c r="J6" s="164" t="s">
        <v>284</v>
      </c>
      <c r="K6" s="13"/>
      <c r="L6" s="13"/>
      <c r="M6" s="8"/>
    </row>
    <row r="7" spans="1:14" s="3" customFormat="1" ht="12.2" customHeight="1">
      <c r="A7" s="1" t="s">
        <v>285</v>
      </c>
      <c r="B7" s="7"/>
      <c r="C7" s="7"/>
      <c r="D7" s="7"/>
      <c r="E7" s="7"/>
      <c r="F7" s="164"/>
      <c r="G7" s="143"/>
      <c r="H7" s="164" t="s">
        <v>768</v>
      </c>
      <c r="I7" s="143"/>
      <c r="J7" s="143"/>
      <c r="K7" s="13"/>
      <c r="L7" s="13"/>
      <c r="M7" s="8"/>
    </row>
    <row r="8" spans="1:14" s="3" customFormat="1" ht="12.2" customHeight="1">
      <c r="A8" s="28" t="s">
        <v>403</v>
      </c>
      <c r="B8" s="7"/>
      <c r="C8" s="7"/>
      <c r="D8" s="7"/>
      <c r="E8" s="7"/>
      <c r="F8" s="23" t="s">
        <v>288</v>
      </c>
      <c r="G8" s="23" t="s">
        <v>288</v>
      </c>
      <c r="H8" s="23" t="s">
        <v>288</v>
      </c>
      <c r="I8" s="23" t="s">
        <v>288</v>
      </c>
      <c r="J8" s="23" t="s">
        <v>288</v>
      </c>
      <c r="K8" s="23" t="s">
        <v>288</v>
      </c>
      <c r="L8" s="23" t="s">
        <v>288</v>
      </c>
      <c r="M8" s="8"/>
    </row>
    <row r="9" spans="1:14" s="3" customFormat="1" ht="12.2" customHeight="1">
      <c r="A9" s="1" t="s">
        <v>561</v>
      </c>
      <c r="B9" s="2" t="s">
        <v>289</v>
      </c>
      <c r="C9" s="6">
        <v>1</v>
      </c>
      <c r="D9" s="2" t="s">
        <v>428</v>
      </c>
      <c r="E9" s="6">
        <v>100</v>
      </c>
      <c r="F9" s="18">
        <v>1197702.71</v>
      </c>
      <c r="G9" s="18">
        <v>75</v>
      </c>
      <c r="H9" s="18"/>
      <c r="I9" s="18">
        <v>70386.13</v>
      </c>
      <c r="J9" s="13">
        <f>SUM(I440)</f>
        <v>0</v>
      </c>
      <c r="K9" s="23" t="s">
        <v>288</v>
      </c>
      <c r="L9" s="23" t="s">
        <v>288</v>
      </c>
      <c r="M9" s="8"/>
      <c r="N9" s="165"/>
    </row>
    <row r="10" spans="1:14" s="3" customFormat="1" ht="12.2" customHeight="1">
      <c r="A10" s="1" t="s">
        <v>562</v>
      </c>
      <c r="B10" s="2" t="s">
        <v>289</v>
      </c>
      <c r="C10" s="6">
        <v>2</v>
      </c>
      <c r="D10" s="2" t="s">
        <v>428</v>
      </c>
      <c r="E10" s="6">
        <v>110</v>
      </c>
      <c r="F10" s="18"/>
      <c r="G10" s="18"/>
      <c r="H10" s="18"/>
      <c r="I10" s="18"/>
      <c r="J10" s="13">
        <f>SUM(I441)</f>
        <v>1150872.6500000001</v>
      </c>
      <c r="K10" s="23" t="s">
        <v>288</v>
      </c>
      <c r="L10" s="23" t="s">
        <v>288</v>
      </c>
      <c r="M10" s="8"/>
      <c r="N10" s="165"/>
    </row>
    <row r="11" spans="1:14" s="3" customFormat="1" ht="12.2" customHeight="1">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c r="A12" s="1" t="s">
        <v>564</v>
      </c>
      <c r="B12" s="2" t="s">
        <v>289</v>
      </c>
      <c r="C12" s="6">
        <v>4</v>
      </c>
      <c r="D12" s="2" t="s">
        <v>428</v>
      </c>
      <c r="E12" s="6">
        <v>130</v>
      </c>
      <c r="F12" s="18">
        <v>138470.35</v>
      </c>
      <c r="G12" s="18">
        <v>4105.67</v>
      </c>
      <c r="H12" s="18"/>
      <c r="I12" s="18"/>
      <c r="J12" s="13">
        <f>SUM(I442)</f>
        <v>0</v>
      </c>
      <c r="K12" s="23" t="s">
        <v>288</v>
      </c>
      <c r="L12" s="23" t="s">
        <v>288</v>
      </c>
      <c r="M12" s="8"/>
      <c r="N12" s="165"/>
    </row>
    <row r="13" spans="1:14" s="3" customFormat="1" ht="12.2" customHeight="1">
      <c r="A13" s="1" t="s">
        <v>604</v>
      </c>
      <c r="B13" s="2" t="s">
        <v>289</v>
      </c>
      <c r="C13" s="6">
        <v>5</v>
      </c>
      <c r="D13" s="2" t="s">
        <v>428</v>
      </c>
      <c r="E13" s="6">
        <v>140</v>
      </c>
      <c r="F13" s="18">
        <v>373096.4</v>
      </c>
      <c r="G13" s="18">
        <v>71053.210000000006</v>
      </c>
      <c r="H13" s="18">
        <v>100978.5</v>
      </c>
      <c r="I13" s="18"/>
      <c r="J13" s="13">
        <f>SUM(I443)</f>
        <v>0</v>
      </c>
      <c r="K13" s="23" t="s">
        <v>288</v>
      </c>
      <c r="L13" s="23" t="s">
        <v>288</v>
      </c>
      <c r="M13" s="8"/>
      <c r="N13" s="165"/>
    </row>
    <row r="14" spans="1:14" s="3" customFormat="1" ht="12.2" customHeight="1">
      <c r="A14" s="1" t="s">
        <v>565</v>
      </c>
      <c r="B14" s="2" t="s">
        <v>289</v>
      </c>
      <c r="C14" s="6">
        <v>6</v>
      </c>
      <c r="D14" s="2" t="s">
        <v>428</v>
      </c>
      <c r="E14" s="6">
        <v>150</v>
      </c>
      <c r="F14" s="18">
        <v>990</v>
      </c>
      <c r="G14" s="18">
        <v>125.25</v>
      </c>
      <c r="H14" s="18"/>
      <c r="I14" s="18"/>
      <c r="J14" s="13">
        <f>SUM(I444)</f>
        <v>0</v>
      </c>
      <c r="K14" s="23" t="s">
        <v>288</v>
      </c>
      <c r="L14" s="23" t="s">
        <v>288</v>
      </c>
      <c r="M14" s="8"/>
      <c r="N14" s="165"/>
    </row>
    <row r="15" spans="1:14" s="3" customFormat="1" ht="12.2" customHeight="1">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c r="A17" s="1" t="s">
        <v>567</v>
      </c>
      <c r="B17" s="2" t="s">
        <v>289</v>
      </c>
      <c r="C17" s="6">
        <v>9</v>
      </c>
      <c r="D17" s="2" t="s">
        <v>428</v>
      </c>
      <c r="E17" s="6">
        <v>180</v>
      </c>
      <c r="F17" s="18">
        <v>37992.42</v>
      </c>
      <c r="G17" s="18"/>
      <c r="H17" s="18">
        <v>9653.4599999999991</v>
      </c>
      <c r="I17" s="18"/>
      <c r="J17" s="13">
        <f>SUM(I445)</f>
        <v>0</v>
      </c>
      <c r="K17" s="23" t="s">
        <v>288</v>
      </c>
      <c r="L17" s="23" t="s">
        <v>288</v>
      </c>
      <c r="M17" s="8"/>
      <c r="N17" s="165"/>
    </row>
    <row r="18" spans="1:14" s="3" customFormat="1" ht="12.2" customHeight="1" thickBot="1">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c r="A19" s="35" t="s">
        <v>404</v>
      </c>
      <c r="B19" s="36" t="s">
        <v>289</v>
      </c>
      <c r="C19" s="37">
        <v>11</v>
      </c>
      <c r="D19" s="36" t="s">
        <v>428</v>
      </c>
      <c r="E19" s="36"/>
      <c r="F19" s="38">
        <f>SUM(F9:F18)</f>
        <v>1748251.88</v>
      </c>
      <c r="G19" s="38">
        <f>SUM(G9:G18)</f>
        <v>75359.13</v>
      </c>
      <c r="H19" s="38">
        <f>SUM(H9:H18)</f>
        <v>110631.95999999999</v>
      </c>
      <c r="I19" s="38">
        <f>SUM(I9:I18)</f>
        <v>70386.13</v>
      </c>
      <c r="J19" s="38">
        <f>SUM(J9:J18)</f>
        <v>1150872.6500000001</v>
      </c>
      <c r="K19" s="42" t="s">
        <v>288</v>
      </c>
      <c r="L19" s="42" t="s">
        <v>288</v>
      </c>
      <c r="M19" s="8"/>
      <c r="N19" s="165"/>
    </row>
    <row r="20" spans="1:14" s="3" customFormat="1" ht="12.2" customHeight="1">
      <c r="A20" s="1" t="s">
        <v>454</v>
      </c>
      <c r="C20" s="95"/>
      <c r="F20" s="13"/>
      <c r="G20" s="13"/>
      <c r="H20" s="13"/>
      <c r="I20" s="13"/>
      <c r="J20" s="13"/>
      <c r="K20" s="13"/>
      <c r="L20" s="13"/>
      <c r="M20" s="8"/>
      <c r="N20" s="165"/>
    </row>
    <row r="21" spans="1:14" s="3" customFormat="1" ht="12.2" customHeight="1">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c r="A22" s="1" t="s">
        <v>569</v>
      </c>
      <c r="B22" s="2" t="s">
        <v>289</v>
      </c>
      <c r="C22" s="6">
        <v>12</v>
      </c>
      <c r="D22" s="2" t="s">
        <v>429</v>
      </c>
      <c r="E22" s="6">
        <v>400</v>
      </c>
      <c r="F22" s="18">
        <v>4105.67</v>
      </c>
      <c r="G22" s="18"/>
      <c r="H22" s="18">
        <v>89128.69</v>
      </c>
      <c r="I22" s="18"/>
      <c r="J22" s="13">
        <f>SUM(I449)</f>
        <v>0</v>
      </c>
      <c r="K22" s="23" t="s">
        <v>288</v>
      </c>
      <c r="L22" s="23" t="s">
        <v>288</v>
      </c>
      <c r="M22" s="8"/>
      <c r="N22" s="165"/>
    </row>
    <row r="23" spans="1:14" s="3" customFormat="1" ht="12.2" customHeight="1">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c r="A24" s="1" t="s">
        <v>570</v>
      </c>
      <c r="B24" s="2" t="s">
        <v>289</v>
      </c>
      <c r="C24" s="6">
        <v>14</v>
      </c>
      <c r="D24" s="2" t="s">
        <v>429</v>
      </c>
      <c r="E24" s="6">
        <v>420</v>
      </c>
      <c r="F24" s="18">
        <v>380004.9</v>
      </c>
      <c r="G24" s="18"/>
      <c r="H24" s="18"/>
      <c r="I24" s="18"/>
      <c r="J24" s="13">
        <f>SUM(I451)</f>
        <v>0</v>
      </c>
      <c r="K24" s="23" t="s">
        <v>288</v>
      </c>
      <c r="L24" s="23" t="s">
        <v>288</v>
      </c>
      <c r="M24" s="8"/>
      <c r="N24" s="165"/>
    </row>
    <row r="25" spans="1:14" s="3" customFormat="1" ht="12.2" customHeight="1">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c r="A28" s="1" t="s">
        <v>573</v>
      </c>
      <c r="B28" s="2" t="s">
        <v>289</v>
      </c>
      <c r="C28" s="6">
        <v>18</v>
      </c>
      <c r="D28" s="2" t="s">
        <v>429</v>
      </c>
      <c r="E28" s="6">
        <v>460</v>
      </c>
      <c r="F28" s="18">
        <v>342945.84</v>
      </c>
      <c r="G28" s="18">
        <v>6905.39</v>
      </c>
      <c r="H28" s="18">
        <v>8632.27</v>
      </c>
      <c r="I28" s="18"/>
      <c r="J28" s="23" t="s">
        <v>288</v>
      </c>
      <c r="K28" s="23" t="s">
        <v>288</v>
      </c>
      <c r="L28" s="23" t="s">
        <v>288</v>
      </c>
      <c r="M28" s="8"/>
      <c r="N28" s="165"/>
    </row>
    <row r="29" spans="1:14" s="3" customFormat="1" ht="12.2" customHeight="1">
      <c r="A29" s="1" t="s">
        <v>575</v>
      </c>
      <c r="B29" s="2" t="s">
        <v>289</v>
      </c>
      <c r="C29" s="6">
        <v>19</v>
      </c>
      <c r="D29" s="2" t="s">
        <v>429</v>
      </c>
      <c r="E29" s="6">
        <v>470</v>
      </c>
      <c r="F29" s="18">
        <v>396.73</v>
      </c>
      <c r="G29" s="18"/>
      <c r="H29" s="18"/>
      <c r="I29" s="18"/>
      <c r="J29" s="23" t="s">
        <v>288</v>
      </c>
      <c r="K29" s="23" t="s">
        <v>288</v>
      </c>
      <c r="L29" s="23" t="s">
        <v>288</v>
      </c>
      <c r="M29" s="8"/>
      <c r="N29" s="165"/>
    </row>
    <row r="30" spans="1:14" s="3" customFormat="1" ht="12.2" customHeight="1">
      <c r="A30" s="1" t="s">
        <v>576</v>
      </c>
      <c r="B30" s="2" t="s">
        <v>289</v>
      </c>
      <c r="C30" s="6">
        <v>20</v>
      </c>
      <c r="D30" s="2" t="s">
        <v>429</v>
      </c>
      <c r="E30" s="6">
        <v>480</v>
      </c>
      <c r="F30" s="18"/>
      <c r="G30" s="18">
        <v>6475.34</v>
      </c>
      <c r="H30" s="18">
        <v>12871</v>
      </c>
      <c r="I30" s="18"/>
      <c r="J30" s="23" t="s">
        <v>288</v>
      </c>
      <c r="K30" s="23" t="s">
        <v>288</v>
      </c>
      <c r="L30" s="23" t="s">
        <v>288</v>
      </c>
      <c r="M30" s="8"/>
      <c r="N30" s="165"/>
    </row>
    <row r="31" spans="1:14" s="3" customFormat="1" ht="12.2" customHeight="1" thickBot="1">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c r="A32" s="35" t="s">
        <v>406</v>
      </c>
      <c r="B32" s="36" t="s">
        <v>289</v>
      </c>
      <c r="C32" s="37">
        <v>22</v>
      </c>
      <c r="D32" s="36" t="s">
        <v>429</v>
      </c>
      <c r="E32" s="36"/>
      <c r="F32" s="38">
        <f>SUM(F22:F31)</f>
        <v>727453.14</v>
      </c>
      <c r="G32" s="38">
        <f>SUM(G22:G31)</f>
        <v>13380.73</v>
      </c>
      <c r="H32" s="38">
        <f>SUM(H22:H31)</f>
        <v>110631.96</v>
      </c>
      <c r="I32" s="38">
        <f>SUM(I22:I31)</f>
        <v>0</v>
      </c>
      <c r="J32" s="38">
        <f>SUM(J22:J31)</f>
        <v>0</v>
      </c>
      <c r="K32" s="42" t="s">
        <v>288</v>
      </c>
      <c r="L32" s="42" t="s">
        <v>288</v>
      </c>
      <c r="M32" s="8"/>
      <c r="N32" s="165"/>
    </row>
    <row r="33" spans="1:14" s="3" customFormat="1" ht="12.2" customHeight="1">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c r="A39" s="1" t="s">
        <v>853</v>
      </c>
      <c r="B39" s="6">
        <v>1</v>
      </c>
      <c r="C39" s="6">
        <v>26</v>
      </c>
      <c r="D39" s="2"/>
      <c r="E39" s="6">
        <v>756</v>
      </c>
      <c r="F39" s="18"/>
      <c r="G39" s="18"/>
      <c r="H39" s="18"/>
      <c r="I39" s="18"/>
      <c r="J39" s="13">
        <f>I459</f>
        <v>0</v>
      </c>
      <c r="K39" s="23" t="s">
        <v>288</v>
      </c>
      <c r="L39" s="23" t="s">
        <v>288</v>
      </c>
      <c r="M39" s="8"/>
      <c r="N39" s="165"/>
    </row>
    <row r="40" spans="1:14" s="3" customFormat="1" ht="12.2" customHeight="1">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c r="A45" s="1" t="s">
        <v>838</v>
      </c>
      <c r="B45" s="6">
        <v>1</v>
      </c>
      <c r="C45" s="6">
        <v>31</v>
      </c>
      <c r="D45" s="2"/>
      <c r="E45" s="6">
        <v>753</v>
      </c>
      <c r="F45" s="18"/>
      <c r="G45" s="18"/>
      <c r="H45" s="18"/>
      <c r="I45" s="18"/>
      <c r="J45" s="13">
        <f>I456</f>
        <v>0</v>
      </c>
      <c r="K45" s="23" t="s">
        <v>288</v>
      </c>
      <c r="L45" s="23" t="s">
        <v>288</v>
      </c>
      <c r="M45" s="8"/>
      <c r="N45" s="165"/>
    </row>
    <row r="46" spans="1:14" s="3" customFormat="1" ht="12.2" customHeight="1">
      <c r="A46" s="1" t="s">
        <v>874</v>
      </c>
      <c r="B46" s="6">
        <v>1</v>
      </c>
      <c r="C46" s="6">
        <v>32</v>
      </c>
      <c r="D46" s="2"/>
      <c r="E46" s="6"/>
      <c r="F46" s="18"/>
      <c r="G46" s="23" t="s">
        <v>288</v>
      </c>
      <c r="H46" s="23" t="s">
        <v>288</v>
      </c>
      <c r="I46" s="23" t="s">
        <v>288</v>
      </c>
      <c r="J46" s="23" t="s">
        <v>288</v>
      </c>
      <c r="K46" s="23"/>
      <c r="L46" s="23"/>
      <c r="M46" s="8"/>
      <c r="N46" s="165"/>
    </row>
    <row r="47" spans="1:14" s="3" customFormat="1" ht="12.2" customHeight="1">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c r="A48" s="1" t="s">
        <v>839</v>
      </c>
      <c r="B48" s="2" t="s">
        <v>289</v>
      </c>
      <c r="C48" s="6">
        <v>33</v>
      </c>
      <c r="D48" s="2" t="s">
        <v>653</v>
      </c>
      <c r="E48" s="6">
        <v>760</v>
      </c>
      <c r="F48" s="18">
        <v>447924.08</v>
      </c>
      <c r="G48" s="18">
        <v>61978.400000000001</v>
      </c>
      <c r="H48" s="18"/>
      <c r="I48" s="18">
        <v>70386.13</v>
      </c>
      <c r="J48" s="13">
        <f>SUM(I460)</f>
        <v>1150872.6500000001</v>
      </c>
      <c r="K48" s="23" t="s">
        <v>288</v>
      </c>
      <c r="L48" s="23" t="s">
        <v>288</v>
      </c>
      <c r="M48" s="8"/>
      <c r="N48" s="165"/>
    </row>
    <row r="49" spans="1:14" s="3" customFormat="1" ht="12.2" customHeight="1">
      <c r="A49" s="1" t="s">
        <v>859</v>
      </c>
      <c r="B49" s="2" t="s">
        <v>289</v>
      </c>
      <c r="C49" s="6">
        <v>34</v>
      </c>
      <c r="D49" s="2"/>
      <c r="E49" s="6">
        <v>753</v>
      </c>
      <c r="F49" s="18"/>
      <c r="G49" s="18"/>
      <c r="H49" s="18"/>
      <c r="I49" s="18"/>
      <c r="J49" s="13">
        <f>I455</f>
        <v>0</v>
      </c>
      <c r="K49" s="23"/>
      <c r="L49" s="23"/>
      <c r="M49" s="8"/>
      <c r="N49" s="165"/>
    </row>
    <row r="50" spans="1:14" s="3" customFormat="1" ht="12.2" customHeight="1" thickBot="1">
      <c r="A50" s="28" t="s">
        <v>840</v>
      </c>
      <c r="B50" s="2" t="s">
        <v>289</v>
      </c>
      <c r="C50" s="56">
        <v>35</v>
      </c>
      <c r="D50" s="2" t="s">
        <v>653</v>
      </c>
      <c r="E50" s="6">
        <v>770</v>
      </c>
      <c r="F50" s="18">
        <v>572874.66</v>
      </c>
      <c r="G50" s="23" t="s">
        <v>288</v>
      </c>
      <c r="H50" s="23" t="s">
        <v>288</v>
      </c>
      <c r="I50" s="23" t="s">
        <v>288</v>
      </c>
      <c r="J50" s="23" t="s">
        <v>288</v>
      </c>
      <c r="K50" s="23" t="s">
        <v>288</v>
      </c>
      <c r="L50" s="23" t="s">
        <v>288</v>
      </c>
      <c r="M50" s="8"/>
      <c r="N50" s="165"/>
    </row>
    <row r="51" spans="1:14" ht="12.2" customHeight="1" thickTop="1" thickBot="1">
      <c r="A51" s="35" t="s">
        <v>407</v>
      </c>
      <c r="B51" s="36" t="s">
        <v>289</v>
      </c>
      <c r="C51" s="47">
        <v>36</v>
      </c>
      <c r="D51" s="36" t="s">
        <v>653</v>
      </c>
      <c r="E51" s="36"/>
      <c r="F51" s="38">
        <f>SUM(F35:F50)</f>
        <v>1020798.74</v>
      </c>
      <c r="G51" s="38">
        <f>SUM(G35:G50)</f>
        <v>61978.400000000001</v>
      </c>
      <c r="H51" s="38">
        <f>SUM(H35:H50)</f>
        <v>0</v>
      </c>
      <c r="I51" s="38">
        <f>SUM(I35:I50)</f>
        <v>70386.13</v>
      </c>
      <c r="J51" s="38">
        <f>SUM(J35:J50)</f>
        <v>1150872.6500000001</v>
      </c>
      <c r="K51" s="42" t="s">
        <v>288</v>
      </c>
      <c r="L51" s="42" t="s">
        <v>288</v>
      </c>
      <c r="N51" s="131"/>
    </row>
    <row r="52" spans="1:14" s="3" customFormat="1" ht="12.2" customHeight="1" thickTop="1">
      <c r="A52" s="35" t="s">
        <v>455</v>
      </c>
      <c r="B52" s="36" t="s">
        <v>289</v>
      </c>
      <c r="C52" s="6">
        <v>37</v>
      </c>
      <c r="D52" s="36" t="s">
        <v>653</v>
      </c>
      <c r="E52" s="36"/>
      <c r="F52" s="38">
        <f>F51+F32</f>
        <v>1748251.88</v>
      </c>
      <c r="G52" s="38">
        <f>G51+G32</f>
        <v>75359.13</v>
      </c>
      <c r="H52" s="38">
        <f>H51+H32</f>
        <v>110631.96</v>
      </c>
      <c r="I52" s="38">
        <f>I51+I32</f>
        <v>70386.13</v>
      </c>
      <c r="J52" s="38">
        <f>J51+J32</f>
        <v>1150872.6500000001</v>
      </c>
      <c r="K52" s="42" t="s">
        <v>288</v>
      </c>
      <c r="L52" s="42" t="s">
        <v>288</v>
      </c>
      <c r="M52" s="8"/>
      <c r="N52" s="165"/>
    </row>
    <row r="53" spans="1:14" s="3" customFormat="1" ht="12.2" customHeight="1">
      <c r="A53"/>
      <c r="B53"/>
      <c r="C53"/>
      <c r="D53"/>
      <c r="E53"/>
      <c r="F53" s="22" t="s">
        <v>273</v>
      </c>
      <c r="G53" s="22" t="s">
        <v>274</v>
      </c>
      <c r="H53" s="22" t="s">
        <v>275</v>
      </c>
      <c r="I53" s="22" t="s">
        <v>276</v>
      </c>
      <c r="J53" s="22" t="s">
        <v>277</v>
      </c>
      <c r="K53" s="19"/>
      <c r="L53" s="19"/>
      <c r="M53" s="8"/>
      <c r="N53" s="165"/>
    </row>
    <row r="54" spans="1:14" s="3" customFormat="1" ht="12.2" customHeight="1">
      <c r="A54" s="1" t="s">
        <v>305</v>
      </c>
      <c r="F54" s="22"/>
      <c r="G54" s="22"/>
      <c r="H54" s="22" t="s">
        <v>282</v>
      </c>
      <c r="I54" s="22"/>
      <c r="J54" s="22"/>
      <c r="K54" s="19"/>
      <c r="L54" s="19"/>
      <c r="M54" s="8"/>
      <c r="N54" s="165"/>
    </row>
    <row r="55" spans="1:14" s="3" customFormat="1" ht="12.2" customHeight="1">
      <c r="A55" s="27" t="s">
        <v>307</v>
      </c>
      <c r="E55" s="6"/>
      <c r="F55" s="16" t="s">
        <v>280</v>
      </c>
      <c r="G55" s="16" t="s">
        <v>281</v>
      </c>
      <c r="H55" s="16" t="s">
        <v>768</v>
      </c>
      <c r="I55" s="16" t="s">
        <v>283</v>
      </c>
      <c r="J55" s="16" t="s">
        <v>284</v>
      </c>
      <c r="K55" s="19"/>
      <c r="L55" s="19"/>
      <c r="M55" s="8"/>
      <c r="N55" s="165"/>
    </row>
    <row r="56" spans="1:14" s="3" customFormat="1" ht="12.2" customHeight="1">
      <c r="A56" s="26" t="s">
        <v>308</v>
      </c>
      <c r="E56" s="6"/>
      <c r="F56" s="23" t="s">
        <v>288</v>
      </c>
      <c r="G56" s="23" t="s">
        <v>288</v>
      </c>
      <c r="H56" s="23" t="s">
        <v>288</v>
      </c>
      <c r="I56" s="23" t="s">
        <v>288</v>
      </c>
      <c r="J56" s="23" t="s">
        <v>288</v>
      </c>
      <c r="K56" s="23" t="s">
        <v>288</v>
      </c>
      <c r="L56" s="23" t="s">
        <v>288</v>
      </c>
      <c r="M56" s="8"/>
      <c r="N56" s="165"/>
    </row>
    <row r="57" spans="1:14" s="3" customFormat="1" ht="12.2" customHeight="1">
      <c r="A57" s="1" t="s">
        <v>511</v>
      </c>
      <c r="B57" s="2" t="s">
        <v>309</v>
      </c>
      <c r="C57" s="6">
        <v>1</v>
      </c>
      <c r="D57" s="2" t="s">
        <v>430</v>
      </c>
      <c r="E57" s="6">
        <v>1111</v>
      </c>
      <c r="F57" s="18">
        <v>8342447</v>
      </c>
      <c r="G57" s="18"/>
      <c r="H57" s="18"/>
      <c r="I57" s="18"/>
      <c r="J57" s="18"/>
      <c r="K57" s="23" t="s">
        <v>288</v>
      </c>
      <c r="L57" s="23" t="s">
        <v>288</v>
      </c>
      <c r="M57" s="8"/>
      <c r="N57" s="165"/>
    </row>
    <row r="58" spans="1:14" s="3" customFormat="1" ht="12.2" customHeight="1">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c r="A60" s="35" t="s">
        <v>408</v>
      </c>
      <c r="B60" s="36" t="s">
        <v>309</v>
      </c>
      <c r="C60" s="37">
        <v>4</v>
      </c>
      <c r="D60" s="36" t="s">
        <v>430</v>
      </c>
      <c r="E60" s="37">
        <v>1100</v>
      </c>
      <c r="F60" s="38">
        <f>SUM(F57:F59)</f>
        <v>8342447</v>
      </c>
      <c r="G60" s="38">
        <f>SUM(G57:G59)</f>
        <v>0</v>
      </c>
      <c r="H60" s="38">
        <f>SUM(H57:H59)</f>
        <v>0</v>
      </c>
      <c r="I60" s="38">
        <f>SUM(I57:I59)</f>
        <v>0</v>
      </c>
      <c r="J60" s="38">
        <f>SUM(J57:J59)</f>
        <v>0</v>
      </c>
      <c r="K60" s="42" t="s">
        <v>288</v>
      </c>
      <c r="L60" s="42" t="s">
        <v>288</v>
      </c>
      <c r="M60" s="30"/>
      <c r="N60" s="200"/>
    </row>
    <row r="61" spans="1:14" s="3" customFormat="1" ht="12.2" customHeight="1">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c r="A63" s="1" t="s">
        <v>513</v>
      </c>
      <c r="B63" s="2" t="s">
        <v>309</v>
      </c>
      <c r="C63" s="6">
        <v>5</v>
      </c>
      <c r="D63" s="2" t="s">
        <v>430</v>
      </c>
      <c r="E63" s="6">
        <v>1311</v>
      </c>
      <c r="F63" s="18">
        <v>1430.34</v>
      </c>
      <c r="G63" s="23" t="s">
        <v>288</v>
      </c>
      <c r="H63" s="18"/>
      <c r="I63" s="23" t="s">
        <v>288</v>
      </c>
      <c r="J63" s="23" t="s">
        <v>288</v>
      </c>
      <c r="K63" s="23" t="s">
        <v>288</v>
      </c>
      <c r="L63" s="23" t="s">
        <v>288</v>
      </c>
      <c r="M63" s="8"/>
      <c r="N63" s="165"/>
    </row>
    <row r="64" spans="1:14" s="3" customFormat="1" ht="12.2" customHeight="1">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c r="A75" s="29" t="s">
        <v>313</v>
      </c>
      <c r="E75" s="6">
        <v>1340</v>
      </c>
      <c r="F75" s="23" t="s">
        <v>288</v>
      </c>
      <c r="G75" s="23" t="s">
        <v>288</v>
      </c>
      <c r="H75" s="23" t="s">
        <v>288</v>
      </c>
      <c r="I75" s="23" t="s">
        <v>288</v>
      </c>
      <c r="J75" s="23" t="s">
        <v>288</v>
      </c>
      <c r="K75" s="23" t="s">
        <v>288</v>
      </c>
      <c r="L75" s="23" t="s">
        <v>288</v>
      </c>
      <c r="M75" s="8"/>
      <c r="N75" s="165"/>
    </row>
    <row r="76" spans="1:14" s="3" customFormat="1" ht="12.2" customHeight="1">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c r="A79" s="35" t="s">
        <v>409</v>
      </c>
      <c r="B79" s="36" t="s">
        <v>309</v>
      </c>
      <c r="C79" s="36" t="s">
        <v>314</v>
      </c>
      <c r="D79" s="36" t="s">
        <v>430</v>
      </c>
      <c r="E79" s="37">
        <v>1300</v>
      </c>
      <c r="F79" s="38">
        <f>SUM(F63:F78)</f>
        <v>1430.34</v>
      </c>
      <c r="G79" s="42" t="s">
        <v>288</v>
      </c>
      <c r="H79" s="38">
        <f>SUM(H63:H78)</f>
        <v>0</v>
      </c>
      <c r="I79" s="42" t="s">
        <v>288</v>
      </c>
      <c r="J79" s="42" t="s">
        <v>288</v>
      </c>
      <c r="K79" s="42" t="s">
        <v>288</v>
      </c>
      <c r="L79" s="42" t="s">
        <v>288</v>
      </c>
      <c r="M79" s="8"/>
      <c r="N79" s="165"/>
    </row>
    <row r="80" spans="1:14" s="3" customFormat="1" ht="12.2" customHeight="1">
      <c r="A80"/>
      <c r="B80"/>
      <c r="C80" s="31"/>
      <c r="D80" s="31"/>
      <c r="E80" s="31"/>
      <c r="F80" s="22" t="s">
        <v>273</v>
      </c>
      <c r="G80" s="22" t="s">
        <v>274</v>
      </c>
      <c r="H80" s="22" t="s">
        <v>275</v>
      </c>
      <c r="I80" s="22" t="s">
        <v>276</v>
      </c>
      <c r="J80" s="22" t="s">
        <v>277</v>
      </c>
      <c r="K80" s="19"/>
      <c r="L80" s="19"/>
      <c r="M80" s="8"/>
      <c r="N80" s="165"/>
    </row>
    <row r="81" spans="1:14" s="3" customFormat="1" ht="12.2" customHeight="1">
      <c r="A81" s="125" t="s">
        <v>518</v>
      </c>
      <c r="C81" s="22"/>
      <c r="D81" s="22"/>
      <c r="E81" s="22"/>
      <c r="F81" s="22"/>
      <c r="G81" s="22"/>
      <c r="H81" s="22" t="s">
        <v>282</v>
      </c>
      <c r="I81" s="22"/>
      <c r="J81" s="22"/>
      <c r="K81" s="19"/>
      <c r="L81" s="19"/>
      <c r="M81" s="8"/>
      <c r="N81" s="165"/>
    </row>
    <row r="82" spans="1:14" s="3" customFormat="1" ht="12.2" customHeight="1">
      <c r="A82" s="29" t="s">
        <v>412</v>
      </c>
      <c r="C82" s="22"/>
      <c r="D82" s="22"/>
      <c r="E82" s="6">
        <v>1410</v>
      </c>
      <c r="F82" s="16" t="s">
        <v>280</v>
      </c>
      <c r="G82" s="16" t="s">
        <v>281</v>
      </c>
      <c r="H82" s="16" t="s">
        <v>768</v>
      </c>
      <c r="I82" s="16" t="s">
        <v>283</v>
      </c>
      <c r="J82" s="16" t="s">
        <v>284</v>
      </c>
      <c r="K82" s="19"/>
      <c r="L82" s="19"/>
      <c r="M82" s="8"/>
      <c r="N82" s="165"/>
    </row>
    <row r="83" spans="1:14" s="3" customFormat="1" ht="12.2" customHeight="1">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c r="A96" s="1" t="s">
        <v>592</v>
      </c>
      <c r="B96" s="2" t="s">
        <v>315</v>
      </c>
      <c r="C96" s="6">
        <v>11</v>
      </c>
      <c r="D96" s="2" t="s">
        <v>430</v>
      </c>
      <c r="E96" s="6">
        <v>1500</v>
      </c>
      <c r="F96" s="18">
        <v>5510.51</v>
      </c>
      <c r="G96" s="18"/>
      <c r="H96" s="18"/>
      <c r="I96" s="18"/>
      <c r="J96" s="18">
        <v>13826.72</v>
      </c>
      <c r="K96" s="23" t="s">
        <v>288</v>
      </c>
      <c r="L96" s="23" t="s">
        <v>288</v>
      </c>
      <c r="M96" s="8"/>
      <c r="N96" s="165"/>
    </row>
    <row r="97" spans="1:14" s="3" customFormat="1" ht="12.2" customHeight="1">
      <c r="A97" s="1" t="s">
        <v>503</v>
      </c>
      <c r="B97" s="2" t="s">
        <v>315</v>
      </c>
      <c r="C97" s="6">
        <v>12</v>
      </c>
      <c r="D97" s="2" t="s">
        <v>430</v>
      </c>
      <c r="E97" s="6">
        <v>1600</v>
      </c>
      <c r="F97" s="23" t="s">
        <v>288</v>
      </c>
      <c r="G97" s="18">
        <v>4413.41</v>
      </c>
      <c r="H97" s="23" t="s">
        <v>288</v>
      </c>
      <c r="I97" s="23" t="s">
        <v>288</v>
      </c>
      <c r="J97" s="23" t="s">
        <v>288</v>
      </c>
      <c r="K97" s="23" t="s">
        <v>288</v>
      </c>
      <c r="L97" s="23" t="s">
        <v>288</v>
      </c>
      <c r="M97" s="8"/>
      <c r="N97" s="165"/>
    </row>
    <row r="98" spans="1:14" s="3" customFormat="1" ht="12.2" customHeight="1">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c r="A110" s="1" t="s">
        <v>510</v>
      </c>
      <c r="B110" s="2" t="s">
        <v>315</v>
      </c>
      <c r="C110" s="6">
        <v>24</v>
      </c>
      <c r="D110" s="2" t="s">
        <v>430</v>
      </c>
      <c r="E110" s="6">
        <v>1990</v>
      </c>
      <c r="F110" s="18">
        <v>4569.42</v>
      </c>
      <c r="G110" s="18"/>
      <c r="H110" s="18"/>
      <c r="I110" s="18"/>
      <c r="J110" s="18"/>
      <c r="K110" s="23" t="s">
        <v>288</v>
      </c>
      <c r="L110" s="23" t="s">
        <v>288</v>
      </c>
      <c r="M110" s="8"/>
      <c r="N110" s="165"/>
    </row>
    <row r="111" spans="1:14" ht="12.2" customHeight="1" thickTop="1" thickBot="1">
      <c r="A111" s="35" t="s">
        <v>433</v>
      </c>
      <c r="B111" s="36" t="s">
        <v>315</v>
      </c>
      <c r="C111" s="37">
        <v>25</v>
      </c>
      <c r="D111" s="36" t="s">
        <v>430</v>
      </c>
      <c r="E111" s="37"/>
      <c r="F111" s="38">
        <f>SUM(F96:F110)</f>
        <v>10079.93</v>
      </c>
      <c r="G111" s="38">
        <f>SUM(G96:G110)</f>
        <v>4413.41</v>
      </c>
      <c r="H111" s="38">
        <f>SUM(H96:H110)</f>
        <v>0</v>
      </c>
      <c r="I111" s="38">
        <f>SUM(I96:I110)</f>
        <v>0</v>
      </c>
      <c r="J111" s="38">
        <f>SUM(J96:J110)</f>
        <v>13826.72</v>
      </c>
      <c r="K111" s="42" t="s">
        <v>288</v>
      </c>
      <c r="L111" s="42" t="s">
        <v>288</v>
      </c>
      <c r="N111" s="131"/>
    </row>
    <row r="112" spans="1:14" s="3" customFormat="1" ht="12.2" customHeight="1" thickTop="1">
      <c r="A112" s="35" t="s">
        <v>414</v>
      </c>
      <c r="B112" s="36" t="s">
        <v>315</v>
      </c>
      <c r="C112" s="37">
        <v>26</v>
      </c>
      <c r="D112" s="36" t="s">
        <v>430</v>
      </c>
      <c r="E112" s="37">
        <v>1000</v>
      </c>
      <c r="F112" s="38">
        <f>F60+F79+F94+F111</f>
        <v>8353957.2699999996</v>
      </c>
      <c r="G112" s="38">
        <f>G60+G111</f>
        <v>4413.41</v>
      </c>
      <c r="H112" s="38">
        <f>H60+H79+H94+H111</f>
        <v>0</v>
      </c>
      <c r="I112" s="38">
        <f>I60+I111</f>
        <v>0</v>
      </c>
      <c r="J112" s="38">
        <f>J60+J111</f>
        <v>13826.72</v>
      </c>
      <c r="K112" s="42" t="s">
        <v>288</v>
      </c>
      <c r="L112" s="42" t="s">
        <v>288</v>
      </c>
      <c r="M112" s="8"/>
      <c r="N112" s="165"/>
    </row>
    <row r="113" spans="1:14" s="3" customFormat="1" ht="12.2" customHeight="1">
      <c r="A113"/>
      <c r="B113"/>
      <c r="C113"/>
      <c r="D113"/>
      <c r="E113"/>
      <c r="F113" s="22" t="s">
        <v>273</v>
      </c>
      <c r="G113" s="22" t="s">
        <v>274</v>
      </c>
      <c r="H113" s="22" t="s">
        <v>275</v>
      </c>
      <c r="I113" s="22" t="s">
        <v>276</v>
      </c>
      <c r="J113" s="22" t="s">
        <v>277</v>
      </c>
      <c r="K113" s="19"/>
      <c r="L113" s="19"/>
      <c r="M113" s="8"/>
      <c r="N113" s="165"/>
    </row>
    <row r="114" spans="1:14" s="3" customFormat="1" ht="12.2" customHeight="1">
      <c r="A114" s="28" t="s">
        <v>319</v>
      </c>
      <c r="H114" s="22" t="s">
        <v>282</v>
      </c>
      <c r="K114" s="19"/>
      <c r="L114" s="19"/>
      <c r="M114" s="8"/>
      <c r="N114" s="165"/>
    </row>
    <row r="115" spans="1:14" s="3" customFormat="1" ht="12.2" customHeight="1">
      <c r="A115" s="27" t="s">
        <v>320</v>
      </c>
      <c r="F115" s="16" t="s">
        <v>280</v>
      </c>
      <c r="G115" s="14" t="s">
        <v>281</v>
      </c>
      <c r="H115" s="16" t="s">
        <v>768</v>
      </c>
      <c r="I115" s="16" t="s">
        <v>283</v>
      </c>
      <c r="J115" s="16" t="s">
        <v>284</v>
      </c>
      <c r="K115" s="19"/>
      <c r="L115" s="19"/>
      <c r="M115" s="8"/>
      <c r="N115" s="165"/>
    </row>
    <row r="116" spans="1:14" s="3" customFormat="1" ht="12.2" customHeight="1">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c r="A117" s="1" t="s">
        <v>833</v>
      </c>
      <c r="B117" s="2" t="s">
        <v>321</v>
      </c>
      <c r="C117" s="6">
        <v>1</v>
      </c>
      <c r="D117" s="2" t="s">
        <v>430</v>
      </c>
      <c r="E117" s="6">
        <v>3111</v>
      </c>
      <c r="F117" s="18">
        <v>1499891.4</v>
      </c>
      <c r="G117" s="23" t="s">
        <v>288</v>
      </c>
      <c r="H117" s="23" t="s">
        <v>288</v>
      </c>
      <c r="I117" s="23" t="s">
        <v>288</v>
      </c>
      <c r="J117" s="23" t="s">
        <v>288</v>
      </c>
      <c r="K117" s="23" t="s">
        <v>288</v>
      </c>
      <c r="L117" s="23" t="s">
        <v>288</v>
      </c>
      <c r="M117" s="8"/>
      <c r="N117" s="165"/>
    </row>
    <row r="118" spans="1:14" s="3" customFormat="1" ht="12.2" customHeight="1">
      <c r="A118" s="1" t="s">
        <v>769</v>
      </c>
      <c r="B118" s="2" t="s">
        <v>321</v>
      </c>
      <c r="C118" s="6">
        <v>2</v>
      </c>
      <c r="D118" s="2" t="s">
        <v>430</v>
      </c>
      <c r="E118" s="6">
        <v>3112</v>
      </c>
      <c r="F118" s="18">
        <v>982585</v>
      </c>
      <c r="G118" s="23" t="s">
        <v>288</v>
      </c>
      <c r="H118" s="23" t="s">
        <v>288</v>
      </c>
      <c r="I118" s="23" t="s">
        <v>288</v>
      </c>
      <c r="J118" s="23" t="s">
        <v>288</v>
      </c>
      <c r="K118" s="23" t="s">
        <v>288</v>
      </c>
      <c r="L118" s="23" t="s">
        <v>288</v>
      </c>
      <c r="M118" s="8"/>
      <c r="N118" s="165"/>
    </row>
    <row r="119" spans="1:14" s="3" customFormat="1" ht="12.2" customHeight="1">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c r="A120" s="3" t="s">
        <v>502</v>
      </c>
      <c r="B120" s="2" t="s">
        <v>321</v>
      </c>
      <c r="C120" s="6">
        <v>4</v>
      </c>
      <c r="D120" s="2" t="s">
        <v>430</v>
      </c>
      <c r="E120" s="6">
        <v>3190</v>
      </c>
      <c r="F120" s="18">
        <v>3990.42</v>
      </c>
      <c r="G120" s="18"/>
      <c r="H120" s="18"/>
      <c r="I120" s="18"/>
      <c r="J120" s="18"/>
      <c r="K120" s="23" t="s">
        <v>288</v>
      </c>
      <c r="L120" s="23" t="s">
        <v>288</v>
      </c>
      <c r="M120" s="8"/>
      <c r="N120" s="165"/>
    </row>
    <row r="121" spans="1:14" s="3" customFormat="1" ht="12.2" customHeight="1" thickTop="1">
      <c r="A121" s="35" t="s">
        <v>648</v>
      </c>
      <c r="B121" s="36" t="s">
        <v>321</v>
      </c>
      <c r="C121" s="37">
        <v>5</v>
      </c>
      <c r="D121" s="36" t="s">
        <v>430</v>
      </c>
      <c r="E121" s="37">
        <v>3100</v>
      </c>
      <c r="F121" s="38">
        <f>SUM(F117:F120)</f>
        <v>2486466.8199999998</v>
      </c>
      <c r="G121" s="38">
        <f>SUM(G117:G120)</f>
        <v>0</v>
      </c>
      <c r="H121" s="38">
        <f>SUM(H117:H120)</f>
        <v>0</v>
      </c>
      <c r="I121" s="38">
        <f>SUM(I117:I120)</f>
        <v>0</v>
      </c>
      <c r="J121" s="38">
        <f>SUM(J117:J120)</f>
        <v>0</v>
      </c>
      <c r="K121" s="42" t="s">
        <v>288</v>
      </c>
      <c r="L121" s="42" t="s">
        <v>288</v>
      </c>
      <c r="M121" s="8"/>
      <c r="N121" s="165"/>
    </row>
    <row r="122" spans="1:14" s="3" customFormat="1" ht="12.2" customHeight="1">
      <c r="A122" s="29" t="s">
        <v>325</v>
      </c>
      <c r="F122" s="23" t="s">
        <v>288</v>
      </c>
      <c r="G122" s="23" t="s">
        <v>288</v>
      </c>
      <c r="H122" s="23" t="s">
        <v>288</v>
      </c>
      <c r="I122" s="23" t="s">
        <v>288</v>
      </c>
      <c r="J122" s="23" t="s">
        <v>288</v>
      </c>
      <c r="K122" s="23" t="s">
        <v>288</v>
      </c>
      <c r="L122" s="23" t="s">
        <v>288</v>
      </c>
      <c r="M122" s="8"/>
      <c r="N122" s="165"/>
    </row>
    <row r="123" spans="1:14" s="3" customFormat="1" ht="12.2" customHeight="1">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c r="A126" s="1" t="s">
        <v>901</v>
      </c>
      <c r="B126" s="2" t="s">
        <v>321</v>
      </c>
      <c r="C126" s="6">
        <v>9</v>
      </c>
      <c r="D126" s="2" t="s">
        <v>430</v>
      </c>
      <c r="E126" s="6">
        <v>3230</v>
      </c>
      <c r="F126" s="18">
        <v>57588.51</v>
      </c>
      <c r="G126" s="23" t="s">
        <v>288</v>
      </c>
      <c r="H126" s="23" t="s">
        <v>288</v>
      </c>
      <c r="I126" s="23" t="s">
        <v>288</v>
      </c>
      <c r="J126" s="23" t="s">
        <v>288</v>
      </c>
      <c r="K126" s="23" t="s">
        <v>288</v>
      </c>
      <c r="L126" s="23" t="s">
        <v>288</v>
      </c>
      <c r="M126" s="8"/>
      <c r="N126" s="165"/>
    </row>
    <row r="127" spans="1:14" s="3" customFormat="1" ht="12.2" customHeight="1">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c r="A132" s="1" t="s">
        <v>498</v>
      </c>
      <c r="B132" s="2" t="s">
        <v>321</v>
      </c>
      <c r="C132" s="6">
        <v>15</v>
      </c>
      <c r="D132" s="2" t="s">
        <v>430</v>
      </c>
      <c r="E132" s="6">
        <v>3260</v>
      </c>
      <c r="F132" s="23" t="s">
        <v>288</v>
      </c>
      <c r="G132" s="18">
        <v>2722.44</v>
      </c>
      <c r="H132" s="23" t="s">
        <v>288</v>
      </c>
      <c r="I132" s="23" t="s">
        <v>288</v>
      </c>
      <c r="J132" s="23" t="s">
        <v>288</v>
      </c>
      <c r="K132" s="23" t="s">
        <v>288</v>
      </c>
      <c r="L132" s="23" t="s">
        <v>288</v>
      </c>
      <c r="M132" s="8"/>
      <c r="N132" s="165"/>
    </row>
    <row r="133" spans="1:14" s="3" customFormat="1" ht="12.2" customHeight="1">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c r="A134" s="1" t="s">
        <v>500</v>
      </c>
      <c r="B134" s="6">
        <v>4</v>
      </c>
      <c r="C134" s="6">
        <v>17</v>
      </c>
      <c r="D134" s="2"/>
      <c r="E134" s="6">
        <v>3280</v>
      </c>
      <c r="F134" s="23" t="s">
        <v>288</v>
      </c>
      <c r="G134" s="23"/>
      <c r="H134" s="18"/>
      <c r="I134" s="23"/>
      <c r="J134" s="23"/>
      <c r="K134" s="23"/>
      <c r="L134" s="23"/>
      <c r="M134" s="8"/>
      <c r="N134" s="165"/>
    </row>
    <row r="135" spans="1:14" s="3" customFormat="1" ht="12.2" customHeight="1" thickBot="1">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c r="A136" s="35" t="s">
        <v>434</v>
      </c>
      <c r="B136" s="36" t="s">
        <v>321</v>
      </c>
      <c r="C136" s="37">
        <v>19</v>
      </c>
      <c r="D136" s="36" t="s">
        <v>430</v>
      </c>
      <c r="E136" s="37">
        <v>3200</v>
      </c>
      <c r="F136" s="38">
        <f>SUM(F123:F135)</f>
        <v>57588.51</v>
      </c>
      <c r="G136" s="38">
        <f>SUM(G123:G135)</f>
        <v>2722.44</v>
      </c>
      <c r="H136" s="38">
        <f>SUM(H123:H135)</f>
        <v>0</v>
      </c>
      <c r="I136" s="38">
        <f>SUM(I123:I135)</f>
        <v>0</v>
      </c>
      <c r="J136" s="38">
        <f>SUM(J123:J135)</f>
        <v>0</v>
      </c>
      <c r="K136" s="42" t="s">
        <v>288</v>
      </c>
      <c r="L136" s="42" t="s">
        <v>288</v>
      </c>
      <c r="M136" s="8"/>
      <c r="N136" s="165"/>
    </row>
    <row r="137" spans="1:14" s="3" customFormat="1" ht="12.2" customHeight="1">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c r="A140" s="35" t="s">
        <v>415</v>
      </c>
      <c r="B140" s="36" t="s">
        <v>321</v>
      </c>
      <c r="C140" s="37">
        <v>23</v>
      </c>
      <c r="D140" s="36" t="s">
        <v>430</v>
      </c>
      <c r="E140" s="37">
        <v>3000</v>
      </c>
      <c r="F140" s="38">
        <f>F121+SUM(F136:F139)</f>
        <v>2544055.3299999996</v>
      </c>
      <c r="G140" s="38">
        <f>G121+SUM(G136:G137)</f>
        <v>2722.44</v>
      </c>
      <c r="H140" s="38">
        <f>H121+SUM(H136:H139)</f>
        <v>0</v>
      </c>
      <c r="I140" s="38">
        <f>I121+I136</f>
        <v>0</v>
      </c>
      <c r="J140" s="38">
        <f>J121+J136</f>
        <v>0</v>
      </c>
      <c r="K140" s="42" t="s">
        <v>288</v>
      </c>
      <c r="L140" s="42" t="s">
        <v>288</v>
      </c>
      <c r="M140" s="8"/>
      <c r="N140" s="165"/>
    </row>
    <row r="141" spans="1:14" s="3" customFormat="1" ht="12.2" customHeight="1">
      <c r="A141" s="28"/>
      <c r="B141" s="2"/>
      <c r="C141" s="6"/>
      <c r="D141" s="6"/>
      <c r="E141" s="6"/>
      <c r="F141" s="22" t="s">
        <v>273</v>
      </c>
      <c r="G141" s="22" t="s">
        <v>274</v>
      </c>
      <c r="H141" s="22" t="s">
        <v>275</v>
      </c>
      <c r="I141" s="22" t="s">
        <v>276</v>
      </c>
      <c r="J141" s="22" t="s">
        <v>277</v>
      </c>
      <c r="K141" s="19"/>
      <c r="L141" s="19"/>
      <c r="M141" s="8"/>
      <c r="N141" s="165"/>
    </row>
    <row r="142" spans="1:14" s="3" customFormat="1" ht="12.2" customHeight="1">
      <c r="A142" s="28" t="s">
        <v>319</v>
      </c>
      <c r="F142" s="22"/>
      <c r="G142" s="22"/>
      <c r="H142" s="16" t="s">
        <v>282</v>
      </c>
      <c r="I142" s="22"/>
      <c r="J142" s="22"/>
      <c r="K142" s="19"/>
      <c r="L142" s="19"/>
      <c r="M142" s="8"/>
      <c r="N142" s="165"/>
    </row>
    <row r="143" spans="1:14" s="3" customFormat="1" ht="12.2" customHeight="1">
      <c r="A143" s="27" t="s">
        <v>456</v>
      </c>
      <c r="F143" s="16" t="s">
        <v>280</v>
      </c>
      <c r="G143" s="16" t="s">
        <v>281</v>
      </c>
      <c r="H143" s="163" t="s">
        <v>768</v>
      </c>
      <c r="I143" s="16" t="s">
        <v>283</v>
      </c>
      <c r="J143" s="16" t="s">
        <v>284</v>
      </c>
      <c r="K143" s="19"/>
      <c r="L143" s="19"/>
      <c r="M143" s="8"/>
      <c r="N143" s="165"/>
    </row>
    <row r="144" spans="1:14" s="3" customFormat="1" ht="12.2" customHeight="1">
      <c r="A144" s="29" t="s">
        <v>323</v>
      </c>
      <c r="F144" s="23" t="s">
        <v>288</v>
      </c>
      <c r="G144" s="23" t="s">
        <v>288</v>
      </c>
      <c r="H144" s="23" t="s">
        <v>288</v>
      </c>
      <c r="I144" s="23" t="s">
        <v>288</v>
      </c>
      <c r="J144" s="23" t="s">
        <v>288</v>
      </c>
      <c r="K144" s="23" t="s">
        <v>288</v>
      </c>
      <c r="L144" s="23" t="s">
        <v>288</v>
      </c>
      <c r="M144" s="8"/>
      <c r="N144" s="165"/>
    </row>
    <row r="145" spans="1:14" s="3" customFormat="1" ht="12.2" customHeight="1">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c r="A146" s="1" t="s">
        <v>598</v>
      </c>
      <c r="B146" s="2" t="s">
        <v>324</v>
      </c>
      <c r="C146" s="6">
        <v>2</v>
      </c>
      <c r="D146" s="2" t="s">
        <v>430</v>
      </c>
      <c r="E146" s="6">
        <v>4200</v>
      </c>
      <c r="F146" s="18"/>
      <c r="G146" s="18"/>
      <c r="H146" s="18">
        <v>30502</v>
      </c>
      <c r="I146" s="18"/>
      <c r="J146" s="23" t="s">
        <v>288</v>
      </c>
      <c r="K146" s="23" t="s">
        <v>288</v>
      </c>
      <c r="L146" s="23" t="s">
        <v>288</v>
      </c>
      <c r="M146" s="8"/>
      <c r="N146" s="165"/>
    </row>
    <row r="147" spans="1:14" s="3" customFormat="1" ht="12.2" customHeight="1" thickTop="1">
      <c r="A147" s="35" t="s">
        <v>435</v>
      </c>
      <c r="B147" s="36" t="s">
        <v>324</v>
      </c>
      <c r="C147" s="37">
        <v>3</v>
      </c>
      <c r="D147" s="36" t="s">
        <v>430</v>
      </c>
      <c r="E147" s="37"/>
      <c r="F147" s="38">
        <f>SUM(F145:F146)</f>
        <v>0</v>
      </c>
      <c r="G147" s="38">
        <f>SUM(G145:G146)</f>
        <v>0</v>
      </c>
      <c r="H147" s="38">
        <f>SUM(H145:H146)</f>
        <v>30502</v>
      </c>
      <c r="I147" s="38">
        <f>SUM(I145:I146)</f>
        <v>0</v>
      </c>
      <c r="J147" s="42" t="s">
        <v>288</v>
      </c>
      <c r="K147" s="42" t="s">
        <v>288</v>
      </c>
      <c r="L147" s="42" t="s">
        <v>288</v>
      </c>
      <c r="M147" s="8"/>
      <c r="N147" s="165"/>
    </row>
    <row r="148" spans="1:14" s="3" customFormat="1" ht="12.2" customHeight="1">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c r="A154" s="1" t="s">
        <v>646</v>
      </c>
      <c r="B154" s="2" t="s">
        <v>324</v>
      </c>
      <c r="C154" s="6">
        <v>7</v>
      </c>
      <c r="D154" s="2" t="s">
        <v>430</v>
      </c>
      <c r="E154" s="6">
        <v>4520</v>
      </c>
      <c r="F154" s="23" t="s">
        <v>288</v>
      </c>
      <c r="G154" s="23" t="s">
        <v>288</v>
      </c>
      <c r="H154" s="18">
        <v>19226.310000000001</v>
      </c>
      <c r="I154" s="23" t="s">
        <v>288</v>
      </c>
      <c r="J154" s="23" t="s">
        <v>288</v>
      </c>
      <c r="K154" s="23" t="s">
        <v>288</v>
      </c>
      <c r="L154" s="23" t="s">
        <v>288</v>
      </c>
      <c r="M154" s="8"/>
      <c r="N154" s="165"/>
    </row>
    <row r="155" spans="1:14" s="3" customFormat="1" ht="12.2" customHeight="1">
      <c r="A155" s="1" t="s">
        <v>647</v>
      </c>
      <c r="B155" s="2" t="s">
        <v>324</v>
      </c>
      <c r="C155" s="6">
        <v>8</v>
      </c>
      <c r="D155" s="2" t="s">
        <v>430</v>
      </c>
      <c r="E155" s="6">
        <v>4530</v>
      </c>
      <c r="F155" s="23" t="s">
        <v>288</v>
      </c>
      <c r="G155" s="23" t="s">
        <v>288</v>
      </c>
      <c r="H155" s="18">
        <v>27717.41</v>
      </c>
      <c r="I155" s="23" t="s">
        <v>288</v>
      </c>
      <c r="J155" s="23" t="s">
        <v>288</v>
      </c>
      <c r="K155" s="23" t="s">
        <v>288</v>
      </c>
      <c r="L155" s="23" t="s">
        <v>288</v>
      </c>
      <c r="M155" s="8"/>
      <c r="N155" s="165"/>
    </row>
    <row r="156" spans="1:14" s="3" customFormat="1" ht="12.2" customHeight="1">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c r="A158" s="1" t="s">
        <v>490</v>
      </c>
      <c r="B158" s="2" t="s">
        <v>324</v>
      </c>
      <c r="C158" s="6">
        <v>11</v>
      </c>
      <c r="D158" s="2" t="s">
        <v>430</v>
      </c>
      <c r="E158" s="6">
        <v>4560</v>
      </c>
      <c r="F158" s="23" t="s">
        <v>288</v>
      </c>
      <c r="G158" s="18">
        <v>238834.32</v>
      </c>
      <c r="H158" s="23" t="s">
        <v>288</v>
      </c>
      <c r="I158" s="23" t="s">
        <v>288</v>
      </c>
      <c r="J158" s="23" t="s">
        <v>288</v>
      </c>
      <c r="K158" s="23" t="s">
        <v>288</v>
      </c>
      <c r="L158" s="23" t="s">
        <v>288</v>
      </c>
      <c r="M158" s="8"/>
      <c r="N158" s="165"/>
    </row>
    <row r="159" spans="1:14" s="3" customFormat="1" ht="12.2" customHeight="1">
      <c r="A159" s="1" t="s">
        <v>486</v>
      </c>
      <c r="B159" s="2" t="s">
        <v>324</v>
      </c>
      <c r="C159" s="6">
        <v>12</v>
      </c>
      <c r="D159" s="2" t="s">
        <v>430</v>
      </c>
      <c r="E159" s="6">
        <v>4570</v>
      </c>
      <c r="F159" s="23" t="s">
        <v>288</v>
      </c>
      <c r="G159" s="23" t="s">
        <v>288</v>
      </c>
      <c r="H159" s="18">
        <v>96479.35</v>
      </c>
      <c r="I159" s="23" t="s">
        <v>288</v>
      </c>
      <c r="J159" s="23" t="s">
        <v>288</v>
      </c>
      <c r="K159" s="23" t="s">
        <v>288</v>
      </c>
      <c r="L159" s="23" t="s">
        <v>288</v>
      </c>
      <c r="M159" s="8"/>
      <c r="N159" s="165"/>
    </row>
    <row r="160" spans="1:14" s="3" customFormat="1" ht="12.2" customHeight="1">
      <c r="A160" s="1" t="s">
        <v>491</v>
      </c>
      <c r="B160" s="2" t="s">
        <v>324</v>
      </c>
      <c r="C160" s="6">
        <v>13</v>
      </c>
      <c r="D160" s="2" t="s">
        <v>430</v>
      </c>
      <c r="E160" s="6">
        <v>4580</v>
      </c>
      <c r="F160" s="18">
        <v>32433.81</v>
      </c>
      <c r="G160" s="23" t="s">
        <v>288</v>
      </c>
      <c r="H160" s="18"/>
      <c r="I160" s="23" t="s">
        <v>288</v>
      </c>
      <c r="J160" s="23" t="s">
        <v>288</v>
      </c>
      <c r="K160" s="23" t="s">
        <v>288</v>
      </c>
      <c r="L160" s="23" t="s">
        <v>288</v>
      </c>
      <c r="M160" s="8"/>
      <c r="N160" s="165"/>
    </row>
    <row r="161" spans="1:14" s="3" customFormat="1" ht="12.2" customHeight="1">
      <c r="A161" s="1" t="s">
        <v>492</v>
      </c>
      <c r="B161" s="2" t="s">
        <v>324</v>
      </c>
      <c r="C161" s="6">
        <v>14</v>
      </c>
      <c r="D161" s="2" t="s">
        <v>430</v>
      </c>
      <c r="E161" s="6">
        <v>4590</v>
      </c>
      <c r="F161" s="18"/>
      <c r="G161" s="18"/>
      <c r="H161" s="4"/>
      <c r="I161" s="18"/>
      <c r="J161" s="23" t="s">
        <v>288</v>
      </c>
      <c r="K161" s="23" t="s">
        <v>288</v>
      </c>
      <c r="L161" s="23" t="s">
        <v>288</v>
      </c>
      <c r="M161" s="8"/>
      <c r="N161" s="165"/>
    </row>
    <row r="162" spans="1:14" s="3" customFormat="1" ht="12.2" customHeight="1" thickBot="1">
      <c r="A162" s="250" t="s">
        <v>1596</v>
      </c>
      <c r="B162" s="248">
        <v>5</v>
      </c>
      <c r="C162" s="248">
        <v>15</v>
      </c>
      <c r="D162" s="249"/>
      <c r="E162" s="248">
        <v>4595</v>
      </c>
      <c r="F162" s="18"/>
      <c r="G162" s="18"/>
      <c r="H162" s="18">
        <v>55475.42</v>
      </c>
      <c r="I162" s="23" t="s">
        <v>288</v>
      </c>
      <c r="J162" s="23"/>
      <c r="K162" s="23"/>
      <c r="L162" s="23"/>
      <c r="M162" s="8"/>
      <c r="N162" s="165"/>
    </row>
    <row r="163" spans="1:14" s="3" customFormat="1" ht="12.2" customHeight="1" thickTop="1">
      <c r="A163" s="35" t="s">
        <v>436</v>
      </c>
      <c r="B163" s="36" t="s">
        <v>324</v>
      </c>
      <c r="C163" s="37">
        <v>16</v>
      </c>
      <c r="D163" s="36" t="s">
        <v>430</v>
      </c>
      <c r="E163" s="37"/>
      <c r="F163" s="38">
        <f>SUM(F150:F162)</f>
        <v>32433.81</v>
      </c>
      <c r="G163" s="38">
        <f>SUM(G150:G162)</f>
        <v>238834.32</v>
      </c>
      <c r="H163" s="38">
        <f>SUM(H150:H162)</f>
        <v>198898.49</v>
      </c>
      <c r="I163" s="38">
        <f>SUM(I150:I162)</f>
        <v>0</v>
      </c>
      <c r="J163" s="42" t="s">
        <v>288</v>
      </c>
      <c r="K163" s="42" t="s">
        <v>288</v>
      </c>
      <c r="L163" s="42" t="s">
        <v>288</v>
      </c>
      <c r="M163" s="8"/>
      <c r="N163" s="165"/>
    </row>
    <row r="164" spans="1:14" s="3" customFormat="1" ht="12.2" customHeight="1">
      <c r="A164" s="3" t="s">
        <v>679</v>
      </c>
      <c r="B164" s="2" t="s">
        <v>324</v>
      </c>
      <c r="C164" s="6">
        <v>17</v>
      </c>
      <c r="D164" s="2" t="s">
        <v>430</v>
      </c>
      <c r="E164" s="6">
        <v>4700</v>
      </c>
      <c r="F164" s="18"/>
      <c r="G164" s="18"/>
      <c r="H164" s="18">
        <v>64729.47</v>
      </c>
      <c r="I164" s="18"/>
      <c r="J164" s="23" t="s">
        <v>288</v>
      </c>
      <c r="K164" s="23" t="s">
        <v>288</v>
      </c>
      <c r="L164" s="23" t="s">
        <v>288</v>
      </c>
      <c r="M164" s="8"/>
      <c r="N164" s="165"/>
    </row>
    <row r="165" spans="1:14" s="3" customFormat="1" ht="12.2" customHeight="1">
      <c r="A165" s="29" t="s">
        <v>328</v>
      </c>
      <c r="E165" s="6"/>
      <c r="F165" s="23" t="s">
        <v>288</v>
      </c>
      <c r="G165" s="23" t="s">
        <v>288</v>
      </c>
      <c r="H165" s="23" t="s">
        <v>288</v>
      </c>
      <c r="I165" s="23" t="s">
        <v>288</v>
      </c>
      <c r="J165" s="23" t="s">
        <v>288</v>
      </c>
      <c r="K165" s="23" t="s">
        <v>288</v>
      </c>
      <c r="L165" s="23" t="s">
        <v>288</v>
      </c>
      <c r="M165" s="8"/>
      <c r="N165" s="165"/>
    </row>
    <row r="166" spans="1:14" s="3" customFormat="1" ht="12.2" customHeight="1">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c r="A170" s="35" t="s">
        <v>458</v>
      </c>
      <c r="B170" s="36" t="s">
        <v>324</v>
      </c>
      <c r="C170" s="37">
        <v>21</v>
      </c>
      <c r="D170" s="36" t="s">
        <v>430</v>
      </c>
      <c r="E170" s="41">
        <v>4000</v>
      </c>
      <c r="F170" s="38">
        <f>F147+F163+SUM(F164:F169)</f>
        <v>32433.81</v>
      </c>
      <c r="G170" s="38">
        <f>G147+G163+SUM(G164:G169)</f>
        <v>238834.32</v>
      </c>
      <c r="H170" s="38">
        <f>H147+H163+SUM(H164:H169)</f>
        <v>294129.95999999996</v>
      </c>
      <c r="I170" s="38">
        <f>I147+I163+SUM(I164:I169)</f>
        <v>0</v>
      </c>
      <c r="J170" s="42" t="s">
        <v>288</v>
      </c>
      <c r="K170" s="42" t="s">
        <v>288</v>
      </c>
      <c r="L170" s="42" t="s">
        <v>288</v>
      </c>
      <c r="M170" s="8"/>
      <c r="N170" s="165"/>
    </row>
    <row r="171" spans="1:14" s="3" customFormat="1" ht="12.2" customHeight="1">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c r="A172" s="28" t="s">
        <v>680</v>
      </c>
      <c r="F172" s="22"/>
      <c r="G172" s="22"/>
      <c r="H172" s="16" t="s">
        <v>282</v>
      </c>
      <c r="I172" s="22"/>
      <c r="J172" s="22"/>
      <c r="K172" s="19"/>
      <c r="L172" s="19"/>
      <c r="M172" s="8"/>
      <c r="N172" s="165"/>
    </row>
    <row r="173" spans="1:14" s="3" customFormat="1" ht="12.2" customHeight="1">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c r="A180" s="1" t="s">
        <v>524</v>
      </c>
      <c r="B180" s="2" t="s">
        <v>330</v>
      </c>
      <c r="C180" s="6">
        <v>6</v>
      </c>
      <c r="D180" s="2" t="s">
        <v>430</v>
      </c>
      <c r="E180" s="6">
        <v>5210</v>
      </c>
      <c r="F180" s="23" t="s">
        <v>288</v>
      </c>
      <c r="G180" s="18">
        <v>45000</v>
      </c>
      <c r="H180" s="18"/>
      <c r="I180" s="18"/>
      <c r="J180" s="18">
        <v>38619</v>
      </c>
      <c r="K180" s="23" t="s">
        <v>288</v>
      </c>
      <c r="L180" s="23" t="s">
        <v>288</v>
      </c>
      <c r="M180" s="8"/>
      <c r="N180" s="165"/>
    </row>
    <row r="181" spans="1:14" s="3" customFormat="1" ht="12.2" customHeight="1">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c r="A182" s="3" t="s">
        <v>526</v>
      </c>
      <c r="B182" s="2" t="s">
        <v>330</v>
      </c>
      <c r="C182" s="6">
        <v>8</v>
      </c>
      <c r="D182" s="2" t="s">
        <v>430</v>
      </c>
      <c r="E182" s="6">
        <v>5222</v>
      </c>
      <c r="F182" s="18">
        <v>6264</v>
      </c>
      <c r="G182" s="18"/>
      <c r="H182" s="23" t="s">
        <v>288</v>
      </c>
      <c r="I182" s="18"/>
      <c r="J182" s="18"/>
      <c r="K182" s="23" t="s">
        <v>288</v>
      </c>
      <c r="L182" s="23" t="s">
        <v>288</v>
      </c>
      <c r="M182" s="8"/>
      <c r="N182" s="165"/>
    </row>
    <row r="183" spans="1:14" s="3" customFormat="1" ht="12.2" customHeight="1" thickBot="1">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c r="A184" s="35" t="s">
        <v>416</v>
      </c>
      <c r="B184" s="36" t="s">
        <v>330</v>
      </c>
      <c r="C184" s="41">
        <v>10</v>
      </c>
      <c r="D184" s="36" t="s">
        <v>430</v>
      </c>
      <c r="E184" s="41">
        <v>5200</v>
      </c>
      <c r="F184" s="38">
        <f>SUM(F180:F183)</f>
        <v>6264</v>
      </c>
      <c r="G184" s="38">
        <f>SUM(G180:G183)</f>
        <v>45000</v>
      </c>
      <c r="H184" s="38">
        <f>SUM(H180:H183)</f>
        <v>0</v>
      </c>
      <c r="I184" s="38">
        <f>SUM(I180:I183)</f>
        <v>0</v>
      </c>
      <c r="J184" s="38">
        <f>SUM(J180:J183)</f>
        <v>38619</v>
      </c>
      <c r="K184" s="42" t="s">
        <v>288</v>
      </c>
      <c r="L184" s="42" t="s">
        <v>288</v>
      </c>
      <c r="M184" s="8"/>
      <c r="N184" s="165"/>
    </row>
    <row r="185" spans="1:14" s="3" customFormat="1" ht="12.2" customHeight="1">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c r="A193" s="35" t="s">
        <v>418</v>
      </c>
      <c r="B193" s="36" t="s">
        <v>330</v>
      </c>
      <c r="C193" s="37">
        <v>18</v>
      </c>
      <c r="D193" s="113" t="s">
        <v>430</v>
      </c>
      <c r="E193" s="47">
        <v>5000</v>
      </c>
      <c r="F193" s="38">
        <f>F178+F184+SUM(F189:F192)</f>
        <v>6264</v>
      </c>
      <c r="G193" s="38">
        <f>G184+SUM(G189:G192)</f>
        <v>45000</v>
      </c>
      <c r="H193" s="38">
        <f>+H184+SUM(H189:H192)</f>
        <v>0</v>
      </c>
      <c r="I193" s="38">
        <f>I178+I184+SUM(I189:I192)</f>
        <v>0</v>
      </c>
      <c r="J193" s="38">
        <f>J184</f>
        <v>38619</v>
      </c>
      <c r="K193" s="42" t="s">
        <v>288</v>
      </c>
      <c r="L193" s="42" t="s">
        <v>288</v>
      </c>
      <c r="M193" s="8"/>
      <c r="N193" s="165"/>
    </row>
    <row r="194" spans="1:14" s="3" customFormat="1" ht="12.2" customHeight="1" thickTop="1">
      <c r="A194" s="43" t="s">
        <v>457</v>
      </c>
      <c r="B194" s="36" t="s">
        <v>330</v>
      </c>
      <c r="C194" s="37">
        <v>19</v>
      </c>
      <c r="D194" s="114" t="s">
        <v>430</v>
      </c>
      <c r="E194" s="41"/>
      <c r="F194" s="38">
        <f>F112+F140+F170+F193</f>
        <v>10936710.41</v>
      </c>
      <c r="G194" s="38">
        <f>G112+G140+G170+G193</f>
        <v>290970.17000000004</v>
      </c>
      <c r="H194" s="38">
        <f>H112+H140+H170+H193</f>
        <v>294129.95999999996</v>
      </c>
      <c r="I194" s="38">
        <f>I112+I140+I170+I193</f>
        <v>0</v>
      </c>
      <c r="J194" s="38">
        <f>J112+J140+J193</f>
        <v>52445.72</v>
      </c>
      <c r="K194" s="42" t="s">
        <v>288</v>
      </c>
      <c r="L194" s="42" t="s">
        <v>288</v>
      </c>
      <c r="M194" s="8"/>
      <c r="N194" s="165"/>
    </row>
    <row r="195" spans="1:14" s="3" customFormat="1" ht="12.2" customHeight="1">
      <c r="A195" s="33" t="s">
        <v>465</v>
      </c>
      <c r="B195" s="2"/>
      <c r="F195" s="15" t="s">
        <v>689</v>
      </c>
      <c r="G195" s="15" t="s">
        <v>690</v>
      </c>
      <c r="H195" s="15" t="s">
        <v>691</v>
      </c>
      <c r="I195" s="15" t="s">
        <v>692</v>
      </c>
      <c r="J195" s="15" t="s">
        <v>693</v>
      </c>
      <c r="K195" s="15" t="s">
        <v>694</v>
      </c>
      <c r="L195" s="13"/>
      <c r="M195" s="8"/>
      <c r="N195" s="165"/>
    </row>
    <row r="196" spans="1:14" s="3" customFormat="1" ht="12.2" customHeight="1">
      <c r="A196" s="28" t="s">
        <v>451</v>
      </c>
      <c r="F196" s="79" t="s">
        <v>54</v>
      </c>
      <c r="G196" s="79" t="s">
        <v>55</v>
      </c>
      <c r="H196" s="79" t="s">
        <v>56</v>
      </c>
      <c r="I196" s="79" t="s">
        <v>57</v>
      </c>
      <c r="J196" s="79" t="s">
        <v>58</v>
      </c>
      <c r="K196" s="79" t="s">
        <v>59</v>
      </c>
      <c r="L196" s="79" t="s">
        <v>5</v>
      </c>
      <c r="M196" s="8"/>
      <c r="N196" s="165"/>
    </row>
    <row r="197" spans="1:14" s="3" customFormat="1" ht="12.2" customHeight="1">
      <c r="A197" s="29" t="s">
        <v>531</v>
      </c>
      <c r="F197" s="23" t="s">
        <v>288</v>
      </c>
      <c r="G197" s="23" t="s">
        <v>288</v>
      </c>
      <c r="H197" s="23" t="s">
        <v>288</v>
      </c>
      <c r="I197" s="23" t="s">
        <v>288</v>
      </c>
      <c r="J197" s="23" t="s">
        <v>288</v>
      </c>
      <c r="K197" s="23" t="s">
        <v>288</v>
      </c>
      <c r="L197" s="23" t="s">
        <v>288</v>
      </c>
      <c r="M197" s="8"/>
      <c r="N197" s="165"/>
    </row>
    <row r="198" spans="1:14" s="3" customFormat="1" ht="12.2" customHeight="1">
      <c r="A198" s="1" t="s">
        <v>438</v>
      </c>
      <c r="B198" s="2" t="s">
        <v>341</v>
      </c>
      <c r="C198" s="2" t="s">
        <v>290</v>
      </c>
      <c r="D198" s="2" t="s">
        <v>431</v>
      </c>
      <c r="E198" s="6">
        <v>1100</v>
      </c>
      <c r="F198" s="18">
        <v>2236561.33</v>
      </c>
      <c r="G198" s="18">
        <v>1140646.28</v>
      </c>
      <c r="H198" s="18">
        <v>96833.59</v>
      </c>
      <c r="I198" s="18">
        <v>53881.97</v>
      </c>
      <c r="J198" s="18">
        <v>1799.98</v>
      </c>
      <c r="K198" s="18"/>
      <c r="L198" s="13">
        <f>SUM(F198:K198)</f>
        <v>3529723.1500000004</v>
      </c>
      <c r="M198" s="8"/>
      <c r="N198" s="165"/>
    </row>
    <row r="199" spans="1:14" s="3" customFormat="1" ht="12.2" customHeight="1">
      <c r="A199" s="1" t="s">
        <v>439</v>
      </c>
      <c r="B199" s="2" t="s">
        <v>341</v>
      </c>
      <c r="C199" s="2" t="s">
        <v>291</v>
      </c>
      <c r="D199" s="2" t="s">
        <v>431</v>
      </c>
      <c r="E199" s="6">
        <v>1200</v>
      </c>
      <c r="F199" s="18">
        <v>241541.38</v>
      </c>
      <c r="G199" s="18">
        <v>123186.1</v>
      </c>
      <c r="H199" s="18">
        <v>143572.4</v>
      </c>
      <c r="I199" s="18">
        <v>4582.2700000000004</v>
      </c>
      <c r="J199" s="18"/>
      <c r="K199" s="18"/>
      <c r="L199" s="13">
        <f>SUM(F199:K199)</f>
        <v>512882.15</v>
      </c>
      <c r="M199" s="8"/>
      <c r="N199" s="165"/>
    </row>
    <row r="200" spans="1:14" s="3" customFormat="1" ht="12.2" customHeight="1">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c r="A201" s="1" t="s">
        <v>441</v>
      </c>
      <c r="B201" s="2" t="s">
        <v>341</v>
      </c>
      <c r="C201" s="2" t="s">
        <v>293</v>
      </c>
      <c r="D201" s="2" t="s">
        <v>431</v>
      </c>
      <c r="E201" s="6">
        <v>1400</v>
      </c>
      <c r="F201" s="18">
        <v>40912.5</v>
      </c>
      <c r="G201" s="18">
        <v>20865.38</v>
      </c>
      <c r="H201" s="18">
        <v>5177</v>
      </c>
      <c r="I201" s="18">
        <v>9327.86</v>
      </c>
      <c r="J201" s="18"/>
      <c r="K201" s="18">
        <v>10470.76</v>
      </c>
      <c r="L201" s="13">
        <f>SUM(F201:K201)</f>
        <v>86753.5</v>
      </c>
      <c r="M201" s="8"/>
      <c r="N201" s="165"/>
    </row>
    <row r="202" spans="1:14" s="3" customFormat="1" ht="12.2" customHeight="1">
      <c r="A202" s="29" t="s">
        <v>342</v>
      </c>
      <c r="E202" s="6"/>
      <c r="F202" s="23" t="s">
        <v>288</v>
      </c>
      <c r="G202" s="23" t="s">
        <v>288</v>
      </c>
      <c r="H202" s="23" t="s">
        <v>288</v>
      </c>
      <c r="I202" s="23" t="s">
        <v>288</v>
      </c>
      <c r="J202" s="23" t="s">
        <v>288</v>
      </c>
      <c r="K202" s="23" t="s">
        <v>288</v>
      </c>
      <c r="L202" s="23" t="s">
        <v>288</v>
      </c>
      <c r="M202" s="8"/>
      <c r="N202" s="165"/>
    </row>
    <row r="203" spans="1:14" s="3" customFormat="1" ht="12.2" customHeight="1">
      <c r="A203" s="1" t="s">
        <v>442</v>
      </c>
      <c r="B203" s="2" t="s">
        <v>341</v>
      </c>
      <c r="C203" s="2" t="s">
        <v>294</v>
      </c>
      <c r="D203" s="2" t="s">
        <v>431</v>
      </c>
      <c r="E203" s="6">
        <v>2100</v>
      </c>
      <c r="F203" s="18">
        <v>358210.73</v>
      </c>
      <c r="G203" s="18">
        <v>182687.47</v>
      </c>
      <c r="H203" s="18">
        <v>54219.43</v>
      </c>
      <c r="I203" s="18">
        <v>5431.92</v>
      </c>
      <c r="J203" s="18"/>
      <c r="K203" s="18">
        <v>410.58</v>
      </c>
      <c r="L203" s="13">
        <f t="shared" ref="L203:L209" si="0">SUM(F203:K203)</f>
        <v>600960.13</v>
      </c>
      <c r="M203" s="8"/>
      <c r="N203" s="165"/>
    </row>
    <row r="204" spans="1:14" s="3" customFormat="1" ht="12.2" customHeight="1">
      <c r="A204" s="1" t="s">
        <v>443</v>
      </c>
      <c r="B204" s="2" t="s">
        <v>341</v>
      </c>
      <c r="C204" s="2" t="s">
        <v>295</v>
      </c>
      <c r="D204" s="2" t="s">
        <v>431</v>
      </c>
      <c r="E204" s="6">
        <v>2200</v>
      </c>
      <c r="F204" s="18">
        <v>141623.70000000001</v>
      </c>
      <c r="G204" s="18">
        <v>72228.09</v>
      </c>
      <c r="H204" s="18">
        <v>27552.65</v>
      </c>
      <c r="I204" s="18">
        <v>52305.63</v>
      </c>
      <c r="J204" s="18">
        <v>50281.54</v>
      </c>
      <c r="K204" s="18">
        <v>11646.83</v>
      </c>
      <c r="L204" s="13">
        <f t="shared" si="0"/>
        <v>355638.44</v>
      </c>
      <c r="M204" s="8"/>
      <c r="N204" s="165"/>
    </row>
    <row r="205" spans="1:14" s="3" customFormat="1" ht="12.2" customHeight="1">
      <c r="A205" s="1" t="s">
        <v>444</v>
      </c>
      <c r="B205" s="2" t="s">
        <v>341</v>
      </c>
      <c r="C205" s="2" t="s">
        <v>296</v>
      </c>
      <c r="D205" s="2" t="s">
        <v>431</v>
      </c>
      <c r="E205" s="6">
        <v>2300</v>
      </c>
      <c r="F205" s="18">
        <v>275987.3</v>
      </c>
      <c r="G205" s="18">
        <v>140753.51999999999</v>
      </c>
      <c r="H205" s="18">
        <v>49846.86</v>
      </c>
      <c r="I205" s="18">
        <v>2960.37</v>
      </c>
      <c r="J205" s="18"/>
      <c r="K205" s="18"/>
      <c r="L205" s="13">
        <f t="shared" si="0"/>
        <v>469548.04999999993</v>
      </c>
      <c r="M205" s="8"/>
      <c r="N205" s="165"/>
    </row>
    <row r="206" spans="1:14" s="3" customFormat="1" ht="12.2" customHeight="1">
      <c r="A206" s="1" t="s">
        <v>445</v>
      </c>
      <c r="B206" s="2" t="s">
        <v>341</v>
      </c>
      <c r="C206" s="2" t="s">
        <v>297</v>
      </c>
      <c r="D206" s="2" t="s">
        <v>431</v>
      </c>
      <c r="E206" s="6">
        <v>2400</v>
      </c>
      <c r="F206" s="18">
        <v>245371.82</v>
      </c>
      <c r="G206" s="18">
        <v>125139.63</v>
      </c>
      <c r="H206" s="18">
        <v>12414.95</v>
      </c>
      <c r="I206" s="18">
        <v>930.19</v>
      </c>
      <c r="J206" s="18"/>
      <c r="K206" s="18">
        <v>4939.3500000000004</v>
      </c>
      <c r="L206" s="13">
        <f t="shared" si="0"/>
        <v>388795.94</v>
      </c>
      <c r="M206" s="8"/>
      <c r="N206" s="165"/>
    </row>
    <row r="207" spans="1:14" s="3" customFormat="1" ht="12.2" customHeight="1">
      <c r="A207" s="1" t="s">
        <v>446</v>
      </c>
      <c r="B207" s="2" t="s">
        <v>341</v>
      </c>
      <c r="C207" s="2" t="s">
        <v>298</v>
      </c>
      <c r="D207" s="2" t="s">
        <v>431</v>
      </c>
      <c r="E207" s="6">
        <v>2500</v>
      </c>
      <c r="F207" s="18">
        <v>103299.46</v>
      </c>
      <c r="G207" s="18">
        <v>52682.720000000001</v>
      </c>
      <c r="H207" s="18">
        <v>27557.72</v>
      </c>
      <c r="I207" s="18">
        <v>1214.22</v>
      </c>
      <c r="J207" s="18">
        <v>7500</v>
      </c>
      <c r="K207" s="18">
        <v>1654.46</v>
      </c>
      <c r="L207" s="13">
        <f t="shared" si="0"/>
        <v>193908.58</v>
      </c>
      <c r="M207" s="8"/>
      <c r="N207" s="165"/>
    </row>
    <row r="208" spans="1:14" s="3" customFormat="1" ht="12.2" customHeight="1">
      <c r="A208" s="1" t="s">
        <v>447</v>
      </c>
      <c r="B208" s="2" t="s">
        <v>341</v>
      </c>
      <c r="C208" s="2" t="s">
        <v>299</v>
      </c>
      <c r="D208" s="2" t="s">
        <v>431</v>
      </c>
      <c r="E208" s="6">
        <v>2600</v>
      </c>
      <c r="F208" s="18">
        <v>139765.92000000001</v>
      </c>
      <c r="G208" s="18">
        <v>71280.62</v>
      </c>
      <c r="H208" s="18">
        <v>230123.14</v>
      </c>
      <c r="I208" s="18">
        <v>154733.16</v>
      </c>
      <c r="J208" s="18"/>
      <c r="K208" s="18">
        <v>6264</v>
      </c>
      <c r="L208" s="13">
        <f t="shared" si="0"/>
        <v>602166.84000000008</v>
      </c>
      <c r="M208" s="8"/>
      <c r="N208" s="165"/>
    </row>
    <row r="209" spans="1:14" s="3" customFormat="1" ht="12.2" customHeight="1">
      <c r="A209" s="1" t="s">
        <v>448</v>
      </c>
      <c r="B209" s="2" t="s">
        <v>341</v>
      </c>
      <c r="C209" s="2" t="s">
        <v>300</v>
      </c>
      <c r="D209" s="2" t="s">
        <v>431</v>
      </c>
      <c r="E209" s="6">
        <v>2700</v>
      </c>
      <c r="F209" s="18"/>
      <c r="G209" s="18"/>
      <c r="H209" s="18">
        <v>330742.32</v>
      </c>
      <c r="I209" s="18"/>
      <c r="J209" s="18"/>
      <c r="K209" s="18"/>
      <c r="L209" s="13">
        <f t="shared" si="0"/>
        <v>330742.32</v>
      </c>
      <c r="M209" s="8"/>
      <c r="N209" s="165"/>
    </row>
    <row r="210" spans="1:14" s="3" customFormat="1" ht="12.2" customHeight="1">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c r="A212" s="35" t="s">
        <v>419</v>
      </c>
      <c r="B212" s="36" t="s">
        <v>341</v>
      </c>
      <c r="C212" s="36" t="s">
        <v>345</v>
      </c>
      <c r="D212" s="36" t="s">
        <v>431</v>
      </c>
      <c r="E212" s="36"/>
      <c r="F212" s="38">
        <f t="shared" ref="F212:L212" si="1">SUM(F198:F211)</f>
        <v>3783274.1399999997</v>
      </c>
      <c r="G212" s="38">
        <f t="shared" si="1"/>
        <v>1929469.81</v>
      </c>
      <c r="H212" s="38">
        <f t="shared" si="1"/>
        <v>978040.06</v>
      </c>
      <c r="I212" s="38">
        <f t="shared" si="1"/>
        <v>285367.58999999997</v>
      </c>
      <c r="J212" s="38">
        <f t="shared" si="1"/>
        <v>59581.520000000004</v>
      </c>
      <c r="K212" s="38">
        <f t="shared" si="1"/>
        <v>35385.979999999996</v>
      </c>
      <c r="L212" s="38">
        <f t="shared" si="1"/>
        <v>7071119.1000000015</v>
      </c>
      <c r="M212" s="8"/>
      <c r="N212" s="165"/>
    </row>
    <row r="213" spans="1:14" s="3" customFormat="1" ht="12.2" customHeight="1">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c r="A215" s="29" t="s">
        <v>531</v>
      </c>
      <c r="F215" s="23" t="s">
        <v>288</v>
      </c>
      <c r="G215" s="23" t="s">
        <v>288</v>
      </c>
      <c r="H215" s="23" t="s">
        <v>288</v>
      </c>
      <c r="I215" s="23" t="s">
        <v>288</v>
      </c>
      <c r="J215" s="23" t="s">
        <v>288</v>
      </c>
      <c r="K215" s="23" t="s">
        <v>288</v>
      </c>
      <c r="L215" s="23" t="s">
        <v>288</v>
      </c>
      <c r="M215" s="8"/>
      <c r="N215" s="165"/>
    </row>
    <row r="216" spans="1:14" s="3" customFormat="1" ht="12.2" customHeight="1">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c r="A232" s="28" t="s">
        <v>453</v>
      </c>
      <c r="F232" s="79" t="s">
        <v>54</v>
      </c>
      <c r="G232" s="79" t="s">
        <v>55</v>
      </c>
      <c r="H232" s="79" t="s">
        <v>56</v>
      </c>
      <c r="I232" s="79" t="s">
        <v>57</v>
      </c>
      <c r="J232" s="79" t="s">
        <v>58</v>
      </c>
      <c r="K232" s="79" t="s">
        <v>59</v>
      </c>
      <c r="L232" s="79" t="s">
        <v>5</v>
      </c>
      <c r="M232" s="8"/>
      <c r="N232" s="165"/>
    </row>
    <row r="233" spans="1:14" s="3" customFormat="1" ht="12.2" customHeight="1">
      <c r="A233" s="29" t="s">
        <v>195</v>
      </c>
      <c r="F233" s="23" t="s">
        <v>288</v>
      </c>
      <c r="G233" s="23" t="s">
        <v>288</v>
      </c>
      <c r="H233" s="23" t="s">
        <v>288</v>
      </c>
      <c r="I233" s="23" t="s">
        <v>288</v>
      </c>
      <c r="J233" s="23" t="s">
        <v>288</v>
      </c>
      <c r="K233" s="23" t="s">
        <v>288</v>
      </c>
      <c r="L233" s="23" t="s">
        <v>288</v>
      </c>
      <c r="M233" s="8"/>
      <c r="N233" s="165"/>
    </row>
    <row r="234" spans="1:14" s="3" customFormat="1" ht="12.2" customHeight="1">
      <c r="A234" s="1" t="s">
        <v>438</v>
      </c>
      <c r="B234" s="2" t="s">
        <v>350</v>
      </c>
      <c r="C234" s="2" t="s">
        <v>290</v>
      </c>
      <c r="D234" s="2" t="s">
        <v>431</v>
      </c>
      <c r="E234" s="6">
        <v>1100</v>
      </c>
      <c r="F234" s="18"/>
      <c r="G234" s="18"/>
      <c r="H234" s="18">
        <v>3511807.97</v>
      </c>
      <c r="I234" s="18"/>
      <c r="J234" s="18"/>
      <c r="K234" s="18"/>
      <c r="L234" s="13">
        <f>SUM(F234:K234)</f>
        <v>3511807.97</v>
      </c>
      <c r="M234" s="8"/>
      <c r="N234" s="165"/>
    </row>
    <row r="235" spans="1:14" s="3" customFormat="1" ht="12.2" customHeight="1">
      <c r="A235" s="1" t="s">
        <v>439</v>
      </c>
      <c r="B235" s="2" t="s">
        <v>350</v>
      </c>
      <c r="C235" s="2" t="s">
        <v>291</v>
      </c>
      <c r="D235" s="2" t="s">
        <v>431</v>
      </c>
      <c r="E235" s="6">
        <v>1200</v>
      </c>
      <c r="F235" s="18"/>
      <c r="G235" s="18"/>
      <c r="H235" s="18">
        <v>192763.29</v>
      </c>
      <c r="I235" s="18"/>
      <c r="J235" s="18"/>
      <c r="K235" s="18"/>
      <c r="L235" s="13">
        <f>SUM(F235:K235)</f>
        <v>192763.29</v>
      </c>
      <c r="M235" s="8"/>
      <c r="N235" s="165"/>
    </row>
    <row r="236" spans="1:14" s="3" customFormat="1" ht="12.2" customHeight="1">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c r="A245" s="1" t="s">
        <v>448</v>
      </c>
      <c r="B245" s="2" t="s">
        <v>350</v>
      </c>
      <c r="C245" s="2" t="s">
        <v>300</v>
      </c>
      <c r="D245" s="2" t="s">
        <v>431</v>
      </c>
      <c r="E245" s="6">
        <v>2700</v>
      </c>
      <c r="F245" s="18"/>
      <c r="G245" s="18"/>
      <c r="H245" s="18">
        <v>165371.16</v>
      </c>
      <c r="I245" s="18"/>
      <c r="J245" s="18"/>
      <c r="K245" s="18"/>
      <c r="L245" s="13">
        <f t="shared" si="4"/>
        <v>165371.16</v>
      </c>
      <c r="M245" s="8"/>
      <c r="N245" s="165"/>
    </row>
    <row r="246" spans="1:14" s="3" customFormat="1" ht="12.2" customHeight="1">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c r="A248" s="35" t="s">
        <v>681</v>
      </c>
      <c r="B248" s="36" t="s">
        <v>350</v>
      </c>
      <c r="C248" s="37">
        <v>14</v>
      </c>
      <c r="D248" s="36" t="s">
        <v>431</v>
      </c>
      <c r="E248" s="37"/>
      <c r="F248" s="38">
        <f t="shared" ref="F248:L248" si="5">SUM(F234:F247)</f>
        <v>0</v>
      </c>
      <c r="G248" s="38">
        <f t="shared" si="5"/>
        <v>0</v>
      </c>
      <c r="H248" s="38">
        <f t="shared" si="5"/>
        <v>3869942.4200000004</v>
      </c>
      <c r="I248" s="38">
        <f t="shared" si="5"/>
        <v>0</v>
      </c>
      <c r="J248" s="38">
        <f t="shared" si="5"/>
        <v>0</v>
      </c>
      <c r="K248" s="38">
        <f t="shared" si="5"/>
        <v>0</v>
      </c>
      <c r="L248" s="38">
        <f t="shared" si="5"/>
        <v>3869942.4200000004</v>
      </c>
      <c r="M248" s="8"/>
      <c r="N248" s="165"/>
    </row>
    <row r="249" spans="1:14" s="3" customFormat="1" ht="12.2" customHeight="1">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c r="A258" s="35" t="s">
        <v>462</v>
      </c>
      <c r="B258" s="37">
        <v>10</v>
      </c>
      <c r="C258" s="37">
        <v>8</v>
      </c>
      <c r="D258" s="36" t="s">
        <v>431</v>
      </c>
      <c r="E258" s="37"/>
      <c r="F258" s="38">
        <f t="shared" ref="F258:L258" si="8">F212+F230+F248+F257</f>
        <v>3783274.1399999997</v>
      </c>
      <c r="G258" s="38">
        <f t="shared" si="8"/>
        <v>1929469.81</v>
      </c>
      <c r="H258" s="38">
        <f t="shared" si="8"/>
        <v>4847982.4800000004</v>
      </c>
      <c r="I258" s="38">
        <f t="shared" si="8"/>
        <v>285367.58999999997</v>
      </c>
      <c r="J258" s="38">
        <f t="shared" si="8"/>
        <v>59581.520000000004</v>
      </c>
      <c r="K258" s="38">
        <f t="shared" si="8"/>
        <v>35385.979999999996</v>
      </c>
      <c r="L258" s="38">
        <f t="shared" si="8"/>
        <v>10941061.520000001</v>
      </c>
      <c r="M258" s="8"/>
      <c r="N258" s="165"/>
    </row>
    <row r="259" spans="1:14" s="3" customFormat="1" ht="12.2" customHeight="1">
      <c r="A259" s="33" t="s">
        <v>354</v>
      </c>
      <c r="F259" s="13"/>
      <c r="G259" s="13"/>
      <c r="H259" s="13"/>
      <c r="I259" s="13"/>
      <c r="J259" s="13"/>
      <c r="K259" s="14" t="s">
        <v>286</v>
      </c>
      <c r="L259" s="14" t="s">
        <v>355</v>
      </c>
      <c r="M259" s="8"/>
      <c r="N259" s="165"/>
    </row>
    <row r="260" spans="1:14" s="3" customFormat="1" ht="12.2" customHeight="1">
      <c r="A260" s="29" t="s">
        <v>463</v>
      </c>
      <c r="E260" s="6">
        <v>5100</v>
      </c>
      <c r="F260" s="23" t="s">
        <v>288</v>
      </c>
      <c r="G260" s="23" t="s">
        <v>288</v>
      </c>
      <c r="H260" s="23" t="s">
        <v>288</v>
      </c>
      <c r="I260" s="23" t="s">
        <v>288</v>
      </c>
      <c r="J260" s="23" t="s">
        <v>288</v>
      </c>
      <c r="K260" s="23" t="s">
        <v>288</v>
      </c>
      <c r="L260" s="23" t="s">
        <v>288</v>
      </c>
      <c r="M260" s="8"/>
      <c r="N260" s="165"/>
    </row>
    <row r="261" spans="1:14" ht="12.2" customHeight="1">
      <c r="A261" s="1" t="s">
        <v>520</v>
      </c>
      <c r="B261" s="2" t="s">
        <v>352</v>
      </c>
      <c r="C261" s="6">
        <v>9</v>
      </c>
      <c r="D261" s="2" t="s">
        <v>431</v>
      </c>
      <c r="E261" s="6">
        <v>5110</v>
      </c>
      <c r="F261" s="23" t="s">
        <v>288</v>
      </c>
      <c r="G261" s="23" t="s">
        <v>288</v>
      </c>
      <c r="H261" s="23" t="s">
        <v>288</v>
      </c>
      <c r="I261" s="23" t="s">
        <v>288</v>
      </c>
      <c r="J261" s="23" t="s">
        <v>288</v>
      </c>
      <c r="K261" s="18">
        <v>80000</v>
      </c>
      <c r="L261" s="13">
        <f>SUM(F261:K261)</f>
        <v>80000</v>
      </c>
      <c r="N261" s="131"/>
    </row>
    <row r="262" spans="1:14" ht="12.2" customHeight="1">
      <c r="A262" s="1" t="s">
        <v>532</v>
      </c>
      <c r="B262" s="2" t="s">
        <v>352</v>
      </c>
      <c r="C262" s="6">
        <v>10</v>
      </c>
      <c r="D262" s="2" t="s">
        <v>431</v>
      </c>
      <c r="E262" s="6">
        <v>5120</v>
      </c>
      <c r="F262" s="23" t="s">
        <v>288</v>
      </c>
      <c r="G262" s="23" t="s">
        <v>288</v>
      </c>
      <c r="H262" s="23" t="s">
        <v>288</v>
      </c>
      <c r="I262" s="23" t="s">
        <v>288</v>
      </c>
      <c r="J262" s="23" t="s">
        <v>288</v>
      </c>
      <c r="K262" s="18">
        <v>45930</v>
      </c>
      <c r="L262" s="13">
        <f>SUM(F262:K262)</f>
        <v>45930</v>
      </c>
      <c r="N262" s="131"/>
    </row>
    <row r="263" spans="1:14" ht="12.2" customHeight="1">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c r="A264" s="3" t="s">
        <v>533</v>
      </c>
      <c r="B264" s="6">
        <v>10</v>
      </c>
      <c r="C264" s="6">
        <v>11</v>
      </c>
      <c r="D264" s="2" t="s">
        <v>431</v>
      </c>
      <c r="E264" s="6">
        <v>5221</v>
      </c>
      <c r="F264" s="23" t="s">
        <v>288</v>
      </c>
      <c r="G264" s="23" t="s">
        <v>288</v>
      </c>
      <c r="H264" s="23" t="s">
        <v>288</v>
      </c>
      <c r="I264" s="23" t="s">
        <v>288</v>
      </c>
      <c r="J264" s="23" t="s">
        <v>288</v>
      </c>
      <c r="K264" s="18">
        <v>45000</v>
      </c>
      <c r="L264" s="13">
        <f>SUM(F264:K264)</f>
        <v>45000</v>
      </c>
      <c r="N264" s="131"/>
    </row>
    <row r="265" spans="1:14" ht="12.2" customHeight="1">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c r="A267" s="3" t="s">
        <v>535</v>
      </c>
      <c r="B267" s="6">
        <v>10</v>
      </c>
      <c r="C267" s="6">
        <v>14</v>
      </c>
      <c r="D267" s="2" t="s">
        <v>431</v>
      </c>
      <c r="E267" s="6">
        <v>5250</v>
      </c>
      <c r="F267" s="23" t="s">
        <v>288</v>
      </c>
      <c r="G267" s="23" t="s">
        <v>288</v>
      </c>
      <c r="H267" s="23" t="s">
        <v>288</v>
      </c>
      <c r="I267" s="23" t="s">
        <v>288</v>
      </c>
      <c r="J267" s="23" t="s">
        <v>288</v>
      </c>
      <c r="K267" s="18">
        <v>38619</v>
      </c>
      <c r="L267" s="13">
        <f t="shared" si="9"/>
        <v>38619</v>
      </c>
      <c r="N267" s="131"/>
    </row>
    <row r="268" spans="1:14" ht="12.2" customHeight="1">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c r="A269" s="3" t="s">
        <v>536</v>
      </c>
      <c r="B269" s="6">
        <v>10</v>
      </c>
      <c r="C269" s="6">
        <v>15</v>
      </c>
      <c r="D269" s="2" t="s">
        <v>431</v>
      </c>
      <c r="E269" s="6">
        <v>5310</v>
      </c>
      <c r="F269" s="23" t="s">
        <v>288</v>
      </c>
      <c r="G269" s="23" t="s">
        <v>288</v>
      </c>
      <c r="H269" s="23" t="s">
        <v>288</v>
      </c>
      <c r="I269" s="23" t="s">
        <v>288</v>
      </c>
      <c r="J269" s="23" t="s">
        <v>288</v>
      </c>
      <c r="K269" s="18">
        <v>3990.42</v>
      </c>
      <c r="L269" s="13">
        <f t="shared" si="9"/>
        <v>3990.42</v>
      </c>
      <c r="N269" s="131"/>
    </row>
    <row r="270" spans="1:14" ht="12.2" customHeight="1" thickBot="1">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213539.42</v>
      </c>
      <c r="L271" s="38">
        <f t="shared" si="9"/>
        <v>213539.42</v>
      </c>
      <c r="M271" s="8"/>
      <c r="N271" s="165"/>
    </row>
    <row r="272" spans="1:14" s="33" customFormat="1" ht="12.2" customHeight="1" thickTop="1">
      <c r="A272" s="40" t="s">
        <v>464</v>
      </c>
      <c r="B272" s="37">
        <v>10</v>
      </c>
      <c r="C272" s="37">
        <v>18</v>
      </c>
      <c r="D272" s="36" t="s">
        <v>431</v>
      </c>
      <c r="E272" s="37"/>
      <c r="F272" s="39">
        <f t="shared" ref="F272:L272" si="11">F258+F271</f>
        <v>3783274.1399999997</v>
      </c>
      <c r="G272" s="39">
        <f t="shared" si="11"/>
        <v>1929469.81</v>
      </c>
      <c r="H272" s="39">
        <f t="shared" si="11"/>
        <v>4847982.4800000004</v>
      </c>
      <c r="I272" s="39">
        <f t="shared" si="11"/>
        <v>285367.58999999997</v>
      </c>
      <c r="J272" s="39">
        <f t="shared" si="11"/>
        <v>59581.520000000004</v>
      </c>
      <c r="K272" s="39">
        <f t="shared" si="11"/>
        <v>248925.40000000002</v>
      </c>
      <c r="L272" s="39">
        <f t="shared" si="11"/>
        <v>11154600.940000001</v>
      </c>
      <c r="M272" s="34"/>
      <c r="N272" s="165"/>
    </row>
    <row r="273" spans="1:14" s="3" customFormat="1" ht="12.2" customHeight="1">
      <c r="A273" s="32"/>
      <c r="B273" s="6"/>
      <c r="C273" s="6"/>
      <c r="D273" s="6"/>
      <c r="E273" s="6"/>
      <c r="F273" s="19"/>
      <c r="G273" s="19"/>
      <c r="H273" s="19"/>
      <c r="I273" s="19"/>
      <c r="J273" s="19"/>
      <c r="K273" s="19"/>
      <c r="L273" s="19"/>
      <c r="M273" s="8"/>
      <c r="N273" s="165"/>
    </row>
    <row r="274" spans="1:14" s="3" customFormat="1" ht="12.2" customHeight="1">
      <c r="A274" s="28" t="s">
        <v>466</v>
      </c>
      <c r="F274" s="15" t="s">
        <v>689</v>
      </c>
      <c r="G274" s="15" t="s">
        <v>690</v>
      </c>
      <c r="H274" s="15" t="s">
        <v>691</v>
      </c>
      <c r="I274" s="15" t="s">
        <v>692</v>
      </c>
      <c r="J274" s="15" t="s">
        <v>693</v>
      </c>
      <c r="K274" s="15" t="s">
        <v>694</v>
      </c>
      <c r="M274" s="8"/>
      <c r="N274" s="165"/>
    </row>
    <row r="275" spans="1:14" s="3" customFormat="1" ht="12.2" customHeight="1">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c r="A276" s="29" t="s">
        <v>195</v>
      </c>
      <c r="F276" s="23" t="s">
        <v>288</v>
      </c>
      <c r="G276" s="23" t="s">
        <v>288</v>
      </c>
      <c r="H276" s="23" t="s">
        <v>288</v>
      </c>
      <c r="I276" s="23" t="s">
        <v>288</v>
      </c>
      <c r="J276" s="23" t="s">
        <v>288</v>
      </c>
      <c r="K276" s="23" t="s">
        <v>288</v>
      </c>
      <c r="L276" s="23" t="s">
        <v>288</v>
      </c>
      <c r="M276" s="8"/>
      <c r="N276" s="165"/>
    </row>
    <row r="277" spans="1:14" s="3" customFormat="1" ht="12.2" customHeight="1">
      <c r="A277" s="1" t="s">
        <v>438</v>
      </c>
      <c r="B277" s="2" t="s">
        <v>357</v>
      </c>
      <c r="C277" s="2" t="s">
        <v>290</v>
      </c>
      <c r="D277" s="2" t="s">
        <v>431</v>
      </c>
      <c r="E277" s="6">
        <v>1100</v>
      </c>
      <c r="F277" s="18">
        <v>65318.86</v>
      </c>
      <c r="G277" s="18">
        <v>1174</v>
      </c>
      <c r="H277" s="18">
        <v>0</v>
      </c>
      <c r="I277" s="18">
        <v>19660.830000000002</v>
      </c>
      <c r="J277" s="18">
        <v>55475.42</v>
      </c>
      <c r="K277" s="18">
        <v>500</v>
      </c>
      <c r="L277" s="13">
        <f>SUM(F277:K277)</f>
        <v>142129.10999999999</v>
      </c>
      <c r="M277" s="8"/>
      <c r="N277" s="165"/>
    </row>
    <row r="278" spans="1:14" s="3" customFormat="1" ht="12.2" customHeight="1">
      <c r="A278" s="1" t="s">
        <v>439</v>
      </c>
      <c r="B278" s="2" t="s">
        <v>357</v>
      </c>
      <c r="C278" s="2" t="s">
        <v>291</v>
      </c>
      <c r="D278" s="2" t="s">
        <v>431</v>
      </c>
      <c r="E278" s="6">
        <v>1200</v>
      </c>
      <c r="F278" s="18">
        <v>52373.7</v>
      </c>
      <c r="G278" s="18">
        <v>26915.61</v>
      </c>
      <c r="H278" s="18">
        <v>3336.4</v>
      </c>
      <c r="I278" s="18">
        <v>3904.62</v>
      </c>
      <c r="J278" s="18">
        <v>2411.4299999999998</v>
      </c>
      <c r="K278" s="18"/>
      <c r="L278" s="13">
        <f>SUM(F278:K278)</f>
        <v>88941.75999999998</v>
      </c>
      <c r="M278" s="8"/>
      <c r="N278" s="165"/>
    </row>
    <row r="279" spans="1:14" s="3" customFormat="1" ht="12.2" customHeight="1">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c r="A281" s="29" t="s">
        <v>342</v>
      </c>
      <c r="E281" s="6"/>
      <c r="F281" s="23" t="s">
        <v>288</v>
      </c>
      <c r="G281" s="23" t="s">
        <v>288</v>
      </c>
      <c r="H281" s="23" t="s">
        <v>288</v>
      </c>
      <c r="I281" s="23" t="s">
        <v>288</v>
      </c>
      <c r="J281" s="23" t="s">
        <v>288</v>
      </c>
      <c r="K281" s="23" t="s">
        <v>288</v>
      </c>
      <c r="L281" s="23" t="s">
        <v>288</v>
      </c>
      <c r="M281" s="8"/>
      <c r="N281" s="165"/>
    </row>
    <row r="282" spans="1:14" s="3" customFormat="1" ht="12.2" customHeight="1">
      <c r="A282" s="1" t="s">
        <v>442</v>
      </c>
      <c r="B282" s="2" t="s">
        <v>357</v>
      </c>
      <c r="C282" s="2" t="s">
        <v>294</v>
      </c>
      <c r="D282" s="2" t="s">
        <v>431</v>
      </c>
      <c r="E282" s="6">
        <v>2100</v>
      </c>
      <c r="F282" s="18">
        <v>11286.4</v>
      </c>
      <c r="G282" s="18">
        <v>2106.71</v>
      </c>
      <c r="H282" s="18">
        <v>25045.4</v>
      </c>
      <c r="I282" s="18"/>
      <c r="J282" s="18"/>
      <c r="K282" s="18"/>
      <c r="L282" s="13">
        <f t="shared" ref="L282:L288" si="12">SUM(F282:K282)</f>
        <v>38438.51</v>
      </c>
      <c r="M282" s="8"/>
      <c r="N282" s="165"/>
    </row>
    <row r="283" spans="1:14" s="3" customFormat="1" ht="12.2" customHeight="1">
      <c r="A283" s="1" t="s">
        <v>443</v>
      </c>
      <c r="B283" s="2" t="s">
        <v>357</v>
      </c>
      <c r="C283" s="2" t="s">
        <v>295</v>
      </c>
      <c r="D283" s="2" t="s">
        <v>431</v>
      </c>
      <c r="E283" s="6">
        <v>2200</v>
      </c>
      <c r="F283" s="18"/>
      <c r="G283" s="18"/>
      <c r="H283" s="18">
        <v>24154.58</v>
      </c>
      <c r="I283" s="18"/>
      <c r="J283" s="18"/>
      <c r="K283" s="18"/>
      <c r="L283" s="13">
        <f t="shared" si="12"/>
        <v>24154.58</v>
      </c>
      <c r="M283" s="8"/>
      <c r="N283" s="165"/>
    </row>
    <row r="284" spans="1:14" s="3" customFormat="1" ht="12.2" customHeight="1">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c r="A286" s="1" t="s">
        <v>446</v>
      </c>
      <c r="B286" s="2" t="s">
        <v>357</v>
      </c>
      <c r="C286" s="2" t="s">
        <v>298</v>
      </c>
      <c r="D286" s="2" t="s">
        <v>431</v>
      </c>
      <c r="E286" s="6">
        <v>2500</v>
      </c>
      <c r="F286" s="18"/>
      <c r="G286" s="18"/>
      <c r="H286" s="18"/>
      <c r="I286" s="18"/>
      <c r="J286" s="18"/>
      <c r="K286" s="18">
        <v>466</v>
      </c>
      <c r="L286" s="13">
        <f t="shared" si="12"/>
        <v>466</v>
      </c>
      <c r="M286" s="8"/>
      <c r="N286" s="165"/>
    </row>
    <row r="287" spans="1:14" s="3" customFormat="1" ht="12.2" customHeight="1">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c r="A291" s="35" t="s">
        <v>419</v>
      </c>
      <c r="B291" s="36" t="s">
        <v>357</v>
      </c>
      <c r="C291" s="36" t="s">
        <v>345</v>
      </c>
      <c r="D291" s="36" t="s">
        <v>431</v>
      </c>
      <c r="E291" s="36"/>
      <c r="F291" s="39">
        <f t="shared" ref="F291:L291" si="13">SUM(F277:F290)</f>
        <v>128978.95999999999</v>
      </c>
      <c r="G291" s="39">
        <f t="shared" si="13"/>
        <v>30196.32</v>
      </c>
      <c r="H291" s="39">
        <f t="shared" si="13"/>
        <v>52536.380000000005</v>
      </c>
      <c r="I291" s="39">
        <f t="shared" si="13"/>
        <v>23565.45</v>
      </c>
      <c r="J291" s="39">
        <f t="shared" si="13"/>
        <v>57886.85</v>
      </c>
      <c r="K291" s="39">
        <f t="shared" si="13"/>
        <v>966</v>
      </c>
      <c r="L291" s="38">
        <f t="shared" si="13"/>
        <v>294129.95999999996</v>
      </c>
      <c r="M291" s="8"/>
      <c r="N291" s="165"/>
    </row>
    <row r="292" spans="1:14" s="3" customFormat="1" ht="12.2" customHeight="1">
      <c r="A292" s="28"/>
      <c r="B292" s="2"/>
      <c r="C292" s="2"/>
      <c r="D292" s="2"/>
      <c r="E292" s="2"/>
      <c r="F292" s="19"/>
      <c r="G292" s="19"/>
      <c r="H292" s="19"/>
      <c r="I292" s="19"/>
      <c r="J292" s="19"/>
      <c r="K292" s="19"/>
      <c r="L292" s="13"/>
      <c r="M292" s="8"/>
      <c r="N292" s="165"/>
    </row>
    <row r="293" spans="1:14" s="3" customFormat="1" ht="12.2" customHeight="1">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c r="A295" s="29" t="s">
        <v>195</v>
      </c>
      <c r="F295" s="23" t="s">
        <v>288</v>
      </c>
      <c r="G295" s="23" t="s">
        <v>288</v>
      </c>
      <c r="H295" s="23" t="s">
        <v>288</v>
      </c>
      <c r="I295" s="23" t="s">
        <v>288</v>
      </c>
      <c r="J295" s="23" t="s">
        <v>288</v>
      </c>
      <c r="K295" s="23" t="s">
        <v>288</v>
      </c>
      <c r="L295" s="23" t="s">
        <v>288</v>
      </c>
      <c r="M295" s="8"/>
      <c r="N295" s="165"/>
    </row>
    <row r="296" spans="1:14" s="3" customFormat="1" ht="12.2" customHeight="1">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c r="A300" s="29" t="s">
        <v>342</v>
      </c>
      <c r="E300" s="6"/>
      <c r="F300" s="23" t="s">
        <v>288</v>
      </c>
      <c r="G300" s="23" t="s">
        <v>288</v>
      </c>
      <c r="H300" s="23" t="s">
        <v>288</v>
      </c>
      <c r="I300" s="23" t="s">
        <v>288</v>
      </c>
      <c r="J300" s="23" t="s">
        <v>288</v>
      </c>
      <c r="K300" s="23" t="s">
        <v>288</v>
      </c>
      <c r="L300" s="23" t="s">
        <v>288</v>
      </c>
      <c r="M300" s="8"/>
      <c r="N300" s="165"/>
    </row>
    <row r="301" spans="1:14" s="3" customFormat="1" ht="12.2" customHeight="1">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c r="A311" s="28"/>
      <c r="B311" s="2"/>
      <c r="C311" s="6"/>
      <c r="D311" s="6"/>
      <c r="E311" s="6"/>
      <c r="F311" s="19"/>
      <c r="G311" s="19"/>
      <c r="H311" s="19"/>
      <c r="I311" s="19"/>
      <c r="J311" s="19"/>
      <c r="K311" s="19"/>
      <c r="L311" s="13"/>
      <c r="M311" s="8"/>
      <c r="N311" s="165"/>
    </row>
    <row r="312" spans="1:14" s="3" customFormat="1" ht="12.2" customHeight="1">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c r="A313" s="28" t="s">
        <v>453</v>
      </c>
      <c r="F313" s="79" t="s">
        <v>54</v>
      </c>
      <c r="G313" s="79" t="s">
        <v>55</v>
      </c>
      <c r="H313" s="79" t="s">
        <v>56</v>
      </c>
      <c r="I313" s="79" t="s">
        <v>57</v>
      </c>
      <c r="J313" s="79" t="s">
        <v>58</v>
      </c>
      <c r="K313" s="79" t="s">
        <v>59</v>
      </c>
      <c r="L313" s="79" t="s">
        <v>5</v>
      </c>
      <c r="M313" s="8"/>
      <c r="N313" s="165"/>
    </row>
    <row r="314" spans="1:14" s="3" customFormat="1" ht="12.2" customHeight="1">
      <c r="A314" s="29" t="s">
        <v>195</v>
      </c>
      <c r="F314" s="23" t="s">
        <v>288</v>
      </c>
      <c r="G314" s="23" t="s">
        <v>288</v>
      </c>
      <c r="H314" s="23" t="s">
        <v>288</v>
      </c>
      <c r="I314" s="23" t="s">
        <v>288</v>
      </c>
      <c r="J314" s="23" t="s">
        <v>288</v>
      </c>
      <c r="K314" s="23" t="s">
        <v>288</v>
      </c>
      <c r="L314" s="23" t="s">
        <v>288</v>
      </c>
      <c r="M314" s="8"/>
      <c r="N314" s="165"/>
    </row>
    <row r="315" spans="1:14" s="3" customFormat="1" ht="12.2" customHeight="1">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c r="A330" s="28"/>
      <c r="B330" s="2"/>
      <c r="C330" s="6"/>
      <c r="D330" s="6"/>
      <c r="E330" s="6"/>
      <c r="F330" s="19"/>
      <c r="G330" s="19"/>
      <c r="H330" s="19"/>
      <c r="I330" s="19"/>
      <c r="J330" s="19"/>
      <c r="K330" s="19"/>
      <c r="L330" s="13"/>
      <c r="M330" s="8"/>
      <c r="N330" s="165"/>
    </row>
    <row r="331" spans="1:14" s="3" customFormat="1" ht="12.2" customHeight="1">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c r="A332" s="28" t="s">
        <v>361</v>
      </c>
      <c r="F332" s="79" t="s">
        <v>54</v>
      </c>
      <c r="G332" s="79" t="s">
        <v>55</v>
      </c>
      <c r="H332" s="79" t="s">
        <v>56</v>
      </c>
      <c r="I332" s="79" t="s">
        <v>57</v>
      </c>
      <c r="J332" s="79" t="s">
        <v>58</v>
      </c>
      <c r="K332" s="79" t="s">
        <v>59</v>
      </c>
      <c r="L332" s="79" t="s">
        <v>5</v>
      </c>
      <c r="M332" s="8"/>
      <c r="N332" s="165"/>
    </row>
    <row r="333" spans="1:14" s="3" customFormat="1" ht="12.2" customHeight="1">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c r="A339" s="35" t="s">
        <v>468</v>
      </c>
      <c r="B339" s="37">
        <v>14</v>
      </c>
      <c r="C339" s="37">
        <v>7</v>
      </c>
      <c r="D339" s="36" t="s">
        <v>431</v>
      </c>
      <c r="E339" s="37"/>
      <c r="F339" s="38">
        <f t="shared" ref="F339:L339" si="20">F291+F310+F329+F338</f>
        <v>128978.95999999999</v>
      </c>
      <c r="G339" s="38">
        <f t="shared" si="20"/>
        <v>30196.32</v>
      </c>
      <c r="H339" s="38">
        <f t="shared" si="20"/>
        <v>52536.380000000005</v>
      </c>
      <c r="I339" s="38">
        <f t="shared" si="20"/>
        <v>23565.45</v>
      </c>
      <c r="J339" s="38">
        <f t="shared" si="20"/>
        <v>57886.85</v>
      </c>
      <c r="K339" s="38">
        <f t="shared" si="20"/>
        <v>966</v>
      </c>
      <c r="L339" s="38">
        <f t="shared" si="20"/>
        <v>294129.95999999996</v>
      </c>
      <c r="M339" s="8"/>
      <c r="N339" s="165"/>
    </row>
    <row r="340" spans="1:43" s="3" customFormat="1" ht="12.2" customHeight="1">
      <c r="A340" s="28" t="s">
        <v>354</v>
      </c>
      <c r="F340" s="18"/>
      <c r="G340" s="18"/>
      <c r="H340" s="18"/>
      <c r="I340" s="18"/>
      <c r="J340" s="18"/>
      <c r="K340" s="18"/>
      <c r="L340" s="13"/>
      <c r="M340" s="8"/>
      <c r="N340" s="165"/>
    </row>
    <row r="341" spans="1:43" s="3" customFormat="1" ht="12.2" customHeight="1">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c r="A353" s="35" t="s">
        <v>469</v>
      </c>
      <c r="B353" s="37">
        <v>14</v>
      </c>
      <c r="C353" s="37">
        <v>17</v>
      </c>
      <c r="D353" s="36" t="s">
        <v>431</v>
      </c>
      <c r="E353" s="37"/>
      <c r="F353" s="38">
        <f>F339</f>
        <v>128978.95999999999</v>
      </c>
      <c r="G353" s="38">
        <f>G339</f>
        <v>30196.32</v>
      </c>
      <c r="H353" s="38">
        <f>H339</f>
        <v>52536.380000000005</v>
      </c>
      <c r="I353" s="38">
        <f>I339</f>
        <v>23565.45</v>
      </c>
      <c r="J353" s="38">
        <f>J339</f>
        <v>57886.85</v>
      </c>
      <c r="K353" s="38">
        <f>K339+K352</f>
        <v>966</v>
      </c>
      <c r="L353" s="38">
        <f>L339+L352</f>
        <v>294129.95999999996</v>
      </c>
      <c r="M353" s="8"/>
      <c r="N353" s="165"/>
    </row>
    <row r="354" spans="1:22" s="3" customFormat="1" ht="12.2" customHeight="1">
      <c r="A354" s="28"/>
      <c r="B354" s="6"/>
      <c r="C354" s="22"/>
      <c r="D354" s="22"/>
      <c r="E354" s="22"/>
      <c r="F354" s="13"/>
      <c r="G354" s="13"/>
      <c r="H354" s="13"/>
      <c r="I354" s="13"/>
      <c r="J354" s="13"/>
      <c r="K354" s="13"/>
      <c r="L354" s="13"/>
      <c r="M354" s="8"/>
      <c r="N354" s="165"/>
    </row>
    <row r="355" spans="1:22" s="3" customFormat="1" ht="12.2" customHeight="1">
      <c r="A355" s="32"/>
      <c r="B355"/>
      <c r="C355"/>
      <c r="D355"/>
      <c r="E355"/>
      <c r="F355" s="15" t="s">
        <v>689</v>
      </c>
      <c r="G355" s="15" t="s">
        <v>690</v>
      </c>
      <c r="H355" s="15" t="s">
        <v>691</v>
      </c>
      <c r="I355" s="15" t="s">
        <v>692</v>
      </c>
      <c r="J355" s="15" t="s">
        <v>693</v>
      </c>
      <c r="K355" s="15" t="s">
        <v>694</v>
      </c>
      <c r="L355" s="19"/>
      <c r="M355" s="8"/>
      <c r="N355" s="165"/>
    </row>
    <row r="356" spans="1:22" s="3" customFormat="1" ht="12.2" customHeight="1">
      <c r="A356" s="28" t="s">
        <v>281</v>
      </c>
      <c r="F356" s="79" t="s">
        <v>54</v>
      </c>
      <c r="G356" s="79" t="s">
        <v>55</v>
      </c>
      <c r="H356" s="79" t="s">
        <v>56</v>
      </c>
      <c r="I356" s="79" t="s">
        <v>57</v>
      </c>
      <c r="J356" s="79" t="s">
        <v>58</v>
      </c>
      <c r="K356" s="79" t="s">
        <v>59</v>
      </c>
      <c r="L356" s="79" t="s">
        <v>5</v>
      </c>
      <c r="M356" s="8"/>
      <c r="N356" s="165"/>
    </row>
    <row r="357" spans="1:22" s="3" customFormat="1" ht="12.2" customHeight="1">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c r="A359" s="3" t="s">
        <v>541</v>
      </c>
      <c r="B359" s="2" t="s">
        <v>366</v>
      </c>
      <c r="C359" s="6">
        <v>1</v>
      </c>
      <c r="D359" s="2" t="s">
        <v>431</v>
      </c>
      <c r="E359" s="6"/>
      <c r="F359" s="18">
        <v>80582.75</v>
      </c>
      <c r="G359" s="18">
        <v>24584.52</v>
      </c>
      <c r="H359" s="18">
        <v>151</v>
      </c>
      <c r="I359" s="18">
        <v>105008.87</v>
      </c>
      <c r="J359" s="18">
        <v>18664.63</v>
      </c>
      <c r="K359" s="18"/>
      <c r="L359" s="13">
        <f>SUM(F359:K359)</f>
        <v>228991.77000000002</v>
      </c>
      <c r="M359" s="8"/>
      <c r="N359" s="165"/>
    </row>
    <row r="360" spans="1:22" s="3" customFormat="1" ht="12.2" customHeight="1">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c r="A363" s="43" t="s">
        <v>469</v>
      </c>
      <c r="B363" s="36" t="s">
        <v>366</v>
      </c>
      <c r="C363" s="37">
        <v>5</v>
      </c>
      <c r="D363" s="36" t="s">
        <v>431</v>
      </c>
      <c r="E363" s="37"/>
      <c r="F363" s="38">
        <f t="shared" ref="F363:L363" si="22">SUM(F359:F362)</f>
        <v>80582.75</v>
      </c>
      <c r="G363" s="38">
        <f t="shared" si="22"/>
        <v>24584.52</v>
      </c>
      <c r="H363" s="38">
        <f t="shared" si="22"/>
        <v>151</v>
      </c>
      <c r="I363" s="38">
        <f t="shared" si="22"/>
        <v>105008.87</v>
      </c>
      <c r="J363" s="38">
        <f t="shared" si="22"/>
        <v>18664.63</v>
      </c>
      <c r="K363" s="38">
        <f t="shared" si="22"/>
        <v>0</v>
      </c>
      <c r="L363" s="38">
        <f t="shared" si="22"/>
        <v>228991.77000000002</v>
      </c>
      <c r="M363" s="8"/>
      <c r="N363" s="165"/>
    </row>
    <row r="364" spans="1:22" s="3" customFormat="1" ht="12.2" customHeight="1">
      <c r="A364" s="33"/>
      <c r="B364" s="2"/>
      <c r="C364" s="6"/>
      <c r="D364" s="6"/>
      <c r="E364" s="6"/>
      <c r="F364" s="13"/>
      <c r="G364" s="13"/>
      <c r="H364" s="13"/>
      <c r="I364" s="13"/>
      <c r="J364" s="13"/>
      <c r="K364" s="13"/>
      <c r="L364" s="13"/>
      <c r="M364" s="8"/>
      <c r="N364" s="165"/>
    </row>
    <row r="365" spans="1:22" s="3" customFormat="1" ht="12.2" customHeight="1">
      <c r="A365" s="33" t="s">
        <v>369</v>
      </c>
      <c r="B365" s="2"/>
      <c r="C365" s="6"/>
      <c r="D365" s="6"/>
      <c r="E365" s="6"/>
      <c r="F365" s="13"/>
      <c r="G365" s="13"/>
      <c r="H365" s="13"/>
      <c r="I365" s="13"/>
      <c r="J365" s="13"/>
      <c r="K365" s="13"/>
      <c r="L365" s="13"/>
      <c r="M365" s="8"/>
      <c r="N365" s="165"/>
    </row>
    <row r="366" spans="1:22" s="3" customFormat="1" ht="12.2" customHeight="1">
      <c r="A366" s="33"/>
      <c r="B366" s="2"/>
      <c r="C366" s="6"/>
      <c r="D366" s="6"/>
      <c r="E366" s="6"/>
      <c r="F366" s="48" t="s">
        <v>264</v>
      </c>
      <c r="G366" s="48" t="s">
        <v>265</v>
      </c>
      <c r="H366" s="48" t="s">
        <v>266</v>
      </c>
      <c r="I366" s="48" t="s">
        <v>267</v>
      </c>
      <c r="J366" s="13"/>
      <c r="K366" s="13"/>
      <c r="L366" s="13"/>
      <c r="M366" s="8"/>
      <c r="N366" s="165"/>
    </row>
    <row r="367" spans="1:22" s="3" customFormat="1" ht="12.2" customHeight="1">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c r="A368" s="3" t="s">
        <v>371</v>
      </c>
      <c r="B368" s="2" t="s">
        <v>366</v>
      </c>
      <c r="C368" s="2" t="s">
        <v>295</v>
      </c>
      <c r="D368" s="2" t="s">
        <v>432</v>
      </c>
      <c r="E368" s="2"/>
      <c r="F368" s="18">
        <v>95791.5</v>
      </c>
      <c r="G368" s="18"/>
      <c r="H368" s="18"/>
      <c r="I368" s="13">
        <f>SUM(F368:H368)</f>
        <v>95791.5</v>
      </c>
      <c r="J368" s="23" t="s">
        <v>288</v>
      </c>
      <c r="K368" s="23" t="s">
        <v>288</v>
      </c>
      <c r="L368" s="23" t="s">
        <v>288</v>
      </c>
      <c r="M368" s="8"/>
      <c r="N368" s="165"/>
    </row>
    <row r="369" spans="1:14" s="3" customFormat="1" ht="12.2" customHeight="1" thickBot="1">
      <c r="A369" s="51" t="s">
        <v>372</v>
      </c>
      <c r="B369" s="52" t="s">
        <v>366</v>
      </c>
      <c r="C369" s="52" t="s">
        <v>296</v>
      </c>
      <c r="D369" s="2" t="s">
        <v>432</v>
      </c>
      <c r="E369" s="52"/>
      <c r="F369" s="53">
        <v>9217.3700000000008</v>
      </c>
      <c r="G369" s="53"/>
      <c r="H369" s="53"/>
      <c r="I369" s="13">
        <f>SUM(F369:H369)</f>
        <v>9217.3700000000008</v>
      </c>
      <c r="J369" s="23" t="s">
        <v>288</v>
      </c>
      <c r="K369" s="23" t="s">
        <v>288</v>
      </c>
      <c r="L369" s="23" t="s">
        <v>288</v>
      </c>
      <c r="M369" s="8"/>
      <c r="N369" s="165"/>
    </row>
    <row r="370" spans="1:14" s="3" customFormat="1" ht="12.2" customHeight="1" thickTop="1">
      <c r="A370" s="33" t="s">
        <v>340</v>
      </c>
      <c r="B370" s="2" t="s">
        <v>366</v>
      </c>
      <c r="C370" s="2" t="s">
        <v>297</v>
      </c>
      <c r="D370" s="36" t="s">
        <v>432</v>
      </c>
      <c r="E370" s="2"/>
      <c r="F370" s="38">
        <f>SUM(F368:F369)</f>
        <v>105008.87</v>
      </c>
      <c r="G370" s="38">
        <f>SUM(G368:G369)</f>
        <v>0</v>
      </c>
      <c r="H370" s="38">
        <f>SUM(H368:H369)</f>
        <v>0</v>
      </c>
      <c r="I370" s="38">
        <f>SUM(I368:I369)</f>
        <v>105008.87</v>
      </c>
      <c r="J370" s="23" t="s">
        <v>288</v>
      </c>
      <c r="K370" s="23" t="s">
        <v>288</v>
      </c>
      <c r="L370" s="23" t="s">
        <v>288</v>
      </c>
      <c r="M370" s="8"/>
      <c r="N370" s="165"/>
    </row>
    <row r="371" spans="1:14" s="3" customFormat="1" ht="12.2" customHeight="1">
      <c r="A371" s="33"/>
      <c r="B371" s="2"/>
      <c r="C371" s="2"/>
      <c r="D371" s="2"/>
      <c r="E371" s="2"/>
      <c r="F371" s="18"/>
      <c r="G371" s="18"/>
      <c r="H371" s="18"/>
      <c r="I371" s="13"/>
      <c r="J371" s="13"/>
      <c r="K371" s="13"/>
      <c r="L371" s="13"/>
      <c r="M371" s="8"/>
      <c r="N371" s="165"/>
    </row>
    <row r="372" spans="1:14" s="3" customFormat="1" ht="12.2" customHeight="1">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c r="A384" s="28"/>
      <c r="B384" s="2"/>
      <c r="C384" s="2"/>
      <c r="D384" s="2"/>
      <c r="E384" s="2"/>
      <c r="F384" s="55"/>
      <c r="G384" s="55"/>
      <c r="H384" s="55"/>
      <c r="I384" s="13"/>
      <c r="J384" s="13"/>
      <c r="K384" s="13"/>
      <c r="L384" s="13"/>
      <c r="M384" s="8"/>
      <c r="N384" s="165"/>
    </row>
    <row r="385" spans="1:14" s="3" customFormat="1" ht="12.2" customHeight="1">
      <c r="A385" s="25" t="s">
        <v>482</v>
      </c>
      <c r="B385" s="60"/>
      <c r="C385" s="60"/>
      <c r="D385" s="60"/>
      <c r="E385" s="60"/>
      <c r="F385" s="55"/>
      <c r="G385" s="55"/>
      <c r="H385" s="55"/>
      <c r="I385" s="13"/>
      <c r="J385" s="13"/>
      <c r="K385" s="13"/>
      <c r="L385" s="13"/>
      <c r="M385" s="8"/>
      <c r="N385" s="165"/>
    </row>
    <row r="386" spans="1:14" s="3" customFormat="1" ht="12.2" customHeight="1">
      <c r="A386" s="25" t="s">
        <v>483</v>
      </c>
      <c r="B386" s="2"/>
      <c r="C386" s="2"/>
      <c r="D386" s="2"/>
      <c r="E386" s="2"/>
      <c r="F386" s="16"/>
      <c r="G386" s="16" t="s">
        <v>374</v>
      </c>
      <c r="H386" s="16" t="s">
        <v>375</v>
      </c>
      <c r="I386" s="16" t="s">
        <v>310</v>
      </c>
      <c r="J386" s="13"/>
      <c r="K386" s="13"/>
      <c r="L386" s="13"/>
      <c r="M386" s="8"/>
      <c r="N386" s="165"/>
    </row>
    <row r="387" spans="1:14" s="3" customFormat="1" ht="12.2" customHeight="1">
      <c r="A387" s="25" t="s">
        <v>376</v>
      </c>
      <c r="B387" s="2"/>
      <c r="C387" s="2"/>
      <c r="D387" s="2"/>
      <c r="F387" s="16" t="s">
        <v>377</v>
      </c>
      <c r="G387" s="16" t="s">
        <v>378</v>
      </c>
      <c r="H387" s="16" t="s">
        <v>379</v>
      </c>
      <c r="I387" s="16" t="s">
        <v>380</v>
      </c>
      <c r="J387" s="13"/>
      <c r="K387" s="13"/>
      <c r="L387" s="16" t="s">
        <v>340</v>
      </c>
      <c r="M387" s="8"/>
      <c r="N387" s="165"/>
    </row>
    <row r="388" spans="1:14" s="3" customFormat="1" ht="12.2" customHeight="1">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c r="A393" s="62" t="s">
        <v>555</v>
      </c>
      <c r="B393" s="2" t="s">
        <v>381</v>
      </c>
      <c r="C393" s="6">
        <v>6</v>
      </c>
      <c r="D393" s="2" t="s">
        <v>432</v>
      </c>
      <c r="E393" s="6"/>
      <c r="F393" s="18"/>
      <c r="G393" s="18">
        <v>10831</v>
      </c>
      <c r="H393" s="18">
        <v>1531.72</v>
      </c>
      <c r="I393" s="18"/>
      <c r="J393" s="23" t="s">
        <v>288</v>
      </c>
      <c r="K393" s="23" t="s">
        <v>288</v>
      </c>
      <c r="L393" s="13">
        <f t="shared" si="25"/>
        <v>12362.72</v>
      </c>
      <c r="M393" s="8"/>
      <c r="N393" s="165"/>
    </row>
    <row r="394" spans="1:14" s="3" customFormat="1" ht="12.2" customHeight="1" thickTop="1">
      <c r="A394" s="116" t="s">
        <v>471</v>
      </c>
      <c r="B394" s="2" t="s">
        <v>381</v>
      </c>
      <c r="C394" s="6">
        <v>7</v>
      </c>
      <c r="D394" s="2" t="s">
        <v>432</v>
      </c>
      <c r="E394" s="37">
        <v>5251</v>
      </c>
      <c r="F394" s="97">
        <f>SUM(F388:F393)</f>
        <v>0</v>
      </c>
      <c r="G394" s="97">
        <f>SUM(G388:G393)</f>
        <v>10831</v>
      </c>
      <c r="H394" s="97">
        <f>SUM(H388:H393)</f>
        <v>1531.72</v>
      </c>
      <c r="I394" s="54">
        <f>SUM(I388:I393)</f>
        <v>0</v>
      </c>
      <c r="J394" s="42" t="s">
        <v>288</v>
      </c>
      <c r="K394" s="42" t="s">
        <v>288</v>
      </c>
      <c r="L394" s="38">
        <f>SUM(L388:L393)</f>
        <v>12362.72</v>
      </c>
      <c r="M394" s="8"/>
      <c r="N394" s="165"/>
    </row>
    <row r="395" spans="1:14" s="3" customFormat="1" ht="12.2" customHeight="1">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c r="A397" s="62" t="s">
        <v>557</v>
      </c>
      <c r="B397" s="2" t="s">
        <v>381</v>
      </c>
      <c r="C397" s="6">
        <v>9</v>
      </c>
      <c r="D397" s="2" t="s">
        <v>432</v>
      </c>
      <c r="E397" s="6"/>
      <c r="F397" s="18"/>
      <c r="G397" s="18"/>
      <c r="H397" s="18">
        <v>7978.05</v>
      </c>
      <c r="I397" s="18"/>
      <c r="J397" s="23" t="s">
        <v>288</v>
      </c>
      <c r="K397" s="23" t="s">
        <v>288</v>
      </c>
      <c r="L397" s="13">
        <f t="shared" si="26"/>
        <v>7978.05</v>
      </c>
      <c r="M397" s="8"/>
      <c r="N397" s="165"/>
    </row>
    <row r="398" spans="1:14" s="3" customFormat="1" ht="12.2" customHeight="1">
      <c r="A398" s="62" t="s">
        <v>515</v>
      </c>
      <c r="B398" s="2" t="s">
        <v>381</v>
      </c>
      <c r="C398" s="6">
        <v>10</v>
      </c>
      <c r="D398" s="2" t="s">
        <v>432</v>
      </c>
      <c r="E398" s="6"/>
      <c r="F398" s="18"/>
      <c r="G398" s="18"/>
      <c r="H398" s="18">
        <v>2945.92</v>
      </c>
      <c r="I398" s="18"/>
      <c r="J398" s="23" t="s">
        <v>288</v>
      </c>
      <c r="K398" s="23" t="s">
        <v>288</v>
      </c>
      <c r="L398" s="13">
        <f t="shared" si="26"/>
        <v>2945.92</v>
      </c>
      <c r="M398" s="8"/>
      <c r="N398" s="165"/>
    </row>
    <row r="399" spans="1:14" s="3" customFormat="1" ht="12.2" customHeight="1">
      <c r="A399" s="62" t="s">
        <v>558</v>
      </c>
      <c r="B399" s="2" t="s">
        <v>381</v>
      </c>
      <c r="C399" s="6">
        <v>11</v>
      </c>
      <c r="D399" s="2" t="s">
        <v>432</v>
      </c>
      <c r="E399" s="6"/>
      <c r="F399" s="18"/>
      <c r="G399" s="18"/>
      <c r="H399" s="18">
        <v>507.59</v>
      </c>
      <c r="I399" s="18"/>
      <c r="J399" s="23" t="s">
        <v>288</v>
      </c>
      <c r="K399" s="23" t="s">
        <v>288</v>
      </c>
      <c r="L399" s="13">
        <f t="shared" si="26"/>
        <v>507.59</v>
      </c>
      <c r="M399" s="8"/>
      <c r="N399" s="165"/>
    </row>
    <row r="400" spans="1:14" s="3" customFormat="1" ht="12.2" customHeight="1">
      <c r="A400" s="62" t="s">
        <v>559</v>
      </c>
      <c r="B400" s="2" t="s">
        <v>381</v>
      </c>
      <c r="C400" s="6">
        <v>12</v>
      </c>
      <c r="D400" s="2" t="s">
        <v>432</v>
      </c>
      <c r="E400" s="6"/>
      <c r="F400" s="18"/>
      <c r="G400" s="18"/>
      <c r="H400" s="18">
        <v>482.95</v>
      </c>
      <c r="I400" s="18"/>
      <c r="J400" s="23" t="s">
        <v>288</v>
      </c>
      <c r="K400" s="23" t="s">
        <v>288</v>
      </c>
      <c r="L400" s="13">
        <f t="shared" si="26"/>
        <v>482.95</v>
      </c>
      <c r="M400" s="8"/>
      <c r="N400" s="165"/>
    </row>
    <row r="401" spans="1:21" s="3" customFormat="1" ht="12.2" customHeight="1" thickBot="1">
      <c r="A401" s="62" t="s">
        <v>510</v>
      </c>
      <c r="B401" s="2" t="s">
        <v>381</v>
      </c>
      <c r="C401" s="6">
        <v>13</v>
      </c>
      <c r="D401" s="2" t="s">
        <v>432</v>
      </c>
      <c r="E401" s="6"/>
      <c r="F401" s="18"/>
      <c r="G401" s="18">
        <v>27788</v>
      </c>
      <c r="H401" s="18">
        <v>217.45</v>
      </c>
      <c r="I401" s="18"/>
      <c r="J401" s="23" t="s">
        <v>288</v>
      </c>
      <c r="K401" s="23" t="s">
        <v>288</v>
      </c>
      <c r="L401" s="13">
        <f t="shared" si="26"/>
        <v>28005.45</v>
      </c>
      <c r="M401" s="8"/>
      <c r="N401" s="165"/>
    </row>
    <row r="402" spans="1:21" s="3" customFormat="1" ht="12.2" customHeight="1" thickTop="1">
      <c r="A402" s="116" t="s">
        <v>470</v>
      </c>
      <c r="B402" s="2" t="s">
        <v>381</v>
      </c>
      <c r="C402" s="6">
        <v>14</v>
      </c>
      <c r="D402" s="2" t="s">
        <v>432</v>
      </c>
      <c r="E402" s="37">
        <v>5252</v>
      </c>
      <c r="F402" s="38">
        <f>SUM(F396:F401)</f>
        <v>0</v>
      </c>
      <c r="G402" s="38">
        <f>SUM(G396:G401)</f>
        <v>27788</v>
      </c>
      <c r="H402" s="38">
        <f>SUM(H396:H401)</f>
        <v>12131.960000000003</v>
      </c>
      <c r="I402" s="38">
        <f>SUM(I396:I401)</f>
        <v>0</v>
      </c>
      <c r="J402" s="42" t="s">
        <v>288</v>
      </c>
      <c r="K402" s="42" t="s">
        <v>288</v>
      </c>
      <c r="L402" s="38">
        <f>SUM(L396:L401)</f>
        <v>39919.960000000006</v>
      </c>
      <c r="M402" s="8"/>
      <c r="N402" s="165"/>
    </row>
    <row r="403" spans="1:21" s="3" customFormat="1" ht="12.2" customHeight="1">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c r="A404" s="82"/>
      <c r="B404" s="2" t="s">
        <v>381</v>
      </c>
      <c r="C404" s="6">
        <v>15</v>
      </c>
      <c r="D404" s="2" t="s">
        <v>432</v>
      </c>
      <c r="E404" s="6"/>
      <c r="F404" s="18"/>
      <c r="G404" s="18"/>
      <c r="H404" s="18">
        <v>163.04</v>
      </c>
      <c r="I404" s="18"/>
      <c r="J404" s="23" t="s">
        <v>288</v>
      </c>
      <c r="K404" s="23" t="s">
        <v>288</v>
      </c>
      <c r="L404" s="13">
        <f>SUM(F404:K404)</f>
        <v>163.04</v>
      </c>
      <c r="M404" s="8"/>
      <c r="N404" s="165"/>
    </row>
    <row r="405" spans="1:21" s="3" customFormat="1" ht="12.2" customHeight="1">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c r="A408" s="116" t="s">
        <v>472</v>
      </c>
      <c r="B408" s="2" t="s">
        <v>381</v>
      </c>
      <c r="C408" s="6">
        <v>19</v>
      </c>
      <c r="D408" s="2" t="s">
        <v>432</v>
      </c>
      <c r="E408" s="37">
        <v>5253</v>
      </c>
      <c r="F408" s="38">
        <f>SUM(F404:F407)</f>
        <v>0</v>
      </c>
      <c r="G408" s="38">
        <f>SUM(G404:G407)</f>
        <v>0</v>
      </c>
      <c r="H408" s="38">
        <f>SUM(H404:H407)</f>
        <v>163.04</v>
      </c>
      <c r="I408" s="38">
        <f>SUM(I404:I407)</f>
        <v>0</v>
      </c>
      <c r="J408" s="45" t="s">
        <v>288</v>
      </c>
      <c r="K408" s="45" t="s">
        <v>288</v>
      </c>
      <c r="L408" s="38">
        <f>SUM(L404:L407)</f>
        <v>163.04</v>
      </c>
      <c r="M408" s="8"/>
      <c r="N408" s="165"/>
    </row>
    <row r="409" spans="1:21" s="3" customFormat="1" ht="12.2" customHeight="1" thickTop="1">
      <c r="A409" s="61" t="s">
        <v>421</v>
      </c>
      <c r="B409" s="2" t="s">
        <v>381</v>
      </c>
      <c r="C409" s="6">
        <v>20</v>
      </c>
      <c r="D409" s="6"/>
      <c r="E409" s="37"/>
      <c r="F409" s="38">
        <f>F394+F402+F408</f>
        <v>0</v>
      </c>
      <c r="G409" s="38">
        <f>G394+G402+G408</f>
        <v>38619</v>
      </c>
      <c r="H409" s="38">
        <f>H394+H402+H408</f>
        <v>13826.720000000003</v>
      </c>
      <c r="I409" s="38">
        <f>I394+I402+I408</f>
        <v>0</v>
      </c>
      <c r="J409" s="23" t="s">
        <v>288</v>
      </c>
      <c r="K409" s="23" t="s">
        <v>288</v>
      </c>
      <c r="L409" s="38">
        <f>L394+L402+L408</f>
        <v>52445.720000000008</v>
      </c>
      <c r="M409" s="8"/>
      <c r="N409" s="165"/>
    </row>
    <row r="410" spans="1:21" s="3" customFormat="1" ht="12.2" customHeight="1">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c r="A411" s="25" t="s">
        <v>482</v>
      </c>
      <c r="B411" s="60"/>
      <c r="C411" s="60"/>
      <c r="D411" s="60"/>
      <c r="E411" s="60"/>
      <c r="F411" s="55"/>
      <c r="G411" s="16" t="s">
        <v>384</v>
      </c>
      <c r="H411" s="16" t="s">
        <v>385</v>
      </c>
      <c r="I411" s="13"/>
      <c r="J411" s="13"/>
      <c r="K411" s="13"/>
      <c r="L411" s="13"/>
      <c r="M411" s="8"/>
      <c r="N411" s="165"/>
    </row>
    <row r="412" spans="1:21" s="3" customFormat="1" ht="12.2" customHeight="1">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c r="A415" s="62" t="s">
        <v>551</v>
      </c>
      <c r="B415" s="6">
        <v>17</v>
      </c>
      <c r="C415" s="6">
        <v>2</v>
      </c>
      <c r="D415" s="2" t="s">
        <v>432</v>
      </c>
      <c r="E415" s="6"/>
      <c r="F415" s="18"/>
      <c r="G415" s="18"/>
      <c r="H415" s="18"/>
      <c r="I415" s="18"/>
      <c r="J415" s="18"/>
      <c r="K415" s="18"/>
      <c r="L415" s="13">
        <f t="shared" si="27"/>
        <v>0</v>
      </c>
      <c r="N415" s="165"/>
    </row>
    <row r="416" spans="1:21" s="3" customFormat="1" ht="12.2" customHeight="1">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c r="A419" s="62" t="s">
        <v>555</v>
      </c>
      <c r="B419" s="6">
        <v>17</v>
      </c>
      <c r="C419" s="6">
        <v>6</v>
      </c>
      <c r="D419" s="2" t="s">
        <v>432</v>
      </c>
      <c r="E419" s="6"/>
      <c r="F419" s="18"/>
      <c r="G419" s="18"/>
      <c r="H419" s="18"/>
      <c r="I419" s="18"/>
      <c r="J419" s="18">
        <v>6264</v>
      </c>
      <c r="K419" s="18"/>
      <c r="L419" s="13">
        <f t="shared" si="27"/>
        <v>6264</v>
      </c>
      <c r="M419" s="8"/>
      <c r="N419" s="165"/>
    </row>
    <row r="420" spans="1:21" s="3" customFormat="1" ht="12.2" customHeight="1" thickTop="1">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6264</v>
      </c>
      <c r="K420" s="97">
        <f t="shared" si="28"/>
        <v>0</v>
      </c>
      <c r="L420" s="38">
        <f t="shared" si="28"/>
        <v>6264</v>
      </c>
      <c r="M420" s="8"/>
      <c r="N420" s="165"/>
    </row>
    <row r="421" spans="1:21" s="3" customFormat="1" ht="12.2" customHeight="1">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c r="A430" s="82"/>
      <c r="B430" s="6">
        <v>17</v>
      </c>
      <c r="C430" s="6">
        <v>15</v>
      </c>
      <c r="D430" s="2" t="s">
        <v>432</v>
      </c>
      <c r="E430" s="6"/>
      <c r="F430" s="18"/>
      <c r="G430" s="18"/>
      <c r="H430" s="18"/>
      <c r="I430" s="18"/>
      <c r="J430" s="18"/>
      <c r="K430" s="18"/>
      <c r="L430" s="13">
        <f>SUM(F430:K430)</f>
        <v>0</v>
      </c>
      <c r="M430" s="8"/>
      <c r="N430" s="165"/>
    </row>
    <row r="431" spans="1:21" ht="12.2" customHeight="1">
      <c r="A431" s="82"/>
      <c r="B431" s="6">
        <v>17</v>
      </c>
      <c r="C431" s="6">
        <v>16</v>
      </c>
      <c r="D431" s="2" t="s">
        <v>432</v>
      </c>
      <c r="E431" s="6"/>
      <c r="F431" s="18"/>
      <c r="G431" s="18"/>
      <c r="H431" s="18"/>
      <c r="I431" s="18"/>
      <c r="J431" s="18"/>
      <c r="K431" s="18"/>
      <c r="L431" s="13">
        <f>SUM(F431:K431)</f>
        <v>0</v>
      </c>
      <c r="N431" s="131"/>
    </row>
    <row r="432" spans="1:21" s="3" customFormat="1" ht="12.2" customHeight="1">
      <c r="A432" s="82"/>
      <c r="B432" s="6">
        <v>17</v>
      </c>
      <c r="C432" s="6">
        <v>17</v>
      </c>
      <c r="D432" s="2" t="s">
        <v>432</v>
      </c>
      <c r="E432" s="6"/>
      <c r="F432" s="18"/>
      <c r="G432" s="18"/>
      <c r="H432" s="18"/>
      <c r="I432" s="18"/>
      <c r="J432" s="18"/>
      <c r="K432" s="18"/>
      <c r="L432" s="13">
        <f>SUM(F432:K432)</f>
        <v>0</v>
      </c>
      <c r="M432" s="8"/>
      <c r="N432" s="165"/>
    </row>
    <row r="433" spans="1:14" s="3" customFormat="1" ht="12.2" customHeight="1" thickBot="1">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c r="A435" s="61" t="s">
        <v>422</v>
      </c>
      <c r="B435" s="6">
        <v>17</v>
      </c>
      <c r="C435" s="6">
        <v>20</v>
      </c>
      <c r="D435" s="2" t="s">
        <v>432</v>
      </c>
      <c r="E435" s="37"/>
      <c r="F435" s="38">
        <f t="shared" ref="F435:L435" si="32">F420+F428+F434</f>
        <v>0</v>
      </c>
      <c r="G435" s="38">
        <f t="shared" si="32"/>
        <v>0</v>
      </c>
      <c r="H435" s="38">
        <f t="shared" si="32"/>
        <v>0</v>
      </c>
      <c r="I435" s="38">
        <f t="shared" si="32"/>
        <v>0</v>
      </c>
      <c r="J435" s="38">
        <f t="shared" si="32"/>
        <v>6264</v>
      </c>
      <c r="K435" s="38">
        <f t="shared" si="32"/>
        <v>0</v>
      </c>
      <c r="L435" s="38">
        <f t="shared" si="32"/>
        <v>6264</v>
      </c>
      <c r="M435" s="8"/>
      <c r="N435" s="165"/>
    </row>
    <row r="436" spans="1:14" s="3" customFormat="1" ht="12.2" customHeight="1">
      <c r="A436" s="61"/>
      <c r="B436" s="6"/>
      <c r="C436" s="6"/>
      <c r="D436" s="6"/>
      <c r="E436" s="6"/>
      <c r="F436" s="13"/>
      <c r="G436" s="13"/>
      <c r="H436" s="13"/>
      <c r="I436" s="13"/>
      <c r="J436" s="13"/>
      <c r="K436" s="13"/>
      <c r="L436" s="13"/>
      <c r="M436" s="8"/>
      <c r="N436" s="165"/>
    </row>
    <row r="437" spans="1:14" s="3" customFormat="1" ht="12.2" customHeight="1">
      <c r="A437" s="33" t="s">
        <v>0</v>
      </c>
      <c r="K437" s="13"/>
      <c r="L437" s="13"/>
      <c r="M437" s="8"/>
      <c r="N437" s="165"/>
    </row>
    <row r="438" spans="1:14" s="3" customFormat="1" ht="12.2" customHeight="1">
      <c r="A438" s="33" t="s">
        <v>1</v>
      </c>
      <c r="F438" s="22" t="s">
        <v>2</v>
      </c>
      <c r="G438" s="22" t="s">
        <v>3</v>
      </c>
      <c r="H438" s="22" t="s">
        <v>4</v>
      </c>
      <c r="I438" s="22" t="s">
        <v>5</v>
      </c>
      <c r="M438" s="8"/>
      <c r="N438" s="165"/>
    </row>
    <row r="439" spans="1:14" s="3" customFormat="1" ht="12.2" customHeight="1">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c r="A441" s="1" t="s">
        <v>562</v>
      </c>
      <c r="B441" s="22">
        <v>18</v>
      </c>
      <c r="C441" s="6">
        <v>2</v>
      </c>
      <c r="D441" s="2" t="s">
        <v>432</v>
      </c>
      <c r="E441" s="6">
        <v>110</v>
      </c>
      <c r="F441" s="18">
        <v>276019.01</v>
      </c>
      <c r="G441" s="18">
        <v>861679.31</v>
      </c>
      <c r="H441" s="18">
        <v>13174.33</v>
      </c>
      <c r="I441" s="13">
        <f t="shared" si="33"/>
        <v>1150872.6500000001</v>
      </c>
      <c r="J441" s="23" t="s">
        <v>288</v>
      </c>
      <c r="K441" s="23" t="s">
        <v>288</v>
      </c>
      <c r="L441" s="23" t="s">
        <v>288</v>
      </c>
      <c r="M441" s="8"/>
      <c r="N441" s="165"/>
    </row>
    <row r="442" spans="1:14" s="3" customFormat="1" ht="12.2" customHeight="1">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c r="A447" s="28" t="s">
        <v>404</v>
      </c>
      <c r="B447" s="22">
        <v>18</v>
      </c>
      <c r="C447" s="6">
        <v>8</v>
      </c>
      <c r="D447" s="2" t="s">
        <v>432</v>
      </c>
      <c r="E447" s="6"/>
      <c r="F447" s="13">
        <f>SUM(F440:F446)</f>
        <v>276019.01</v>
      </c>
      <c r="G447" s="13">
        <f>SUM(G440:G446)</f>
        <v>861679.31</v>
      </c>
      <c r="H447" s="13">
        <f>SUM(H440:H446)</f>
        <v>13174.33</v>
      </c>
      <c r="I447" s="13">
        <f>SUM(I440:I446)</f>
        <v>1150872.6500000001</v>
      </c>
      <c r="J447" s="23" t="s">
        <v>288</v>
      </c>
      <c r="K447" s="23" t="s">
        <v>288</v>
      </c>
      <c r="L447" s="23" t="s">
        <v>288</v>
      </c>
      <c r="M447" s="8"/>
      <c r="N447" s="165"/>
    </row>
    <row r="448" spans="1:14" s="3" customFormat="1" ht="12.2" customHeight="1" thickTop="1">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c r="A456" s="1" t="s">
        <v>851</v>
      </c>
      <c r="B456" s="22">
        <v>18</v>
      </c>
      <c r="C456" s="6">
        <v>15</v>
      </c>
      <c r="D456" s="2"/>
      <c r="E456" s="6">
        <v>753</v>
      </c>
      <c r="F456" s="18"/>
      <c r="G456" s="18"/>
      <c r="H456" s="18"/>
      <c r="I456" s="13">
        <f t="shared" si="34"/>
        <v>0</v>
      </c>
      <c r="J456" s="23"/>
      <c r="K456" s="23"/>
      <c r="L456" s="23"/>
      <c r="M456" s="8"/>
      <c r="N456" s="165"/>
    </row>
    <row r="457" spans="1:86" s="3" customFormat="1" ht="12.2" customHeight="1">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c r="A460" s="1" t="s">
        <v>579</v>
      </c>
      <c r="B460" s="22">
        <v>18</v>
      </c>
      <c r="C460" s="6">
        <v>19</v>
      </c>
      <c r="D460" s="2" t="s">
        <v>432</v>
      </c>
      <c r="E460" s="6">
        <v>760</v>
      </c>
      <c r="F460" s="18">
        <v>276019.01</v>
      </c>
      <c r="G460" s="18">
        <v>861679.31</v>
      </c>
      <c r="H460" s="18">
        <v>13174.33</v>
      </c>
      <c r="I460" s="13">
        <f t="shared" si="34"/>
        <v>1150872.6500000001</v>
      </c>
      <c r="J460" s="23" t="s">
        <v>288</v>
      </c>
      <c r="K460" s="23" t="s">
        <v>288</v>
      </c>
      <c r="L460" s="23" t="s">
        <v>288</v>
      </c>
      <c r="N460" s="131"/>
    </row>
    <row r="461" spans="1:86" ht="12.2" customHeight="1" thickTop="1" thickBot="1">
      <c r="A461" s="46" t="s">
        <v>407</v>
      </c>
      <c r="B461" s="63">
        <v>18</v>
      </c>
      <c r="C461" s="47">
        <v>20</v>
      </c>
      <c r="D461" s="44" t="s">
        <v>432</v>
      </c>
      <c r="E461" s="47"/>
      <c r="F461" s="65">
        <f>SUM(F455:F460)</f>
        <v>276019.01</v>
      </c>
      <c r="G461" s="65">
        <f>SUM(G455:G460)</f>
        <v>861679.31</v>
      </c>
      <c r="H461" s="65">
        <f>SUM(H455:H460)</f>
        <v>13174.33</v>
      </c>
      <c r="I461" s="65">
        <f>SUM(I455:I460)</f>
        <v>1150872.6500000001</v>
      </c>
      <c r="J461" s="23" t="s">
        <v>288</v>
      </c>
      <c r="K461" s="23" t="s">
        <v>288</v>
      </c>
      <c r="L461" s="23" t="s">
        <v>288</v>
      </c>
      <c r="N461" s="131"/>
    </row>
    <row r="462" spans="1:86" ht="12.2" customHeight="1" thickTop="1">
      <c r="A462" s="40" t="s">
        <v>424</v>
      </c>
      <c r="B462" s="41">
        <v>18</v>
      </c>
      <c r="C462" s="64">
        <v>21</v>
      </c>
      <c r="D462" s="114" t="s">
        <v>432</v>
      </c>
      <c r="E462" s="64"/>
      <c r="F462" s="39">
        <f>F453+F461</f>
        <v>276019.01</v>
      </c>
      <c r="G462" s="39">
        <f>G453+G461</f>
        <v>861679.31</v>
      </c>
      <c r="H462" s="39">
        <f>H453+H461</f>
        <v>13174.33</v>
      </c>
      <c r="I462" s="39">
        <f>I453+I461</f>
        <v>1150872.6500000001</v>
      </c>
      <c r="J462" s="23" t="s">
        <v>288</v>
      </c>
      <c r="K462" s="23" t="s">
        <v>288</v>
      </c>
      <c r="L462" s="23" t="s">
        <v>288</v>
      </c>
      <c r="N462" s="131"/>
    </row>
    <row r="463" spans="1:86" ht="12.2" customHeight="1">
      <c r="A463" s="32"/>
      <c r="B463" s="22"/>
      <c r="C463" s="31"/>
      <c r="D463" s="31"/>
      <c r="E463" s="31"/>
      <c r="N463" s="131"/>
    </row>
    <row r="464" spans="1:86" ht="12.2" customHeight="1">
      <c r="A464" s="32" t="s">
        <v>9</v>
      </c>
      <c r="B464" s="22"/>
      <c r="C464" s="31"/>
      <c r="D464" s="31"/>
      <c r="E464" s="31"/>
      <c r="F464" s="22" t="s">
        <v>273</v>
      </c>
      <c r="G464" s="22" t="s">
        <v>274</v>
      </c>
      <c r="H464" s="22" t="s">
        <v>275</v>
      </c>
      <c r="I464" s="22" t="s">
        <v>276</v>
      </c>
      <c r="J464" s="22" t="s">
        <v>277</v>
      </c>
      <c r="N464" s="131"/>
    </row>
    <row r="465" spans="1:14" ht="12.2" customHeight="1">
      <c r="A465" s="32"/>
      <c r="B465" s="22"/>
      <c r="C465" s="31"/>
      <c r="D465" s="31"/>
      <c r="E465" s="31"/>
      <c r="F465" s="66" t="s">
        <v>10</v>
      </c>
      <c r="G465" s="66" t="s">
        <v>11</v>
      </c>
      <c r="H465" s="66" t="s">
        <v>12</v>
      </c>
      <c r="I465" s="66" t="s">
        <v>13</v>
      </c>
      <c r="J465" s="66" t="s">
        <v>14</v>
      </c>
      <c r="N465" s="131"/>
    </row>
    <row r="466" spans="1:14" ht="12.2" customHeight="1">
      <c r="A466" s="138" t="s">
        <v>1629</v>
      </c>
      <c r="B466" s="22">
        <v>19</v>
      </c>
      <c r="C466" s="31">
        <v>1</v>
      </c>
      <c r="D466" s="2" t="s">
        <v>432</v>
      </c>
      <c r="E466" s="31"/>
      <c r="F466" s="18">
        <v>1238689.27</v>
      </c>
      <c r="G466" s="18">
        <v>0</v>
      </c>
      <c r="H466" s="18">
        <v>0</v>
      </c>
      <c r="I466" s="18">
        <v>70386.13</v>
      </c>
      <c r="J466" s="18">
        <v>1104690.93</v>
      </c>
      <c r="K466" s="23" t="s">
        <v>288</v>
      </c>
      <c r="L466" s="23" t="s">
        <v>288</v>
      </c>
      <c r="N466" s="131"/>
    </row>
    <row r="467" spans="1:14" ht="12.2" customHeight="1">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c r="A469" s="71" t="s">
        <v>610</v>
      </c>
      <c r="B469" s="22">
        <v>19</v>
      </c>
      <c r="C469" s="31">
        <v>2</v>
      </c>
      <c r="D469" s="2" t="s">
        <v>432</v>
      </c>
      <c r="E469" s="31"/>
      <c r="F469" s="18">
        <v>10936710.41</v>
      </c>
      <c r="G469" s="18">
        <v>290970.17</v>
      </c>
      <c r="H469" s="18">
        <v>294129.96000000002</v>
      </c>
      <c r="I469" s="18"/>
      <c r="J469" s="18">
        <v>52445.72</v>
      </c>
      <c r="K469" s="23" t="s">
        <v>288</v>
      </c>
      <c r="L469" s="23" t="s">
        <v>288</v>
      </c>
      <c r="N469" s="131"/>
    </row>
    <row r="470" spans="1:14" ht="12.2" customHeight="1">
      <c r="A470" s="71" t="s">
        <v>611</v>
      </c>
      <c r="B470" s="22">
        <v>19</v>
      </c>
      <c r="C470" s="31">
        <v>3</v>
      </c>
      <c r="D470" s="2" t="s">
        <v>432</v>
      </c>
      <c r="E470" s="31"/>
      <c r="F470" s="18"/>
      <c r="G470" s="18"/>
      <c r="H470" s="18"/>
      <c r="I470" s="18"/>
      <c r="J470" s="18"/>
      <c r="K470" s="23" t="s">
        <v>288</v>
      </c>
      <c r="L470" s="23" t="s">
        <v>288</v>
      </c>
      <c r="N470" s="131"/>
    </row>
    <row r="471" spans="1:14" ht="12.2" customHeight="1">
      <c r="A471" s="32" t="s">
        <v>425</v>
      </c>
      <c r="B471" s="22">
        <v>19</v>
      </c>
      <c r="C471" s="31">
        <v>4</v>
      </c>
      <c r="D471" s="2" t="s">
        <v>432</v>
      </c>
      <c r="E471" s="31"/>
      <c r="F471" s="19">
        <f>SUM(F469:F470)</f>
        <v>10936710.41</v>
      </c>
      <c r="G471" s="19">
        <f>SUM(G469:G470)</f>
        <v>290970.17</v>
      </c>
      <c r="H471" s="19">
        <f>SUM(H469:H470)</f>
        <v>294129.96000000002</v>
      </c>
      <c r="I471" s="19">
        <f>SUM(I469:I470)</f>
        <v>0</v>
      </c>
      <c r="J471" s="19">
        <f>SUM(J469:J470)</f>
        <v>52445.72</v>
      </c>
      <c r="K471" s="23" t="s">
        <v>288</v>
      </c>
      <c r="L471" s="23" t="s">
        <v>288</v>
      </c>
      <c r="N471" s="131"/>
    </row>
    <row r="472" spans="1:14" ht="12.2" customHeight="1">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c r="A473" s="71" t="s">
        <v>612</v>
      </c>
      <c r="B473" s="22">
        <v>19</v>
      </c>
      <c r="C473" s="31">
        <v>5</v>
      </c>
      <c r="D473" s="2" t="s">
        <v>432</v>
      </c>
      <c r="E473" s="31"/>
      <c r="F473" s="18">
        <v>11154600.939999999</v>
      </c>
      <c r="G473" s="18">
        <v>228991.77</v>
      </c>
      <c r="H473" s="18">
        <v>294129.96000000002</v>
      </c>
      <c r="I473" s="18"/>
      <c r="J473" s="18">
        <v>6264</v>
      </c>
      <c r="K473" s="23" t="s">
        <v>288</v>
      </c>
      <c r="L473" s="23" t="s">
        <v>288</v>
      </c>
      <c r="N473" s="131"/>
    </row>
    <row r="474" spans="1:14" ht="12.2" customHeight="1">
      <c r="A474" s="71" t="s">
        <v>613</v>
      </c>
      <c r="B474" s="22">
        <v>19</v>
      </c>
      <c r="C474" s="31">
        <v>6</v>
      </c>
      <c r="D474" s="2" t="s">
        <v>432</v>
      </c>
      <c r="E474" s="31"/>
      <c r="F474" s="18"/>
      <c r="G474" s="18"/>
      <c r="H474" s="18"/>
      <c r="I474" s="18"/>
      <c r="J474" s="18"/>
      <c r="K474" s="23" t="s">
        <v>288</v>
      </c>
      <c r="L474" s="23" t="s">
        <v>288</v>
      </c>
      <c r="N474" s="131"/>
    </row>
    <row r="475" spans="1:14" ht="12.2" customHeight="1">
      <c r="A475" s="32" t="s">
        <v>426</v>
      </c>
      <c r="B475" s="22">
        <v>19</v>
      </c>
      <c r="C475" s="31">
        <v>7</v>
      </c>
      <c r="D475" s="2" t="s">
        <v>432</v>
      </c>
      <c r="E475" s="31"/>
      <c r="F475" s="19">
        <f>SUM(F473:F474)</f>
        <v>11154600.939999999</v>
      </c>
      <c r="G475" s="19">
        <f>SUM(G473:G474)</f>
        <v>228991.77</v>
      </c>
      <c r="H475" s="19">
        <f>SUM(H473:H474)</f>
        <v>294129.96000000002</v>
      </c>
      <c r="I475" s="19">
        <f>SUM(I473:I474)</f>
        <v>0</v>
      </c>
      <c r="J475" s="19">
        <f>SUM(J473:J474)</f>
        <v>6264</v>
      </c>
      <c r="K475" s="23" t="s">
        <v>288</v>
      </c>
      <c r="L475" s="23" t="s">
        <v>288</v>
      </c>
      <c r="N475" s="131"/>
    </row>
    <row r="476" spans="1:14" ht="12.2" customHeight="1">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c r="A477" s="139" t="s">
        <v>1630</v>
      </c>
      <c r="B477" s="22">
        <v>19</v>
      </c>
      <c r="C477" s="22">
        <v>8</v>
      </c>
      <c r="D477" s="2" t="s">
        <v>432</v>
      </c>
      <c r="E477" s="22"/>
      <c r="F477" s="19">
        <f>(F466+F471)- F475</f>
        <v>1020798.7400000002</v>
      </c>
      <c r="G477" s="19">
        <f>(G466+G471)- G475</f>
        <v>61978.399999999994</v>
      </c>
      <c r="H477" s="19">
        <f>(H466+H471)- H475</f>
        <v>0</v>
      </c>
      <c r="I477" s="19">
        <f>(I466+I471)- I475</f>
        <v>70386.13</v>
      </c>
      <c r="J477" s="19">
        <f>(J466+J471)- J475</f>
        <v>1150872.6499999999</v>
      </c>
      <c r="K477" s="23" t="s">
        <v>288</v>
      </c>
      <c r="L477" s="23" t="s">
        <v>288</v>
      </c>
      <c r="N477" s="131"/>
    </row>
    <row r="478" spans="1:14" ht="12.2" customHeight="1">
      <c r="A478" s="73"/>
      <c r="B478" s="73"/>
      <c r="C478" s="73"/>
      <c r="D478" s="73"/>
      <c r="E478" s="73"/>
      <c r="F478" s="73"/>
      <c r="G478" s="73"/>
      <c r="H478" s="73"/>
      <c r="I478" s="73"/>
      <c r="J478" s="73"/>
      <c r="K478" s="73"/>
      <c r="L478" s="73"/>
      <c r="N478" s="131"/>
    </row>
    <row r="479" spans="1:14" ht="12.2" customHeight="1">
      <c r="A479" s="73" t="s">
        <v>657</v>
      </c>
      <c r="B479" s="73"/>
      <c r="C479" s="73"/>
      <c r="D479" s="73"/>
      <c r="E479" s="73"/>
      <c r="F479" s="73"/>
      <c r="G479" s="73"/>
      <c r="H479" s="73"/>
      <c r="I479" s="73"/>
      <c r="J479" s="73"/>
      <c r="K479" s="73"/>
      <c r="L479" s="73"/>
      <c r="N479" s="131"/>
    </row>
    <row r="480" spans="1:14" ht="12.2" customHeight="1">
      <c r="A480" s="73" t="s">
        <v>695</v>
      </c>
      <c r="B480" s="73"/>
      <c r="C480" s="73"/>
      <c r="D480" s="73"/>
      <c r="E480" s="73"/>
      <c r="F480" s="73"/>
      <c r="G480" s="73"/>
      <c r="H480" s="73"/>
      <c r="I480" s="73" t="s">
        <v>17</v>
      </c>
      <c r="J480" s="73"/>
      <c r="K480" s="73"/>
      <c r="L480" s="73"/>
      <c r="N480" s="131"/>
    </row>
    <row r="481" spans="1:14" ht="12.2" customHeight="1">
      <c r="A481" s="18"/>
      <c r="B481" s="73"/>
      <c r="C481" s="73"/>
      <c r="D481" s="73"/>
      <c r="E481" s="73"/>
      <c r="F481" s="73"/>
      <c r="G481" s="73"/>
      <c r="H481" s="73"/>
      <c r="I481" s="73" t="s">
        <v>401</v>
      </c>
      <c r="J481" s="73"/>
      <c r="K481" s="73"/>
      <c r="L481" s="73"/>
      <c r="N481" s="131"/>
    </row>
    <row r="482" spans="1:14" ht="12.2" customHeight="1">
      <c r="A482" s="304"/>
      <c r="B482" s="73"/>
      <c r="C482" s="73"/>
      <c r="D482" s="73"/>
      <c r="E482" s="73"/>
      <c r="F482" s="73"/>
      <c r="G482" s="73"/>
      <c r="H482" s="73"/>
      <c r="I482" s="73" t="s">
        <v>650</v>
      </c>
      <c r="J482" s="73"/>
      <c r="K482" s="73"/>
      <c r="L482" s="73"/>
      <c r="N482" s="131"/>
    </row>
    <row r="483" spans="1:14" ht="12.2" customHeight="1">
      <c r="A483" s="73" t="s">
        <v>696</v>
      </c>
      <c r="B483" s="73"/>
      <c r="C483" s="73"/>
      <c r="D483" s="73"/>
      <c r="E483" s="73"/>
      <c r="F483" s="73"/>
      <c r="G483" s="73"/>
      <c r="H483" s="73"/>
      <c r="I483" s="73" t="s">
        <v>473</v>
      </c>
      <c r="J483" s="73"/>
      <c r="K483" s="73"/>
      <c r="L483" s="73"/>
      <c r="N483" s="131"/>
    </row>
    <row r="484" spans="1:14" ht="12.2" customHeight="1">
      <c r="A484" s="55" t="s">
        <v>1804</v>
      </c>
      <c r="B484" s="73"/>
      <c r="C484" s="73"/>
      <c r="D484" s="73"/>
      <c r="E484" s="73"/>
      <c r="F484" s="73"/>
      <c r="G484" s="73"/>
      <c r="H484" s="73"/>
      <c r="I484" s="73" t="s">
        <v>18</v>
      </c>
      <c r="J484" s="73"/>
      <c r="K484" s="73"/>
      <c r="L484" s="73"/>
      <c r="N484" s="131"/>
    </row>
    <row r="485" spans="1:14" ht="12.2" customHeight="1">
      <c r="A485" s="55"/>
      <c r="B485" s="73"/>
      <c r="C485" s="73"/>
      <c r="D485" s="73"/>
      <c r="E485" s="73"/>
      <c r="F485" s="73"/>
      <c r="G485" s="73"/>
      <c r="H485" s="73"/>
      <c r="I485" s="73" t="s">
        <v>474</v>
      </c>
      <c r="J485" s="73"/>
      <c r="K485" s="73"/>
      <c r="L485" s="73"/>
      <c r="N485" s="131"/>
    </row>
    <row r="486" spans="1:14" ht="12.2" customHeight="1">
      <c r="A486" s="55"/>
      <c r="B486" s="73"/>
      <c r="C486" s="73"/>
      <c r="D486" s="73"/>
      <c r="E486" s="73"/>
      <c r="F486" s="73"/>
      <c r="G486" s="73"/>
      <c r="H486" s="73"/>
      <c r="I486" s="73" t="s">
        <v>475</v>
      </c>
      <c r="J486" s="73"/>
      <c r="K486" s="73"/>
      <c r="L486" s="73"/>
      <c r="N486" s="131"/>
    </row>
    <row r="487" spans="1:14" ht="12.2" customHeight="1">
      <c r="A487" s="21"/>
      <c r="B487" s="73"/>
      <c r="C487" s="73"/>
      <c r="D487" s="73"/>
      <c r="E487" s="73"/>
      <c r="F487" s="73"/>
      <c r="G487" s="73"/>
      <c r="H487" s="73"/>
      <c r="I487" s="73"/>
      <c r="J487" s="73"/>
      <c r="K487" s="73"/>
      <c r="L487" s="73"/>
      <c r="N487" s="131"/>
    </row>
    <row r="488" spans="1:14" ht="12.2" customHeight="1">
      <c r="A488" s="74" t="s">
        <v>19</v>
      </c>
      <c r="B488" s="22"/>
      <c r="C488" s="22"/>
      <c r="D488" s="22"/>
      <c r="E488" s="22"/>
      <c r="N488" s="131"/>
    </row>
    <row r="489" spans="1:14" ht="12.2" customHeight="1">
      <c r="A489" s="264" t="s">
        <v>1631</v>
      </c>
      <c r="B489" s="22"/>
      <c r="C489" s="22"/>
      <c r="D489" s="22"/>
      <c r="E489" s="22"/>
      <c r="F489" s="15" t="s">
        <v>264</v>
      </c>
      <c r="G489" s="15" t="s">
        <v>265</v>
      </c>
      <c r="H489" s="15" t="s">
        <v>266</v>
      </c>
      <c r="I489" s="15" t="s">
        <v>267</v>
      </c>
      <c r="J489" s="15" t="s">
        <v>268</v>
      </c>
      <c r="K489" s="15" t="s">
        <v>269</v>
      </c>
      <c r="N489" s="131"/>
    </row>
    <row r="490" spans="1:14" ht="12.2" customHeight="1">
      <c r="A490" s="74" t="s">
        <v>21</v>
      </c>
      <c r="B490" s="22"/>
      <c r="C490" s="22"/>
      <c r="D490" s="22"/>
      <c r="E490" s="22"/>
      <c r="F490" s="84" t="s">
        <v>22</v>
      </c>
      <c r="G490" s="84" t="s">
        <v>23</v>
      </c>
      <c r="H490" s="84" t="s">
        <v>24</v>
      </c>
      <c r="I490" s="84" t="s">
        <v>25</v>
      </c>
      <c r="J490" s="84" t="s">
        <v>26</v>
      </c>
      <c r="K490" s="84" t="s">
        <v>340</v>
      </c>
      <c r="N490" s="131"/>
    </row>
    <row r="491" spans="1:14" ht="12.2" customHeight="1">
      <c r="A491" s="21" t="s">
        <v>614</v>
      </c>
      <c r="B491" s="22">
        <v>20</v>
      </c>
      <c r="C491" s="22">
        <v>1</v>
      </c>
      <c r="D491" s="2" t="s">
        <v>432</v>
      </c>
      <c r="E491" s="22"/>
      <c r="F491" s="111">
        <v>13</v>
      </c>
      <c r="G491" s="111"/>
      <c r="H491" s="111"/>
      <c r="I491" s="111"/>
      <c r="J491" s="111"/>
      <c r="K491" s="23" t="s">
        <v>288</v>
      </c>
      <c r="L491" s="23" t="s">
        <v>288</v>
      </c>
      <c r="N491" s="131"/>
    </row>
    <row r="492" spans="1:14" ht="12.2" customHeight="1">
      <c r="A492" s="21" t="s">
        <v>615</v>
      </c>
      <c r="B492" s="22">
        <v>20</v>
      </c>
      <c r="C492" s="22">
        <v>2</v>
      </c>
      <c r="D492" s="2" t="s">
        <v>432</v>
      </c>
      <c r="E492" s="22"/>
      <c r="F492" s="112" t="s">
        <v>1802</v>
      </c>
      <c r="G492" s="112"/>
      <c r="H492" s="111"/>
      <c r="I492" s="111"/>
      <c r="J492" s="111"/>
      <c r="K492" s="23" t="s">
        <v>288</v>
      </c>
      <c r="L492" s="23" t="s">
        <v>288</v>
      </c>
      <c r="N492" s="131"/>
    </row>
    <row r="493" spans="1:14" ht="12.2" customHeight="1">
      <c r="A493" s="21" t="s">
        <v>616</v>
      </c>
      <c r="B493" s="22">
        <v>20</v>
      </c>
      <c r="C493" s="22">
        <v>3</v>
      </c>
      <c r="D493" s="2" t="s">
        <v>432</v>
      </c>
      <c r="E493" s="22"/>
      <c r="F493" s="112" t="s">
        <v>1803</v>
      </c>
      <c r="G493" s="112"/>
      <c r="H493" s="111"/>
      <c r="I493" s="111"/>
      <c r="J493" s="111"/>
      <c r="K493" s="23" t="s">
        <v>288</v>
      </c>
      <c r="L493" s="23" t="s">
        <v>288</v>
      </c>
      <c r="N493" s="131"/>
    </row>
    <row r="494" spans="1:14" ht="12.2" customHeight="1">
      <c r="A494" s="21" t="s">
        <v>617</v>
      </c>
      <c r="B494" s="22">
        <v>20</v>
      </c>
      <c r="C494" s="22">
        <v>4</v>
      </c>
      <c r="D494" s="2" t="s">
        <v>432</v>
      </c>
      <c r="E494" s="22"/>
      <c r="F494" s="18">
        <v>1171400</v>
      </c>
      <c r="G494" s="18"/>
      <c r="H494" s="18"/>
      <c r="I494" s="18"/>
      <c r="J494" s="18"/>
      <c r="K494" s="23" t="s">
        <v>288</v>
      </c>
      <c r="L494" s="23" t="s">
        <v>288</v>
      </c>
      <c r="N494" s="131"/>
    </row>
    <row r="495" spans="1:14" ht="12.2" customHeight="1">
      <c r="A495" s="21" t="s">
        <v>618</v>
      </c>
      <c r="B495" s="22">
        <v>20</v>
      </c>
      <c r="C495" s="22">
        <v>5</v>
      </c>
      <c r="D495" s="2" t="s">
        <v>432</v>
      </c>
      <c r="E495" s="22"/>
      <c r="F495" s="18">
        <v>5.0999999999999996</v>
      </c>
      <c r="G495" s="18"/>
      <c r="H495" s="18"/>
      <c r="I495" s="18"/>
      <c r="J495" s="18"/>
      <c r="K495" s="23" t="s">
        <v>288</v>
      </c>
      <c r="L495" s="23" t="s">
        <v>288</v>
      </c>
      <c r="N495" s="131"/>
    </row>
    <row r="496" spans="1:14" ht="12.2" customHeight="1">
      <c r="A496" s="21" t="s">
        <v>619</v>
      </c>
      <c r="B496" s="22">
        <v>20</v>
      </c>
      <c r="C496" s="22">
        <v>6</v>
      </c>
      <c r="D496" s="2" t="s">
        <v>432</v>
      </c>
      <c r="E496" s="22"/>
      <c r="F496" s="18">
        <v>1015000</v>
      </c>
      <c r="G496" s="18"/>
      <c r="H496" s="18"/>
      <c r="I496" s="18"/>
      <c r="J496" s="18"/>
      <c r="K496" s="19">
        <f>SUM(F496:J496)</f>
        <v>1015000</v>
      </c>
      <c r="L496" s="23" t="s">
        <v>288</v>
      </c>
      <c r="N496" s="131"/>
    </row>
    <row r="497" spans="1:14" ht="12.2" customHeight="1">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c r="A498" s="21" t="s">
        <v>621</v>
      </c>
      <c r="B498" s="22">
        <v>20</v>
      </c>
      <c r="C498" s="22">
        <v>8</v>
      </c>
      <c r="D498" s="2" t="s">
        <v>432</v>
      </c>
      <c r="E498" s="22"/>
      <c r="F498" s="18"/>
      <c r="G498" s="18"/>
      <c r="H498" s="18"/>
      <c r="I498" s="18"/>
      <c r="J498" s="18"/>
      <c r="K498" s="19">
        <f t="shared" si="35"/>
        <v>0</v>
      </c>
      <c r="L498" s="23" t="s">
        <v>288</v>
      </c>
      <c r="N498" s="131"/>
    </row>
    <row r="499" spans="1:14" ht="12.2" customHeight="1">
      <c r="A499" s="144" t="s">
        <v>622</v>
      </c>
      <c r="B499" s="145">
        <v>20</v>
      </c>
      <c r="C499" s="145">
        <v>9</v>
      </c>
      <c r="D499" s="146" t="s">
        <v>432</v>
      </c>
      <c r="E499" s="145"/>
      <c r="F499" s="147">
        <v>1015000</v>
      </c>
      <c r="G499" s="147"/>
      <c r="H499" s="147"/>
      <c r="I499" s="147"/>
      <c r="J499" s="147"/>
      <c r="K499" s="148">
        <f t="shared" si="35"/>
        <v>1015000</v>
      </c>
      <c r="L499" s="149" t="s">
        <v>288</v>
      </c>
      <c r="N499" s="131"/>
    </row>
    <row r="500" spans="1:14" ht="12.2" customHeight="1" thickBot="1">
      <c r="A500" s="21" t="s">
        <v>623</v>
      </c>
      <c r="B500" s="22">
        <v>20</v>
      </c>
      <c r="C500" s="22">
        <v>10</v>
      </c>
      <c r="D500" s="2" t="s">
        <v>432</v>
      </c>
      <c r="E500" s="22"/>
      <c r="F500" s="18">
        <v>246904</v>
      </c>
      <c r="G500" s="18"/>
      <c r="H500" s="18"/>
      <c r="I500" s="18"/>
      <c r="J500" s="18"/>
      <c r="K500" s="19">
        <f t="shared" si="35"/>
        <v>246904</v>
      </c>
      <c r="L500" s="23" t="s">
        <v>288</v>
      </c>
      <c r="N500" s="131"/>
    </row>
    <row r="501" spans="1:14" ht="12.2" customHeight="1" thickTop="1">
      <c r="A501" s="97" t="s">
        <v>624</v>
      </c>
      <c r="B501" s="41">
        <v>20</v>
      </c>
      <c r="C501" s="41">
        <v>11</v>
      </c>
      <c r="D501" s="36" t="s">
        <v>432</v>
      </c>
      <c r="E501" s="41"/>
      <c r="F501" s="39">
        <f>SUM(F499:F500)</f>
        <v>1261904</v>
      </c>
      <c r="G501" s="39">
        <f>SUM(G499:G500)</f>
        <v>0</v>
      </c>
      <c r="H501" s="39">
        <f>SUM(H499:H500)</f>
        <v>0</v>
      </c>
      <c r="I501" s="39">
        <f>SUM(I499:I500)</f>
        <v>0</v>
      </c>
      <c r="J501" s="39">
        <f>SUM(J499:J500)</f>
        <v>0</v>
      </c>
      <c r="K501" s="39">
        <f t="shared" si="35"/>
        <v>1261904</v>
      </c>
      <c r="L501" s="42" t="s">
        <v>288</v>
      </c>
      <c r="N501" s="131"/>
    </row>
    <row r="502" spans="1:14" ht="12.2" customHeight="1">
      <c r="A502" s="144" t="s">
        <v>651</v>
      </c>
      <c r="B502" s="145">
        <v>20</v>
      </c>
      <c r="C502" s="145">
        <v>12</v>
      </c>
      <c r="D502" s="146" t="s">
        <v>432</v>
      </c>
      <c r="E502" s="145"/>
      <c r="F502" s="147">
        <v>80000</v>
      </c>
      <c r="G502" s="147"/>
      <c r="H502" s="147"/>
      <c r="I502" s="147"/>
      <c r="J502" s="147"/>
      <c r="K502" s="148">
        <f t="shared" si="35"/>
        <v>80000</v>
      </c>
      <c r="L502" s="149" t="s">
        <v>288</v>
      </c>
      <c r="N502" s="131"/>
    </row>
    <row r="503" spans="1:14" ht="12.2" customHeight="1" thickBot="1">
      <c r="A503" s="21" t="s">
        <v>625</v>
      </c>
      <c r="B503" s="22">
        <v>20</v>
      </c>
      <c r="C503" s="22">
        <v>13</v>
      </c>
      <c r="D503" s="2" t="s">
        <v>432</v>
      </c>
      <c r="E503" s="22"/>
      <c r="F503" s="18">
        <v>41850</v>
      </c>
      <c r="G503" s="18"/>
      <c r="H503" s="18"/>
      <c r="I503" s="18"/>
      <c r="J503" s="18"/>
      <c r="K503" s="19">
        <f t="shared" si="35"/>
        <v>41850</v>
      </c>
      <c r="L503" s="23" t="s">
        <v>288</v>
      </c>
      <c r="N503" s="131"/>
    </row>
    <row r="504" spans="1:14" ht="12.2" customHeight="1" thickTop="1">
      <c r="A504" s="97" t="s">
        <v>626</v>
      </c>
      <c r="B504" s="41">
        <v>20</v>
      </c>
      <c r="C504" s="41">
        <v>14</v>
      </c>
      <c r="D504" s="36" t="s">
        <v>432</v>
      </c>
      <c r="E504" s="41"/>
      <c r="F504" s="39">
        <f>SUM(F502:F503)</f>
        <v>121850</v>
      </c>
      <c r="G504" s="39">
        <f>SUM(G502:G503)</f>
        <v>0</v>
      </c>
      <c r="H504" s="39">
        <f>SUM(H502:H503)</f>
        <v>0</v>
      </c>
      <c r="I504" s="39">
        <f>SUM(I502:I503)</f>
        <v>0</v>
      </c>
      <c r="J504" s="39">
        <f>SUM(J502:J503)</f>
        <v>0</v>
      </c>
      <c r="K504" s="39">
        <f t="shared" si="35"/>
        <v>121850</v>
      </c>
      <c r="L504" s="42" t="s">
        <v>288</v>
      </c>
      <c r="N504" s="131"/>
    </row>
    <row r="505" spans="1:14" ht="12.2" customHeight="1">
      <c r="A505" s="74"/>
      <c r="B505" s="22"/>
      <c r="C505" s="22"/>
      <c r="D505" s="22"/>
      <c r="E505" s="22"/>
      <c r="F505" s="79"/>
      <c r="G505" s="79"/>
      <c r="H505" s="77"/>
      <c r="I505" s="77"/>
      <c r="J505" s="77"/>
      <c r="K505" s="77"/>
      <c r="L505" s="77"/>
      <c r="N505" s="131"/>
    </row>
    <row r="506" spans="1:14" ht="12.2" customHeight="1">
      <c r="C506" s="22"/>
      <c r="D506" s="22"/>
      <c r="E506" s="22"/>
      <c r="F506" s="79"/>
      <c r="G506" s="79"/>
      <c r="H506" s="77"/>
      <c r="I506" s="77"/>
      <c r="J506" s="77"/>
      <c r="K506" s="77"/>
      <c r="L506" s="77"/>
      <c r="N506" s="131"/>
    </row>
    <row r="507" spans="1:14" ht="12.2" customHeight="1">
      <c r="B507" s="22"/>
      <c r="F507" t="s">
        <v>41</v>
      </c>
      <c r="G507" s="79" t="s">
        <v>42</v>
      </c>
      <c r="H507" s="79" t="s">
        <v>43</v>
      </c>
      <c r="I507" s="77" t="s">
        <v>44</v>
      </c>
      <c r="J507" s="23" t="s">
        <v>288</v>
      </c>
      <c r="K507" s="23" t="s">
        <v>288</v>
      </c>
      <c r="L507" s="23" t="s">
        <v>288</v>
      </c>
      <c r="N507" s="131"/>
    </row>
    <row r="508" spans="1:14" ht="12.2" customHeight="1">
      <c r="A508" s="74" t="s">
        <v>40</v>
      </c>
      <c r="B508" s="22">
        <v>20</v>
      </c>
      <c r="C508" s="22">
        <v>15</v>
      </c>
      <c r="D508" s="2" t="s">
        <v>432</v>
      </c>
      <c r="E508" s="22"/>
      <c r="F508" s="101"/>
      <c r="G508" s="101"/>
      <c r="H508" s="101"/>
      <c r="I508" s="101"/>
      <c r="J508" s="23" t="s">
        <v>288</v>
      </c>
      <c r="K508" s="23" t="s">
        <v>288</v>
      </c>
      <c r="L508" s="23" t="s">
        <v>288</v>
      </c>
      <c r="N508" s="131"/>
    </row>
    <row r="509" spans="1:14" ht="12.2" customHeight="1">
      <c r="A509" s="74" t="s">
        <v>45</v>
      </c>
      <c r="B509" s="21"/>
      <c r="C509" s="21"/>
      <c r="D509" s="21"/>
      <c r="E509" s="21"/>
      <c r="F509" s="21"/>
      <c r="G509" s="21"/>
      <c r="H509" s="21"/>
      <c r="I509" s="21"/>
      <c r="N509" s="131"/>
    </row>
    <row r="510" spans="1:14" ht="12.2" customHeight="1">
      <c r="A510" s="264" t="s">
        <v>1632</v>
      </c>
      <c r="B510" s="21"/>
      <c r="C510" s="21"/>
      <c r="D510" s="21"/>
      <c r="E510" s="21"/>
      <c r="F510" s="88" t="s">
        <v>46</v>
      </c>
      <c r="G510" s="88"/>
      <c r="H510" s="89" t="s">
        <v>47</v>
      </c>
      <c r="I510" s="89"/>
      <c r="N510" s="131"/>
    </row>
    <row r="511" spans="1:14" ht="12.2" customHeight="1">
      <c r="A511" s="74"/>
      <c r="B511" s="21"/>
      <c r="C511" s="21"/>
      <c r="D511" s="21"/>
      <c r="E511" s="21"/>
      <c r="F511" s="83" t="s">
        <v>48</v>
      </c>
      <c r="G511" s="83" t="s">
        <v>49</v>
      </c>
      <c r="H511" s="76" t="s">
        <v>48</v>
      </c>
      <c r="I511" s="76" t="s">
        <v>49</v>
      </c>
      <c r="N511" s="131"/>
    </row>
    <row r="512" spans="1:14" ht="12.2" customHeight="1">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c r="A519" s="74" t="s">
        <v>698</v>
      </c>
      <c r="B519" s="22"/>
      <c r="C519" s="22"/>
      <c r="D519" s="22"/>
      <c r="E519" s="22"/>
      <c r="F519" s="15" t="s">
        <v>689</v>
      </c>
      <c r="G519" s="15" t="s">
        <v>690</v>
      </c>
      <c r="H519" s="15" t="s">
        <v>691</v>
      </c>
      <c r="I519" s="15" t="s">
        <v>692</v>
      </c>
      <c r="J519" s="15" t="s">
        <v>693</v>
      </c>
      <c r="K519" s="15" t="s">
        <v>694</v>
      </c>
      <c r="L519" s="77"/>
      <c r="N519" s="131"/>
    </row>
    <row r="520" spans="1:14" ht="12.2" customHeight="1">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c r="A522" s="21" t="s">
        <v>633</v>
      </c>
      <c r="B522" s="22">
        <v>21</v>
      </c>
      <c r="C522" s="22">
        <v>1</v>
      </c>
      <c r="D522" s="2" t="s">
        <v>432</v>
      </c>
      <c r="E522" s="22"/>
      <c r="F522" s="18">
        <v>363930.62</v>
      </c>
      <c r="G522" s="18">
        <v>185604.6</v>
      </c>
      <c r="H522" s="18">
        <v>55193.61</v>
      </c>
      <c r="I522" s="18">
        <v>8486.89</v>
      </c>
      <c r="J522" s="18"/>
      <c r="K522" s="18"/>
      <c r="L522" s="69">
        <f>SUM(F522:K522)</f>
        <v>613215.72</v>
      </c>
      <c r="N522" s="131"/>
    </row>
    <row r="523" spans="1:14" ht="12.2" customHeight="1">
      <c r="A523" s="21" t="s">
        <v>634</v>
      </c>
      <c r="B523" s="22">
        <v>21</v>
      </c>
      <c r="C523" s="22">
        <v>2</v>
      </c>
      <c r="D523" s="2" t="s">
        <v>432</v>
      </c>
      <c r="E523" s="22"/>
      <c r="F523" s="18"/>
      <c r="G523" s="18"/>
      <c r="H523" s="18"/>
      <c r="I523" s="18"/>
      <c r="J523" s="18"/>
      <c r="K523" s="18"/>
      <c r="L523" s="69">
        <f>SUM(F523:K523)</f>
        <v>0</v>
      </c>
      <c r="N523" s="131"/>
    </row>
    <row r="524" spans="1:14" ht="12.2" customHeight="1" thickBot="1">
      <c r="A524" s="21" t="s">
        <v>635</v>
      </c>
      <c r="B524" s="22">
        <v>21</v>
      </c>
      <c r="C524" s="22">
        <v>3</v>
      </c>
      <c r="D524" s="2" t="s">
        <v>432</v>
      </c>
      <c r="E524" s="22"/>
      <c r="F524" s="18"/>
      <c r="G524" s="18"/>
      <c r="H524" s="18">
        <v>155649.79999999999</v>
      </c>
      <c r="I524" s="18"/>
      <c r="J524" s="18"/>
      <c r="K524" s="18"/>
      <c r="L524" s="69">
        <f>SUM(F524:K524)</f>
        <v>155649.79999999999</v>
      </c>
      <c r="N524" s="131"/>
    </row>
    <row r="525" spans="1:14" ht="12.2" customHeight="1" thickTop="1">
      <c r="A525" s="97" t="s">
        <v>63</v>
      </c>
      <c r="B525" s="41">
        <v>21</v>
      </c>
      <c r="C525" s="41">
        <v>4</v>
      </c>
      <c r="D525" s="115" t="s">
        <v>432</v>
      </c>
      <c r="E525" s="41"/>
      <c r="F525" s="81">
        <f>SUM(F522:F524)</f>
        <v>363930.62</v>
      </c>
      <c r="G525" s="81">
        <f t="shared" ref="G525:L525" si="36">SUM(G522:G524)</f>
        <v>185604.6</v>
      </c>
      <c r="H525" s="81">
        <f t="shared" si="36"/>
        <v>210843.40999999997</v>
      </c>
      <c r="I525" s="81">
        <f t="shared" si="36"/>
        <v>8486.89</v>
      </c>
      <c r="J525" s="81">
        <f t="shared" si="36"/>
        <v>0</v>
      </c>
      <c r="K525" s="81">
        <f t="shared" si="36"/>
        <v>0</v>
      </c>
      <c r="L525" s="70">
        <f t="shared" si="36"/>
        <v>768865.52</v>
      </c>
      <c r="N525" s="131"/>
    </row>
    <row r="526" spans="1:14" s="3" customFormat="1" ht="12.2" customHeight="1">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c r="A527" s="21" t="s">
        <v>633</v>
      </c>
      <c r="B527" s="22">
        <v>21</v>
      </c>
      <c r="C527" s="22">
        <v>5</v>
      </c>
      <c r="D527" s="2" t="s">
        <v>432</v>
      </c>
      <c r="E527" s="22"/>
      <c r="F527" s="18">
        <v>167119.9</v>
      </c>
      <c r="G527" s="18">
        <v>85231.15</v>
      </c>
      <c r="H527" s="18">
        <v>68101.23</v>
      </c>
      <c r="I527" s="18">
        <v>1112.1600000000001</v>
      </c>
      <c r="J527" s="18"/>
      <c r="K527" s="18">
        <v>2411.4299999999998</v>
      </c>
      <c r="L527" s="69">
        <f>SUM(F527:K527)</f>
        <v>323975.86999999994</v>
      </c>
      <c r="M527" s="8"/>
      <c r="N527" s="165"/>
    </row>
    <row r="528" spans="1:14" s="3" customFormat="1" ht="12.2" customHeight="1">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c r="A529" s="21" t="s">
        <v>635</v>
      </c>
      <c r="B529" s="22">
        <v>21</v>
      </c>
      <c r="C529" s="22">
        <v>7</v>
      </c>
      <c r="D529" s="2" t="s">
        <v>432</v>
      </c>
      <c r="E529" s="22"/>
      <c r="F529" s="18"/>
      <c r="G529" s="18"/>
      <c r="H529" s="18">
        <v>500</v>
      </c>
      <c r="I529" s="18"/>
      <c r="J529" s="18"/>
      <c r="K529" s="18"/>
      <c r="L529" s="69">
        <f>SUM(F529:K529)</f>
        <v>500</v>
      </c>
      <c r="M529" s="8"/>
      <c r="N529" s="165"/>
    </row>
    <row r="530" spans="1:14" s="3" customFormat="1" ht="12.2" customHeight="1" thickTop="1">
      <c r="A530" s="97" t="s">
        <v>65</v>
      </c>
      <c r="B530" s="41">
        <v>21</v>
      </c>
      <c r="C530" s="41">
        <v>8</v>
      </c>
      <c r="D530" s="115" t="s">
        <v>432</v>
      </c>
      <c r="E530" s="41"/>
      <c r="F530" s="70">
        <f>SUM(F527:F529)</f>
        <v>167119.9</v>
      </c>
      <c r="G530" s="70">
        <f t="shared" ref="G530:L530" si="37">SUM(G527:G529)</f>
        <v>85231.15</v>
      </c>
      <c r="H530" s="70">
        <f t="shared" si="37"/>
        <v>68601.23</v>
      </c>
      <c r="I530" s="70">
        <f t="shared" si="37"/>
        <v>1112.1600000000001</v>
      </c>
      <c r="J530" s="70">
        <f t="shared" si="37"/>
        <v>0</v>
      </c>
      <c r="K530" s="70">
        <f t="shared" si="37"/>
        <v>2411.4299999999998</v>
      </c>
      <c r="L530" s="70">
        <f t="shared" si="37"/>
        <v>324475.86999999994</v>
      </c>
      <c r="M530" s="8"/>
      <c r="N530" s="165"/>
    </row>
    <row r="531" spans="1:14" s="3" customFormat="1" ht="12.2" customHeight="1">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c r="A532" s="21" t="s">
        <v>633</v>
      </c>
      <c r="B532" s="22">
        <v>21</v>
      </c>
      <c r="C532" s="22">
        <v>9</v>
      </c>
      <c r="D532" s="2" t="s">
        <v>432</v>
      </c>
      <c r="E532" s="22"/>
      <c r="F532" s="18">
        <v>130318</v>
      </c>
      <c r="G532" s="18">
        <v>66462.179999999993</v>
      </c>
      <c r="H532" s="18">
        <v>1500</v>
      </c>
      <c r="I532" s="18"/>
      <c r="J532" s="18"/>
      <c r="K532" s="18"/>
      <c r="L532" s="69">
        <f>SUM(F532:K532)</f>
        <v>198280.18</v>
      </c>
      <c r="M532" s="8"/>
      <c r="N532" s="165"/>
    </row>
    <row r="533" spans="1:14" s="3" customFormat="1" ht="12.2" customHeight="1">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c r="A535" s="97" t="s">
        <v>67</v>
      </c>
      <c r="B535" s="41">
        <v>21</v>
      </c>
      <c r="C535" s="41">
        <v>12</v>
      </c>
      <c r="D535" s="115" t="s">
        <v>432</v>
      </c>
      <c r="E535" s="41"/>
      <c r="F535" s="70">
        <f>SUM(F532:F534)</f>
        <v>130318</v>
      </c>
      <c r="G535" s="70">
        <f>SUM(G532:G534)</f>
        <v>66462.179999999993</v>
      </c>
      <c r="H535" s="70">
        <f>SUM(H532:H534)</f>
        <v>1500</v>
      </c>
      <c r="I535" s="70">
        <f t="shared" ref="I535:L535" si="38">SUM(I532:I534)</f>
        <v>0</v>
      </c>
      <c r="J535" s="70">
        <f t="shared" si="38"/>
        <v>0</v>
      </c>
      <c r="K535" s="70">
        <f t="shared" si="38"/>
        <v>0</v>
      </c>
      <c r="L535" s="70">
        <f t="shared" si="38"/>
        <v>198280.18</v>
      </c>
      <c r="M535" s="8"/>
      <c r="N535" s="165"/>
    </row>
    <row r="536" spans="1:14" s="3" customFormat="1" ht="12.2" customHeight="1">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c r="A537" s="21" t="s">
        <v>633</v>
      </c>
      <c r="B537" s="22">
        <v>21</v>
      </c>
      <c r="C537" s="22">
        <v>13</v>
      </c>
      <c r="D537" s="2" t="s">
        <v>432</v>
      </c>
      <c r="E537" s="22"/>
      <c r="F537" s="4">
        <v>0</v>
      </c>
      <c r="G537" s="4"/>
      <c r="H537" s="4"/>
      <c r="I537" s="18"/>
      <c r="J537" s="18"/>
      <c r="K537" s="18"/>
      <c r="L537" s="69">
        <f>SUM(F537:K537)</f>
        <v>0</v>
      </c>
      <c r="M537" s="8"/>
      <c r="N537" s="165"/>
    </row>
    <row r="538" spans="1:14" s="3" customFormat="1" ht="12.2" customHeight="1">
      <c r="A538" s="21" t="s">
        <v>634</v>
      </c>
      <c r="B538" s="22">
        <v>21</v>
      </c>
      <c r="C538" s="22">
        <v>14</v>
      </c>
      <c r="D538" s="2" t="s">
        <v>432</v>
      </c>
      <c r="E538" s="22"/>
      <c r="F538" s="18">
        <v>0</v>
      </c>
      <c r="G538" s="18"/>
      <c r="H538" s="18"/>
      <c r="I538" s="18"/>
      <c r="J538" s="18"/>
      <c r="K538" s="18"/>
      <c r="L538" s="69">
        <f>SUM(F538:K538)</f>
        <v>0</v>
      </c>
      <c r="M538" s="8"/>
      <c r="N538" s="165"/>
    </row>
    <row r="539" spans="1:14" s="3" customFormat="1" ht="12.2" customHeight="1" thickBot="1">
      <c r="A539" s="21" t="s">
        <v>635</v>
      </c>
      <c r="B539" s="22">
        <v>21</v>
      </c>
      <c r="C539" s="22">
        <v>15</v>
      </c>
      <c r="D539" s="2" t="s">
        <v>432</v>
      </c>
      <c r="E539" s="22"/>
      <c r="F539" s="18">
        <v>0</v>
      </c>
      <c r="G539" s="18"/>
      <c r="H539" s="18"/>
      <c r="I539" s="18"/>
      <c r="J539" s="18"/>
      <c r="K539" s="18"/>
      <c r="L539" s="69">
        <f>SUM(F539:K539)</f>
        <v>0</v>
      </c>
      <c r="M539" s="8"/>
      <c r="N539" s="165"/>
    </row>
    <row r="540" spans="1:14" s="3" customFormat="1" ht="12.2" customHeight="1" thickTop="1">
      <c r="A540" s="97" t="s">
        <v>69</v>
      </c>
      <c r="B540" s="41">
        <v>21</v>
      </c>
      <c r="C540" s="41">
        <v>16</v>
      </c>
      <c r="D540" s="115" t="s">
        <v>432</v>
      </c>
      <c r="E540" s="41"/>
      <c r="F540" s="70">
        <f>SUM(F532:F539)</f>
        <v>260636</v>
      </c>
      <c r="G540" s="70">
        <f>SUM(G532:G539)</f>
        <v>132924.35999999999</v>
      </c>
      <c r="H540" s="70">
        <f>SUM(H532:H539)</f>
        <v>3000</v>
      </c>
      <c r="I540" s="70">
        <f t="shared" ref="I540:L540" si="39">SUM(I537:I539)</f>
        <v>0</v>
      </c>
      <c r="J540" s="70">
        <f t="shared" si="39"/>
        <v>0</v>
      </c>
      <c r="K540" s="70">
        <f t="shared" si="39"/>
        <v>0</v>
      </c>
      <c r="L540" s="70">
        <f t="shared" si="39"/>
        <v>0</v>
      </c>
      <c r="M540" s="8"/>
      <c r="N540" s="165"/>
    </row>
    <row r="541" spans="1:14" s="3" customFormat="1" ht="12.2" customHeight="1">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c r="A542" s="21" t="s">
        <v>633</v>
      </c>
      <c r="B542" s="22">
        <v>21</v>
      </c>
      <c r="C542" s="22">
        <v>17</v>
      </c>
      <c r="D542" s="2" t="s">
        <v>432</v>
      </c>
      <c r="E542" s="22"/>
      <c r="F542" s="18"/>
      <c r="G542" s="18"/>
      <c r="H542" s="18">
        <v>96120.24</v>
      </c>
      <c r="I542" s="18"/>
      <c r="J542" s="18"/>
      <c r="K542" s="18"/>
      <c r="L542" s="69">
        <f>SUM(F542:K542)</f>
        <v>96120.24</v>
      </c>
      <c r="M542" s="8"/>
      <c r="N542" s="165"/>
    </row>
    <row r="543" spans="1:14" s="3" customFormat="1" ht="12.2" customHeight="1">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c r="A545" s="93" t="s">
        <v>71</v>
      </c>
      <c r="B545" s="63">
        <v>21</v>
      </c>
      <c r="C545" s="63">
        <v>20</v>
      </c>
      <c r="D545" s="140" t="s">
        <v>432</v>
      </c>
      <c r="E545" s="63"/>
      <c r="F545" s="141">
        <f>SUM(F542:F544)</f>
        <v>0</v>
      </c>
      <c r="G545" s="141">
        <f t="shared" ref="G545:L545" si="40">SUM(G542:G544)</f>
        <v>0</v>
      </c>
      <c r="H545" s="141">
        <f t="shared" si="40"/>
        <v>96120.24</v>
      </c>
      <c r="I545" s="141">
        <f t="shared" si="40"/>
        <v>0</v>
      </c>
      <c r="J545" s="141">
        <f t="shared" si="40"/>
        <v>0</v>
      </c>
      <c r="K545" s="141">
        <f t="shared" si="40"/>
        <v>0</v>
      </c>
      <c r="L545" s="141">
        <f t="shared" si="40"/>
        <v>96120.24</v>
      </c>
      <c r="M545" s="8"/>
      <c r="N545" s="165"/>
    </row>
    <row r="546" spans="1:14" s="3" customFormat="1" ht="12.2" customHeight="1" thickTop="1">
      <c r="A546" s="75" t="s">
        <v>72</v>
      </c>
      <c r="B546" s="41">
        <v>21</v>
      </c>
      <c r="C546" s="41">
        <v>21</v>
      </c>
      <c r="D546" s="115" t="s">
        <v>432</v>
      </c>
      <c r="E546" s="41"/>
      <c r="F546" s="70">
        <f>F525+F530+F535+F540+F545</f>
        <v>922004.52</v>
      </c>
      <c r="G546" s="70">
        <f t="shared" ref="G546:L546" si="41">G525+G530+G535+G540+G545</f>
        <v>470222.29</v>
      </c>
      <c r="H546" s="70">
        <f t="shared" si="41"/>
        <v>380064.87999999995</v>
      </c>
      <c r="I546" s="70">
        <f t="shared" si="41"/>
        <v>9599.0499999999993</v>
      </c>
      <c r="J546" s="70">
        <f t="shared" si="41"/>
        <v>0</v>
      </c>
      <c r="K546" s="70">
        <f t="shared" si="41"/>
        <v>2411.4299999999998</v>
      </c>
      <c r="L546" s="70">
        <f t="shared" si="41"/>
        <v>1387741.8099999998</v>
      </c>
      <c r="M546" s="8"/>
      <c r="N546" s="165"/>
    </row>
    <row r="547" spans="1:14" s="3" customFormat="1" ht="12.2" customHeight="1">
      <c r="A547" s="21"/>
      <c r="B547" s="22"/>
      <c r="C547" s="22"/>
      <c r="D547" s="22"/>
      <c r="E547" s="22"/>
      <c r="F547" s="69"/>
      <c r="G547" s="69"/>
      <c r="H547" s="69"/>
      <c r="I547" s="69"/>
      <c r="J547" s="69"/>
      <c r="K547" s="69"/>
      <c r="L547" s="69"/>
      <c r="M547" s="8"/>
      <c r="N547" s="165"/>
    </row>
    <row r="548" spans="1:14" s="3" customFormat="1" ht="12.2" customHeight="1">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c r="A550" s="21" t="s">
        <v>633</v>
      </c>
      <c r="B550" s="22">
        <v>21</v>
      </c>
      <c r="C550" s="22">
        <v>22</v>
      </c>
      <c r="D550" s="2" t="s">
        <v>432</v>
      </c>
      <c r="E550" s="22"/>
      <c r="F550" s="69">
        <f>L522</f>
        <v>613215.72</v>
      </c>
      <c r="G550" s="69">
        <f>L527</f>
        <v>323975.86999999994</v>
      </c>
      <c r="H550" s="69">
        <f>L532</f>
        <v>198280.18</v>
      </c>
      <c r="I550" s="69">
        <f>L537</f>
        <v>0</v>
      </c>
      <c r="J550" s="69">
        <f>L542</f>
        <v>96120.24</v>
      </c>
      <c r="K550" s="69">
        <f>SUM(F550:J550)</f>
        <v>1231592.0099999998</v>
      </c>
      <c r="L550" s="23" t="s">
        <v>288</v>
      </c>
      <c r="M550" s="8"/>
      <c r="N550" s="165"/>
    </row>
    <row r="551" spans="1:14" s="3" customFormat="1" ht="12.2" customHeight="1">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c r="A552" s="21" t="s">
        <v>635</v>
      </c>
      <c r="B552" s="22">
        <v>21</v>
      </c>
      <c r="C552" s="22">
        <v>24</v>
      </c>
      <c r="D552" s="2" t="s">
        <v>432</v>
      </c>
      <c r="E552" s="22"/>
      <c r="F552" s="69">
        <f>L524</f>
        <v>155649.79999999999</v>
      </c>
      <c r="G552" s="69">
        <f>L529</f>
        <v>500</v>
      </c>
      <c r="H552" s="69">
        <f>L534</f>
        <v>0</v>
      </c>
      <c r="I552" s="69">
        <f>L539</f>
        <v>0</v>
      </c>
      <c r="J552" s="69">
        <f>L544</f>
        <v>0</v>
      </c>
      <c r="K552" s="69">
        <f>SUM(F552:J552)</f>
        <v>156149.79999999999</v>
      </c>
      <c r="L552" s="23" t="s">
        <v>288</v>
      </c>
      <c r="M552" s="8"/>
      <c r="N552" s="165"/>
    </row>
    <row r="553" spans="1:14" s="3" customFormat="1" ht="12.2" customHeight="1" thickTop="1">
      <c r="A553" s="126" t="s">
        <v>340</v>
      </c>
      <c r="B553" s="41">
        <v>21</v>
      </c>
      <c r="C553" s="41">
        <v>25</v>
      </c>
      <c r="D553" s="36" t="s">
        <v>432</v>
      </c>
      <c r="E553" s="41"/>
      <c r="F553" s="70">
        <f t="shared" ref="F553:K553" si="42">SUM(F550:F552)</f>
        <v>768865.52</v>
      </c>
      <c r="G553" s="70">
        <f t="shared" si="42"/>
        <v>324475.86999999994</v>
      </c>
      <c r="H553" s="70">
        <f t="shared" si="42"/>
        <v>198280.18</v>
      </c>
      <c r="I553" s="70">
        <f t="shared" si="42"/>
        <v>0</v>
      </c>
      <c r="J553" s="70">
        <f t="shared" si="42"/>
        <v>96120.24</v>
      </c>
      <c r="K553" s="70">
        <f t="shared" si="42"/>
        <v>1387741.8099999998</v>
      </c>
      <c r="L553" s="23"/>
      <c r="M553" s="8"/>
      <c r="N553" s="165"/>
    </row>
    <row r="554" spans="1:14" s="3" customFormat="1" ht="12.2" customHeight="1">
      <c r="A554" s="74" t="s">
        <v>580</v>
      </c>
      <c r="B554" s="22"/>
      <c r="C554" s="22"/>
      <c r="D554" s="22"/>
      <c r="E554" s="22"/>
      <c r="F554" s="69"/>
      <c r="G554" s="69"/>
      <c r="H554" s="69"/>
      <c r="I554" s="69"/>
      <c r="J554" s="69"/>
      <c r="K554" s="69"/>
      <c r="L554" s="69"/>
      <c r="M554" s="8"/>
      <c r="N554" s="165"/>
    </row>
    <row r="555" spans="1:14" s="3" customFormat="1" ht="12.2" customHeight="1">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c r="A573" s="74"/>
      <c r="B573" s="22"/>
      <c r="C573" s="22"/>
      <c r="D573" s="22"/>
      <c r="E573" s="22"/>
      <c r="F573" s="69"/>
      <c r="G573" s="69"/>
      <c r="H573" s="69"/>
      <c r="I573" s="69"/>
      <c r="J573" s="69"/>
      <c r="K573" s="69"/>
      <c r="L573" s="69"/>
      <c r="M573" s="8"/>
      <c r="N573" s="165"/>
    </row>
    <row r="574" spans="1:14" s="3" customFormat="1" ht="12.2" customHeight="1">
      <c r="A574" s="74" t="s">
        <v>771</v>
      </c>
      <c r="B574" s="22"/>
      <c r="C574" s="22"/>
      <c r="D574" s="22"/>
      <c r="E574" s="22"/>
      <c r="F574" s="69"/>
      <c r="G574" s="69"/>
      <c r="H574" s="69"/>
      <c r="I574" s="69"/>
      <c r="J574" s="69"/>
      <c r="K574" s="69"/>
      <c r="L574" s="69"/>
      <c r="M574" s="8"/>
      <c r="N574" s="165"/>
    </row>
    <row r="575" spans="1:14" s="3" customFormat="1" ht="12.2" customHeight="1">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c r="A576" s="21" t="s">
        <v>669</v>
      </c>
      <c r="B576" s="22">
        <v>22</v>
      </c>
      <c r="C576" s="22">
        <v>14</v>
      </c>
      <c r="D576" s="2" t="s">
        <v>432</v>
      </c>
      <c r="E576" s="22">
        <v>561</v>
      </c>
      <c r="F576" s="18"/>
      <c r="G576" s="18"/>
      <c r="H576" s="18">
        <v>3439638.19</v>
      </c>
      <c r="I576" s="69">
        <f>SUM(F576:H576)</f>
        <v>3439638.19</v>
      </c>
      <c r="J576" s="23" t="s">
        <v>288</v>
      </c>
      <c r="K576" s="23" t="s">
        <v>288</v>
      </c>
      <c r="L576" s="23" t="s">
        <v>288</v>
      </c>
      <c r="M576" s="8"/>
      <c r="N576" s="165"/>
    </row>
    <row r="577" spans="1:14" s="3" customFormat="1" ht="12.2" customHeight="1">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c r="A580" s="21" t="s">
        <v>671</v>
      </c>
      <c r="B580" s="22">
        <v>22</v>
      </c>
      <c r="C580" s="22">
        <v>18</v>
      </c>
      <c r="D580" s="2" t="s">
        <v>432</v>
      </c>
      <c r="E580" s="22">
        <v>561</v>
      </c>
      <c r="F580" s="4"/>
      <c r="G580" s="18"/>
      <c r="H580" s="18">
        <v>36613.49</v>
      </c>
      <c r="I580" s="69">
        <f t="shared" si="47"/>
        <v>36613.49</v>
      </c>
      <c r="J580" s="23" t="s">
        <v>288</v>
      </c>
      <c r="K580" s="23" t="s">
        <v>288</v>
      </c>
      <c r="L580" s="23" t="s">
        <v>288</v>
      </c>
      <c r="M580" s="8"/>
      <c r="N580" s="165"/>
    </row>
    <row r="581" spans="1:14" s="3" customFormat="1" ht="12.2" customHeight="1">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c r="A583" s="103" t="s">
        <v>673</v>
      </c>
      <c r="B583" s="22">
        <v>22</v>
      </c>
      <c r="C583" s="22">
        <v>21</v>
      </c>
      <c r="D583" s="2" t="s">
        <v>432</v>
      </c>
      <c r="E583" s="22">
        <v>564</v>
      </c>
      <c r="F583" s="18">
        <v>88878.79</v>
      </c>
      <c r="G583" s="18"/>
      <c r="H583" s="18"/>
      <c r="I583" s="69">
        <f>SUM(F583:H583)</f>
        <v>88878.79</v>
      </c>
      <c r="J583" s="23" t="s">
        <v>288</v>
      </c>
      <c r="K583" s="23" t="s">
        <v>288</v>
      </c>
      <c r="L583" s="23" t="s">
        <v>288</v>
      </c>
      <c r="M583" s="8"/>
      <c r="N583" s="165"/>
    </row>
    <row r="584" spans="1:14" s="3" customFormat="1" ht="12.2" customHeight="1">
      <c r="A584" s="103" t="s">
        <v>636</v>
      </c>
      <c r="B584" s="22">
        <v>22</v>
      </c>
      <c r="C584" s="22">
        <v>22</v>
      </c>
      <c r="D584" s="2" t="s">
        <v>432</v>
      </c>
      <c r="E584" s="22">
        <v>569</v>
      </c>
      <c r="F584" s="18"/>
      <c r="G584" s="18"/>
      <c r="H584" s="18"/>
      <c r="I584" s="69">
        <f>SUM(F584:H584)</f>
        <v>0</v>
      </c>
      <c r="J584" s="23" t="s">
        <v>288</v>
      </c>
      <c r="K584" s="23" t="s">
        <v>288</v>
      </c>
      <c r="L584" s="23" t="s">
        <v>288</v>
      </c>
      <c r="M584" s="8"/>
      <c r="N584" s="165"/>
    </row>
    <row r="585" spans="1:14" s="3" customFormat="1" ht="12.2" customHeight="1">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c r="A589" s="127" t="s">
        <v>743</v>
      </c>
      <c r="B589" s="22"/>
      <c r="C589" s="22"/>
      <c r="D589" s="22"/>
      <c r="E589" s="22"/>
      <c r="F589" s="79"/>
      <c r="G589" s="79"/>
      <c r="H589" s="79"/>
      <c r="I589" s="79"/>
      <c r="J589" s="79"/>
      <c r="K589" s="79"/>
      <c r="L589" s="79"/>
      <c r="M589" s="8"/>
      <c r="N589" s="165"/>
    </row>
    <row r="590" spans="1:14" s="3" customFormat="1" ht="12.2" customHeight="1">
      <c r="A590" s="104" t="s">
        <v>654</v>
      </c>
      <c r="B590" s="22"/>
      <c r="C590" s="22"/>
      <c r="D590" s="22"/>
      <c r="E590" s="22"/>
      <c r="F590" s="79"/>
      <c r="G590" s="79"/>
      <c r="H590" s="79"/>
      <c r="I590" s="79"/>
      <c r="J590" s="79"/>
      <c r="K590" s="79"/>
      <c r="L590" s="79"/>
      <c r="M590" s="8"/>
      <c r="N590" s="165"/>
    </row>
    <row r="591" spans="1:14" s="3" customFormat="1" ht="12.2" customHeight="1">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c r="A592" s="3" t="s">
        <v>637</v>
      </c>
      <c r="B592" s="22">
        <v>23</v>
      </c>
      <c r="C592" s="22">
        <v>1</v>
      </c>
      <c r="D592" s="2" t="s">
        <v>432</v>
      </c>
      <c r="E592" s="22"/>
      <c r="F592" s="78">
        <v>2721</v>
      </c>
      <c r="G592" s="79" t="s">
        <v>97</v>
      </c>
      <c r="H592" s="18">
        <v>216376.64</v>
      </c>
      <c r="I592" s="18"/>
      <c r="J592" s="18">
        <v>165371.16</v>
      </c>
      <c r="K592" s="80">
        <f t="shared" ref="K592:K598" si="48">SUM(H592:J592)</f>
        <v>381747.80000000005</v>
      </c>
      <c r="L592" s="23" t="s">
        <v>288</v>
      </c>
      <c r="M592" s="8"/>
      <c r="N592" s="165"/>
    </row>
    <row r="593" spans="1:14" s="3" customFormat="1" ht="12.2" customHeight="1">
      <c r="A593" s="3" t="s">
        <v>638</v>
      </c>
      <c r="B593" s="22">
        <v>23</v>
      </c>
      <c r="C593" s="22">
        <v>2</v>
      </c>
      <c r="D593" s="2" t="s">
        <v>432</v>
      </c>
      <c r="E593" s="22"/>
      <c r="F593" s="78">
        <v>2722</v>
      </c>
      <c r="G593" s="79" t="s">
        <v>97</v>
      </c>
      <c r="H593" s="18">
        <v>96120.24</v>
      </c>
      <c r="I593" s="18"/>
      <c r="J593" s="18"/>
      <c r="K593" s="80">
        <f t="shared" si="48"/>
        <v>96120.24</v>
      </c>
      <c r="L593" s="23" t="s">
        <v>288</v>
      </c>
      <c r="M593" s="8"/>
      <c r="N593" s="165"/>
    </row>
    <row r="594" spans="1:14" s="3" customFormat="1" ht="12.2" customHeight="1">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c r="A595" s="21" t="s">
        <v>640</v>
      </c>
      <c r="B595" s="22">
        <v>23</v>
      </c>
      <c r="C595" s="22">
        <v>4</v>
      </c>
      <c r="D595" s="2" t="s">
        <v>432</v>
      </c>
      <c r="E595" s="22"/>
      <c r="F595" s="78">
        <v>2724</v>
      </c>
      <c r="G595" s="79" t="s">
        <v>97</v>
      </c>
      <c r="H595" s="18">
        <v>9433.27</v>
      </c>
      <c r="I595" s="18"/>
      <c r="J595" s="18"/>
      <c r="K595" s="80">
        <f t="shared" si="48"/>
        <v>9433.27</v>
      </c>
      <c r="L595" s="23" t="s">
        <v>288</v>
      </c>
      <c r="M595" s="8"/>
      <c r="N595" s="165"/>
    </row>
    <row r="596" spans="1:14" s="3" customFormat="1" ht="12.2" customHeight="1">
      <c r="A596" s="103" t="s">
        <v>652</v>
      </c>
      <c r="B596" s="22">
        <v>23</v>
      </c>
      <c r="C596" s="22">
        <v>5</v>
      </c>
      <c r="D596" s="2" t="s">
        <v>432</v>
      </c>
      <c r="E596" s="22"/>
      <c r="F596" s="78">
        <v>2725</v>
      </c>
      <c r="G596" s="79" t="s">
        <v>97</v>
      </c>
      <c r="H596" s="18">
        <v>8812.17</v>
      </c>
      <c r="I596" s="18"/>
      <c r="J596" s="18"/>
      <c r="K596" s="80">
        <f t="shared" si="48"/>
        <v>8812.17</v>
      </c>
      <c r="L596" s="23" t="s">
        <v>288</v>
      </c>
      <c r="M596" s="8"/>
      <c r="N596" s="165"/>
    </row>
    <row r="597" spans="1:14" s="3" customFormat="1" ht="12.2" customHeight="1">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c r="A599" s="75" t="s">
        <v>340</v>
      </c>
      <c r="B599" s="41">
        <v>23</v>
      </c>
      <c r="C599" s="41">
        <v>8</v>
      </c>
      <c r="D599" s="36" t="s">
        <v>432</v>
      </c>
      <c r="E599" s="41"/>
      <c r="F599" s="105">
        <v>2700</v>
      </c>
      <c r="G599" s="106" t="s">
        <v>97</v>
      </c>
      <c r="H599" s="81">
        <f>SUM(H592:H598)</f>
        <v>330742.32</v>
      </c>
      <c r="I599" s="81">
        <f>SUM(I592:I598)</f>
        <v>0</v>
      </c>
      <c r="J599" s="81">
        <f>SUM(J592:J598)</f>
        <v>165371.16</v>
      </c>
      <c r="K599" s="81">
        <f>SUM(K592:K598)</f>
        <v>496113.48000000004</v>
      </c>
      <c r="L599" s="23" t="s">
        <v>288</v>
      </c>
      <c r="M599" s="8"/>
      <c r="N599" s="165"/>
    </row>
    <row r="600" spans="1:14" s="3" customFormat="1" ht="12.2" customHeight="1">
      <c r="A600" s="21"/>
      <c r="B600" s="22"/>
      <c r="C600" s="22"/>
      <c r="D600" s="22"/>
      <c r="E600" s="22"/>
      <c r="F600" s="79"/>
      <c r="G600" s="79"/>
      <c r="H600" s="79"/>
      <c r="I600" s="79"/>
      <c r="J600" s="79"/>
      <c r="K600" s="79"/>
      <c r="L600" s="79"/>
      <c r="M600" s="8"/>
      <c r="N600" s="165"/>
    </row>
    <row r="601" spans="1:14" s="3" customFormat="1" ht="12.2" customHeight="1">
      <c r="A601" s="74" t="s">
        <v>98</v>
      </c>
      <c r="B601" s="22"/>
      <c r="C601" s="22"/>
      <c r="D601" s="22"/>
      <c r="E601" s="22"/>
      <c r="F601" s="79"/>
      <c r="G601" s="79"/>
      <c r="H601" s="79"/>
      <c r="I601" s="79"/>
      <c r="J601" s="79"/>
      <c r="K601" s="79"/>
      <c r="L601" s="79"/>
      <c r="M601" s="8"/>
      <c r="N601" s="165"/>
    </row>
    <row r="602" spans="1:14" s="3" customFormat="1" ht="12.2" customHeight="1">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c r="A605" s="21" t="s">
        <v>644</v>
      </c>
      <c r="B605" s="22">
        <v>23</v>
      </c>
      <c r="C605" s="22">
        <v>11</v>
      </c>
      <c r="D605" s="2" t="s">
        <v>432</v>
      </c>
      <c r="E605" s="22"/>
      <c r="F605" s="79" t="s">
        <v>476</v>
      </c>
      <c r="G605" s="78">
        <v>730</v>
      </c>
      <c r="H605" s="18">
        <v>117468.37</v>
      </c>
      <c r="I605" s="18"/>
      <c r="J605" s="18"/>
      <c r="K605" s="80">
        <f>SUM(H605:J605)</f>
        <v>117468.37</v>
      </c>
      <c r="L605" s="23" t="s">
        <v>288</v>
      </c>
      <c r="M605" s="8"/>
      <c r="N605" s="165"/>
    </row>
    <row r="606" spans="1:14" s="3" customFormat="1" ht="12.2" customHeight="1" thickTop="1">
      <c r="A606" s="75" t="s">
        <v>340</v>
      </c>
      <c r="B606" s="41">
        <v>23</v>
      </c>
      <c r="C606" s="41">
        <v>12</v>
      </c>
      <c r="D606" s="36" t="s">
        <v>432</v>
      </c>
      <c r="E606" s="41"/>
      <c r="F606" s="106" t="s">
        <v>476</v>
      </c>
      <c r="G606" s="105">
        <v>700</v>
      </c>
      <c r="H606" s="81">
        <f>SUM(H603:H605)</f>
        <v>117468.37</v>
      </c>
      <c r="I606" s="81">
        <f>SUM(I603:I605)</f>
        <v>0</v>
      </c>
      <c r="J606" s="81">
        <f>SUM(J603:J605)</f>
        <v>0</v>
      </c>
      <c r="K606" s="81">
        <f>SUM(K603:K605)</f>
        <v>117468.37</v>
      </c>
      <c r="L606" s="23" t="s">
        <v>288</v>
      </c>
      <c r="M606" s="8"/>
      <c r="N606" s="165"/>
    </row>
    <row r="607" spans="1:14" s="3" customFormat="1" ht="12.2" customHeight="1">
      <c r="A607" s="21"/>
      <c r="B607" s="22"/>
      <c r="C607" s="22"/>
      <c r="D607" s="22"/>
      <c r="E607" s="22"/>
      <c r="F607" s="79"/>
      <c r="G607" s="79"/>
      <c r="H607" s="79"/>
      <c r="I607" s="79"/>
      <c r="J607" s="79"/>
      <c r="K607" s="79"/>
      <c r="L607" s="69"/>
      <c r="M607" s="8"/>
      <c r="N607" s="165"/>
    </row>
    <row r="608" spans="1:14" s="3" customFormat="1" ht="12.2" customHeight="1">
      <c r="A608" s="74"/>
      <c r="B608" s="22"/>
      <c r="C608" s="22"/>
      <c r="D608" s="22"/>
      <c r="E608" s="22"/>
      <c r="F608" s="79"/>
      <c r="G608" s="79"/>
      <c r="H608" s="79"/>
      <c r="I608" s="79"/>
      <c r="J608" s="79"/>
      <c r="K608" s="79"/>
      <c r="L608" s="69"/>
      <c r="M608" s="8"/>
      <c r="N608" s="165"/>
    </row>
    <row r="609" spans="1:14" s="3" customFormat="1" ht="12.2" customHeight="1">
      <c r="A609" s="74" t="s">
        <v>581</v>
      </c>
      <c r="B609" s="22"/>
      <c r="C609" s="22"/>
      <c r="D609" s="22"/>
      <c r="E609" s="22"/>
      <c r="F609" s="79"/>
      <c r="G609" s="79"/>
      <c r="H609" s="79"/>
      <c r="I609" s="79"/>
      <c r="J609" s="79"/>
      <c r="K609" s="79"/>
      <c r="L609" s="69"/>
      <c r="M609" s="8"/>
      <c r="N609" s="165"/>
    </row>
    <row r="610" spans="1:14" s="3" customFormat="1" ht="12.2" customHeight="1">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c r="A612" s="21" t="s">
        <v>633</v>
      </c>
      <c r="B612" s="22">
        <v>23</v>
      </c>
      <c r="C612" s="22">
        <v>13</v>
      </c>
      <c r="D612" s="2" t="s">
        <v>432</v>
      </c>
      <c r="E612" s="22"/>
      <c r="F612" s="18">
        <v>30502</v>
      </c>
      <c r="G612" s="18"/>
      <c r="H612" s="18"/>
      <c r="I612" s="18"/>
      <c r="J612" s="18"/>
      <c r="K612" s="18"/>
      <c r="L612" s="69">
        <f>SUM(F612:K612)</f>
        <v>30502</v>
      </c>
      <c r="M612" s="8"/>
      <c r="N612" s="165"/>
    </row>
    <row r="613" spans="1:14" s="3" customFormat="1" ht="12.2" customHeight="1">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c r="A615" s="75" t="s">
        <v>340</v>
      </c>
      <c r="B615" s="41">
        <v>23</v>
      </c>
      <c r="C615" s="41">
        <v>16</v>
      </c>
      <c r="D615" s="36" t="s">
        <v>432</v>
      </c>
      <c r="E615" s="41"/>
      <c r="F615" s="81">
        <f t="shared" ref="F615:L615" si="49">SUM(F612:F614)</f>
        <v>30502</v>
      </c>
      <c r="G615" s="81">
        <f t="shared" si="49"/>
        <v>0</v>
      </c>
      <c r="H615" s="81">
        <f t="shared" si="49"/>
        <v>0</v>
      </c>
      <c r="I615" s="81">
        <f t="shared" si="49"/>
        <v>0</v>
      </c>
      <c r="J615" s="81">
        <f t="shared" si="49"/>
        <v>0</v>
      </c>
      <c r="K615" s="81">
        <f t="shared" si="49"/>
        <v>0</v>
      </c>
      <c r="L615" s="70">
        <f t="shared" si="49"/>
        <v>30502</v>
      </c>
      <c r="M615" s="8"/>
    </row>
    <row r="616" spans="1:14" s="3" customFormat="1" ht="12.2" customHeight="1">
      <c r="A616" s="74"/>
      <c r="B616" s="22"/>
      <c r="C616" s="22"/>
      <c r="D616" s="22"/>
      <c r="E616" s="22"/>
      <c r="F616" s="80"/>
      <c r="G616" s="80"/>
      <c r="H616" s="80"/>
      <c r="I616" s="80"/>
      <c r="J616" s="80"/>
      <c r="K616" s="80"/>
      <c r="L616" s="80"/>
      <c r="M616" s="8"/>
    </row>
    <row r="617" spans="1:14" s="3" customFormat="1" ht="12.2" customHeight="1">
      <c r="A617" s="74"/>
      <c r="B617" s="22"/>
      <c r="C617" s="22"/>
      <c r="D617" s="22"/>
      <c r="E617" s="22"/>
      <c r="F617" s="107" t="s">
        <v>53</v>
      </c>
      <c r="G617" s="108"/>
      <c r="H617" s="108"/>
      <c r="I617" s="107" t="s">
        <v>53</v>
      </c>
      <c r="J617" s="80"/>
      <c r="K617" s="80"/>
      <c r="L617" s="80"/>
      <c r="M617" s="8"/>
    </row>
    <row r="618" spans="1:14" s="3" customFormat="1" ht="12.2" customHeight="1">
      <c r="A618" s="74" t="s">
        <v>99</v>
      </c>
      <c r="B618" s="22"/>
      <c r="C618" s="22"/>
      <c r="D618" s="22"/>
      <c r="E618" s="22"/>
      <c r="F618" s="87" t="s">
        <v>683</v>
      </c>
      <c r="G618" s="80">
        <f>SUM(F19)</f>
        <v>1748251.88</v>
      </c>
      <c r="H618" s="80">
        <f>SUM(F52)</f>
        <v>1748251.88</v>
      </c>
      <c r="I618" s="87" t="s">
        <v>875</v>
      </c>
      <c r="J618" s="80">
        <f>G618-H618</f>
        <v>0</v>
      </c>
      <c r="K618" s="80"/>
      <c r="L618" s="80"/>
      <c r="M618" s="8"/>
    </row>
    <row r="619" spans="1:14" s="3" customFormat="1" ht="12.2" customHeight="1">
      <c r="A619" s="74" t="s">
        <v>100</v>
      </c>
      <c r="B619" s="22"/>
      <c r="C619" s="22"/>
      <c r="D619" s="22"/>
      <c r="E619" s="22"/>
      <c r="F619" s="87" t="s">
        <v>684</v>
      </c>
      <c r="G619" s="80">
        <f>SUM(G19)</f>
        <v>75359.13</v>
      </c>
      <c r="H619" s="80">
        <f>SUM(G52)</f>
        <v>75359.13</v>
      </c>
      <c r="I619" s="87" t="s">
        <v>876</v>
      </c>
      <c r="J619" s="80">
        <f>G619-H619</f>
        <v>0</v>
      </c>
      <c r="K619" s="80"/>
      <c r="L619" s="80"/>
      <c r="M619" s="8"/>
    </row>
    <row r="620" spans="1:14" s="3" customFormat="1" ht="12.2" customHeight="1">
      <c r="A620" s="74"/>
      <c r="B620" s="22"/>
      <c r="C620" s="22"/>
      <c r="D620" s="22"/>
      <c r="E620" s="22"/>
      <c r="F620" s="87" t="s">
        <v>685</v>
      </c>
      <c r="G620" s="80">
        <f>SUM(H19)</f>
        <v>110631.95999999999</v>
      </c>
      <c r="H620" s="80">
        <f>SUM(H52)</f>
        <v>110631.96</v>
      </c>
      <c r="I620" s="87" t="s">
        <v>877</v>
      </c>
      <c r="J620" s="80">
        <f>G620-H620</f>
        <v>0</v>
      </c>
      <c r="K620" s="80"/>
      <c r="L620" s="80"/>
      <c r="M620" s="8"/>
    </row>
    <row r="621" spans="1:14" s="3" customFormat="1" ht="12.2" customHeight="1">
      <c r="A621" s="74"/>
      <c r="B621" s="22"/>
      <c r="C621" s="22"/>
      <c r="D621" s="22"/>
      <c r="E621" s="22"/>
      <c r="F621" s="87" t="s">
        <v>686</v>
      </c>
      <c r="G621" s="80">
        <f>SUM(I19)</f>
        <v>70386.13</v>
      </c>
      <c r="H621" s="80">
        <f>SUM(I52)</f>
        <v>70386.13</v>
      </c>
      <c r="I621" s="87" t="s">
        <v>878</v>
      </c>
      <c r="J621" s="80">
        <f>G621-H621</f>
        <v>0</v>
      </c>
      <c r="K621" s="80"/>
      <c r="L621" s="80"/>
      <c r="M621" s="8"/>
    </row>
    <row r="622" spans="1:14" s="3" customFormat="1" ht="12.2" customHeight="1">
      <c r="A622" s="74"/>
      <c r="B622" s="22"/>
      <c r="C622" s="22"/>
      <c r="D622" s="22"/>
      <c r="E622" s="22"/>
      <c r="F622" s="87" t="s">
        <v>687</v>
      </c>
      <c r="G622" s="80">
        <f>SUM(J19)</f>
        <v>1150872.6500000001</v>
      </c>
      <c r="H622" s="80">
        <f>SUM(J52)</f>
        <v>1150872.6500000001</v>
      </c>
      <c r="I622" s="87" t="s">
        <v>879</v>
      </c>
      <c r="J622" s="80">
        <f>G622-H622</f>
        <v>0</v>
      </c>
      <c r="K622" s="80"/>
      <c r="L622" s="80"/>
      <c r="M622" s="8"/>
    </row>
    <row r="623" spans="1:14" s="3" customFormat="1" ht="12.2" customHeight="1">
      <c r="A623" s="74"/>
      <c r="B623" s="22"/>
      <c r="C623" s="22"/>
      <c r="D623" s="22"/>
      <c r="E623" s="22"/>
      <c r="F623" s="87" t="s">
        <v>865</v>
      </c>
      <c r="G623" s="80">
        <f>F51</f>
        <v>1020798.74</v>
      </c>
      <c r="H623" s="80">
        <f>F477</f>
        <v>1020798.7400000002</v>
      </c>
      <c r="I623" s="87" t="s">
        <v>101</v>
      </c>
      <c r="J623" s="80">
        <f t="shared" ref="J623:J656" si="50">G623-H623</f>
        <v>0</v>
      </c>
      <c r="K623" s="80"/>
      <c r="L623" s="80"/>
      <c r="M623" s="8"/>
    </row>
    <row r="624" spans="1:14" s="3" customFormat="1" ht="12.2" customHeight="1">
      <c r="A624" s="74"/>
      <c r="B624" s="22"/>
      <c r="C624" s="85"/>
      <c r="D624" s="85"/>
      <c r="E624" s="85"/>
      <c r="F624" s="85" t="s">
        <v>866</v>
      </c>
      <c r="G624" s="80">
        <f>G51</f>
        <v>61978.400000000001</v>
      </c>
      <c r="H624" s="80">
        <f>G477</f>
        <v>61978.399999999994</v>
      </c>
      <c r="I624" s="87" t="s">
        <v>102</v>
      </c>
      <c r="J624" s="80">
        <f t="shared" si="50"/>
        <v>0</v>
      </c>
      <c r="K624" s="80"/>
      <c r="L624" s="80"/>
      <c r="M624" s="8"/>
    </row>
    <row r="625" spans="1:13" s="3" customFormat="1" ht="12.2" customHeight="1">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c r="A626" s="74"/>
      <c r="B626" s="22"/>
      <c r="C626" s="22"/>
      <c r="D626" s="22"/>
      <c r="E626" s="22"/>
      <c r="F626" s="86" t="s">
        <v>868</v>
      </c>
      <c r="G626" s="80">
        <f>I51</f>
        <v>70386.13</v>
      </c>
      <c r="H626" s="80">
        <f>I477</f>
        <v>70386.13</v>
      </c>
      <c r="I626" s="87" t="s">
        <v>104</v>
      </c>
      <c r="J626" s="80">
        <f t="shared" si="50"/>
        <v>0</v>
      </c>
      <c r="K626" s="80"/>
      <c r="L626" s="80"/>
      <c r="M626" s="8"/>
    </row>
    <row r="627" spans="1:13" s="3" customFormat="1" ht="12.2" customHeight="1">
      <c r="A627" s="21"/>
      <c r="B627" s="22"/>
      <c r="C627" s="22"/>
      <c r="D627" s="22"/>
      <c r="E627" s="22"/>
      <c r="F627" s="86" t="s">
        <v>869</v>
      </c>
      <c r="G627" s="80">
        <f>J51</f>
        <v>1150872.6500000001</v>
      </c>
      <c r="H627" s="80">
        <f>J477</f>
        <v>1150872.6499999999</v>
      </c>
      <c r="I627" s="87" t="s">
        <v>105</v>
      </c>
      <c r="J627" s="80">
        <f t="shared" si="50"/>
        <v>0</v>
      </c>
      <c r="K627" s="67"/>
      <c r="L627" s="69"/>
      <c r="M627" s="8"/>
    </row>
    <row r="628" spans="1:13" s="3" customFormat="1" ht="12.2" customHeight="1">
      <c r="A628" s="21"/>
      <c r="B628" s="22"/>
      <c r="C628" s="22"/>
      <c r="D628" s="22"/>
      <c r="E628" s="22"/>
      <c r="F628" s="86" t="s">
        <v>658</v>
      </c>
      <c r="G628" s="80">
        <f>F194</f>
        <v>10936710.41</v>
      </c>
      <c r="H628" s="80">
        <f>SUM(F469)</f>
        <v>10936710.41</v>
      </c>
      <c r="I628" s="87" t="s">
        <v>106</v>
      </c>
      <c r="J628" s="80">
        <f>G628-H628</f>
        <v>0</v>
      </c>
      <c r="K628" s="67"/>
      <c r="L628" s="69"/>
      <c r="M628" s="8"/>
    </row>
    <row r="629" spans="1:13" s="3" customFormat="1" ht="12.2" customHeight="1">
      <c r="A629" s="21"/>
      <c r="B629" s="22"/>
      <c r="C629" s="22"/>
      <c r="D629" s="22"/>
      <c r="E629" s="22"/>
      <c r="F629" s="86" t="s">
        <v>659</v>
      </c>
      <c r="G629" s="80">
        <f>G194</f>
        <v>290970.17000000004</v>
      </c>
      <c r="H629" s="80">
        <f>SUM(G469)</f>
        <v>290970.17</v>
      </c>
      <c r="I629" s="87" t="s">
        <v>107</v>
      </c>
      <c r="J629" s="80">
        <f>G629-H629</f>
        <v>0</v>
      </c>
      <c r="K629" s="67"/>
      <c r="L629" s="69"/>
      <c r="M629" s="8"/>
    </row>
    <row r="630" spans="1:13" s="3" customFormat="1" ht="12.2" customHeight="1">
      <c r="A630" s="21"/>
      <c r="B630" s="22"/>
      <c r="C630" s="22"/>
      <c r="D630" s="22"/>
      <c r="E630" s="22"/>
      <c r="F630" s="86" t="s">
        <v>660</v>
      </c>
      <c r="G630" s="80">
        <f>H194</f>
        <v>294129.95999999996</v>
      </c>
      <c r="H630" s="80">
        <f>SUM(H469)</f>
        <v>294129.96000000002</v>
      </c>
      <c r="I630" s="87" t="s">
        <v>108</v>
      </c>
      <c r="J630" s="80">
        <f>G630-H630</f>
        <v>0</v>
      </c>
      <c r="K630" s="67"/>
      <c r="L630" s="69"/>
      <c r="M630" s="8"/>
    </row>
    <row r="631" spans="1:13" s="3" customFormat="1" ht="12.2" customHeight="1">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c r="A632" s="21"/>
      <c r="B632" s="22"/>
      <c r="C632" s="22"/>
      <c r="D632" s="22"/>
      <c r="E632" s="22"/>
      <c r="F632" s="86" t="s">
        <v>662</v>
      </c>
      <c r="G632" s="80">
        <f>J194</f>
        <v>52445.72</v>
      </c>
      <c r="H632" s="80">
        <f>SUM(J469)</f>
        <v>52445.72</v>
      </c>
      <c r="I632" s="87" t="s">
        <v>110</v>
      </c>
      <c r="J632" s="80">
        <f>G632-H632</f>
        <v>0</v>
      </c>
      <c r="K632" s="67"/>
      <c r="L632" s="69"/>
      <c r="M632" s="8"/>
    </row>
    <row r="633" spans="1:13" s="3" customFormat="1" ht="12.2" customHeight="1">
      <c r="A633" s="21"/>
      <c r="B633" s="22"/>
      <c r="C633" s="22"/>
      <c r="D633" s="22"/>
      <c r="E633" s="22"/>
      <c r="F633" s="86" t="s">
        <v>394</v>
      </c>
      <c r="G633" s="80">
        <f>SUM(L272)</f>
        <v>11154600.940000001</v>
      </c>
      <c r="H633" s="80">
        <f>SUM(F473)</f>
        <v>11154600.939999999</v>
      </c>
      <c r="I633" s="87" t="s">
        <v>111</v>
      </c>
      <c r="J633" s="80">
        <f t="shared" si="50"/>
        <v>0</v>
      </c>
      <c r="K633" s="67"/>
      <c r="L633" s="69"/>
      <c r="M633" s="8"/>
    </row>
    <row r="634" spans="1:13" s="3" customFormat="1" ht="12.2" customHeight="1">
      <c r="A634" s="21"/>
      <c r="B634" s="22"/>
      <c r="C634" s="22"/>
      <c r="D634" s="22"/>
      <c r="E634" s="22"/>
      <c r="F634" s="86" t="s">
        <v>395</v>
      </c>
      <c r="G634" s="80">
        <f>SUM(L353)</f>
        <v>294129.95999999996</v>
      </c>
      <c r="H634" s="80">
        <f>SUM(H473)</f>
        <v>294129.96000000002</v>
      </c>
      <c r="I634" s="87" t="s">
        <v>112</v>
      </c>
      <c r="J634" s="80">
        <f>G634-H634</f>
        <v>0</v>
      </c>
      <c r="K634" s="67"/>
      <c r="L634" s="69"/>
      <c r="M634" s="8"/>
    </row>
    <row r="635" spans="1:13" s="124" customFormat="1" ht="12.2" customHeight="1">
      <c r="A635" s="21"/>
      <c r="B635" s="22"/>
      <c r="C635" s="22"/>
      <c r="D635" s="22"/>
      <c r="E635" s="22"/>
      <c r="F635" s="99" t="s">
        <v>247</v>
      </c>
      <c r="G635" s="80">
        <f>I363</f>
        <v>105008.87</v>
      </c>
      <c r="H635" s="80">
        <f>I370</f>
        <v>105008.87</v>
      </c>
      <c r="I635" s="100" t="s">
        <v>248</v>
      </c>
      <c r="J635" s="80">
        <f>G635-H635</f>
        <v>0</v>
      </c>
      <c r="K635" s="67"/>
      <c r="L635" s="69"/>
      <c r="M635" s="123"/>
    </row>
    <row r="636" spans="1:13" s="124" customFormat="1" ht="12.2" customHeight="1">
      <c r="A636" s="21"/>
      <c r="B636" s="22"/>
      <c r="C636" s="22"/>
      <c r="D636" s="22"/>
      <c r="E636" s="22"/>
      <c r="F636" s="86" t="s">
        <v>113</v>
      </c>
      <c r="G636" s="80">
        <f>SUM(L363)</f>
        <v>228991.77000000002</v>
      </c>
      <c r="H636" s="80">
        <f>SUM(G473)</f>
        <v>228991.77</v>
      </c>
      <c r="I636" s="87" t="s">
        <v>114</v>
      </c>
      <c r="J636" s="80">
        <f t="shared" si="50"/>
        <v>0</v>
      </c>
      <c r="K636" s="67"/>
      <c r="L636" s="69"/>
      <c r="M636" s="123"/>
    </row>
    <row r="637" spans="1:13" s="3" customFormat="1" ht="12.2" customHeight="1">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c r="A638" s="117"/>
      <c r="B638" s="118"/>
      <c r="C638" s="118"/>
      <c r="D638" s="118"/>
      <c r="E638" s="118"/>
      <c r="F638" s="119" t="s">
        <v>477</v>
      </c>
      <c r="G638" s="108">
        <f>SUM(L409)</f>
        <v>52445.720000000008</v>
      </c>
      <c r="H638" s="108">
        <f>SUM(J469)</f>
        <v>52445.72</v>
      </c>
      <c r="I638" s="120" t="s">
        <v>110</v>
      </c>
      <c r="J638" s="108">
        <f t="shared" si="50"/>
        <v>0</v>
      </c>
      <c r="K638" s="121"/>
      <c r="L638" s="122"/>
      <c r="M638" s="8"/>
    </row>
    <row r="639" spans="1:13" s="3" customFormat="1" ht="12.2" customHeight="1">
      <c r="A639" s="117"/>
      <c r="B639" s="118"/>
      <c r="C639" s="118"/>
      <c r="D639" s="118"/>
      <c r="E639" s="118"/>
      <c r="F639" s="119" t="s">
        <v>478</v>
      </c>
      <c r="G639" s="108">
        <f>SUM(L435)</f>
        <v>6264</v>
      </c>
      <c r="H639" s="108">
        <f>SUM(J473)</f>
        <v>6264</v>
      </c>
      <c r="I639" s="120" t="s">
        <v>117</v>
      </c>
      <c r="J639" s="108">
        <f t="shared" si="50"/>
        <v>0</v>
      </c>
      <c r="K639" s="121"/>
      <c r="L639" s="122"/>
      <c r="M639" s="8"/>
    </row>
    <row r="640" spans="1:13" s="3" customFormat="1" ht="12.2" customHeight="1">
      <c r="A640" s="21"/>
      <c r="B640" s="22"/>
      <c r="C640" s="22"/>
      <c r="D640" s="22"/>
      <c r="E640" s="22"/>
      <c r="F640" s="86" t="s">
        <v>118</v>
      </c>
      <c r="G640" s="80">
        <f>SUM(F447)</f>
        <v>276019.01</v>
      </c>
      <c r="H640" s="80">
        <f>SUM(F462)</f>
        <v>276019.01</v>
      </c>
      <c r="I640" s="87" t="s">
        <v>841</v>
      </c>
      <c r="J640" s="80">
        <f t="shared" si="50"/>
        <v>0</v>
      </c>
      <c r="K640" s="67"/>
      <c r="L640" s="69"/>
      <c r="M640" s="8"/>
    </row>
    <row r="641" spans="1:13" s="3" customFormat="1" ht="12.2" customHeight="1">
      <c r="A641" s="21"/>
      <c r="B641" s="22"/>
      <c r="C641" s="22"/>
      <c r="D641" s="22"/>
      <c r="E641" s="22"/>
      <c r="F641" s="86" t="s">
        <v>119</v>
      </c>
      <c r="G641" s="80">
        <f>SUM(G447)</f>
        <v>861679.31</v>
      </c>
      <c r="H641" s="80">
        <f>SUM(G462)</f>
        <v>861679.31</v>
      </c>
      <c r="I641" s="87" t="s">
        <v>842</v>
      </c>
      <c r="J641" s="80">
        <f t="shared" si="50"/>
        <v>0</v>
      </c>
      <c r="K641" s="67"/>
      <c r="L641" s="69"/>
      <c r="M641" s="8"/>
    </row>
    <row r="642" spans="1:13" s="3" customFormat="1" ht="12.2" customHeight="1">
      <c r="A642" s="21"/>
      <c r="B642" s="22"/>
      <c r="C642" s="22"/>
      <c r="D642" s="22"/>
      <c r="E642" s="22"/>
      <c r="F642" s="86" t="s">
        <v>120</v>
      </c>
      <c r="G642" s="80">
        <f>SUM(H447)</f>
        <v>13174.33</v>
      </c>
      <c r="H642" s="80">
        <f>SUM(H462)</f>
        <v>13174.33</v>
      </c>
      <c r="I642" s="87" t="s">
        <v>843</v>
      </c>
      <c r="J642" s="80">
        <f t="shared" si="50"/>
        <v>0</v>
      </c>
      <c r="K642" s="67"/>
      <c r="L642" s="69"/>
      <c r="M642" s="8"/>
    </row>
    <row r="643" spans="1:13" s="3" customFormat="1" ht="12.2" customHeight="1">
      <c r="A643" s="21"/>
      <c r="B643" s="22"/>
      <c r="C643" s="22"/>
      <c r="D643" s="22"/>
      <c r="E643" s="22"/>
      <c r="F643" s="86" t="s">
        <v>121</v>
      </c>
      <c r="G643" s="80">
        <f>SUM(I447)</f>
        <v>1150872.6500000001</v>
      </c>
      <c r="H643" s="80">
        <f>SUM(I462)</f>
        <v>1150872.6500000001</v>
      </c>
      <c r="I643" s="87" t="s">
        <v>844</v>
      </c>
      <c r="J643" s="80">
        <f t="shared" si="50"/>
        <v>0</v>
      </c>
      <c r="K643" s="67"/>
      <c r="L643" s="69"/>
      <c r="M643" s="8"/>
    </row>
    <row r="644" spans="1:13" s="3" customFormat="1" ht="12.2" customHeight="1">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c r="A645" s="21"/>
      <c r="B645" s="22"/>
      <c r="C645" s="22"/>
      <c r="D645" s="22"/>
      <c r="E645" s="22"/>
      <c r="F645" s="86" t="s">
        <v>663</v>
      </c>
      <c r="G645" s="80">
        <f>J96</f>
        <v>13826.72</v>
      </c>
      <c r="H645" s="80">
        <f>H409</f>
        <v>13826.720000000003</v>
      </c>
      <c r="I645" s="87" t="s">
        <v>480</v>
      </c>
      <c r="J645" s="80">
        <f t="shared" si="50"/>
        <v>0</v>
      </c>
      <c r="K645" s="67"/>
      <c r="L645" s="69"/>
      <c r="M645" s="8"/>
    </row>
    <row r="646" spans="1:13" s="3" customFormat="1" ht="12.2" customHeight="1">
      <c r="A646" s="21"/>
      <c r="B646" s="22"/>
      <c r="C646" s="22"/>
      <c r="D646" s="22"/>
      <c r="E646" s="22"/>
      <c r="F646" s="86" t="s">
        <v>664</v>
      </c>
      <c r="G646" s="80">
        <f>J184</f>
        <v>38619</v>
      </c>
      <c r="H646" s="80">
        <f>G409</f>
        <v>38619</v>
      </c>
      <c r="I646" s="87" t="s">
        <v>481</v>
      </c>
      <c r="J646" s="80">
        <f t="shared" si="50"/>
        <v>0</v>
      </c>
      <c r="K646" s="67"/>
      <c r="L646" s="69"/>
      <c r="M646" s="8"/>
    </row>
    <row r="647" spans="1:13" s="3" customFormat="1" ht="12.2" customHeight="1">
      <c r="A647" s="21"/>
      <c r="B647" s="22"/>
      <c r="C647" s="22"/>
      <c r="D647" s="22"/>
      <c r="E647" s="22"/>
      <c r="F647" s="86" t="s">
        <v>662</v>
      </c>
      <c r="G647" s="80">
        <f>J194</f>
        <v>52445.72</v>
      </c>
      <c r="H647" s="80">
        <f>L409</f>
        <v>52445.720000000008</v>
      </c>
      <c r="I647" s="87" t="s">
        <v>477</v>
      </c>
      <c r="J647" s="80">
        <f t="shared" si="50"/>
        <v>0</v>
      </c>
      <c r="K647" s="67"/>
      <c r="L647" s="69"/>
      <c r="M647" s="8"/>
    </row>
    <row r="648" spans="1:13" s="3" customFormat="1" ht="12.2" customHeight="1">
      <c r="A648" s="21"/>
      <c r="B648" s="22"/>
      <c r="C648" s="22"/>
      <c r="D648" s="22"/>
      <c r="E648" s="22"/>
      <c r="F648" s="86" t="s">
        <v>51</v>
      </c>
      <c r="G648" s="80">
        <f>K599</f>
        <v>496113.48000000004</v>
      </c>
      <c r="H648" s="80">
        <f>L209+L227+L245</f>
        <v>496113.48</v>
      </c>
      <c r="I648" s="87" t="s">
        <v>396</v>
      </c>
      <c r="J648" s="80">
        <f t="shared" si="50"/>
        <v>0</v>
      </c>
      <c r="K648" s="67"/>
      <c r="L648" s="69"/>
      <c r="M648" s="8"/>
    </row>
    <row r="649" spans="1:13" s="3" customFormat="1" ht="12.2" customHeight="1">
      <c r="A649" s="21"/>
      <c r="B649" s="22"/>
      <c r="C649" s="22"/>
      <c r="D649" s="22"/>
      <c r="E649" s="22"/>
      <c r="F649" s="86" t="s">
        <v>52</v>
      </c>
      <c r="G649" s="80">
        <f>K606</f>
        <v>117468.37</v>
      </c>
      <c r="H649" s="80">
        <f>(J258+J339)-(J256+J337)</f>
        <v>117468.37</v>
      </c>
      <c r="I649" s="87" t="s">
        <v>699</v>
      </c>
      <c r="J649" s="80">
        <f t="shared" si="50"/>
        <v>0</v>
      </c>
      <c r="K649" s="67"/>
      <c r="L649" s="69"/>
      <c r="M649" s="8"/>
    </row>
    <row r="650" spans="1:13" s="3" customFormat="1" ht="12.2" customHeight="1">
      <c r="A650" s="21"/>
      <c r="B650" s="22"/>
      <c r="C650" s="22"/>
      <c r="D650" s="22"/>
      <c r="E650" s="22"/>
      <c r="F650" s="86" t="s">
        <v>387</v>
      </c>
      <c r="G650" s="80">
        <f>L209</f>
        <v>330742.32</v>
      </c>
      <c r="H650" s="80">
        <f>H599</f>
        <v>330742.32</v>
      </c>
      <c r="I650" s="87" t="s">
        <v>388</v>
      </c>
      <c r="J650" s="80">
        <f t="shared" si="50"/>
        <v>0</v>
      </c>
      <c r="K650" s="67"/>
      <c r="L650" s="69"/>
      <c r="M650" s="8"/>
    </row>
    <row r="651" spans="1:13" s="3" customFormat="1" ht="12.2" customHeight="1">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c r="A652" s="21"/>
      <c r="B652" s="22"/>
      <c r="C652" s="22"/>
      <c r="D652" s="22"/>
      <c r="E652" s="22"/>
      <c r="F652" s="86" t="s">
        <v>393</v>
      </c>
      <c r="G652" s="80">
        <f>L245</f>
        <v>165371.16</v>
      </c>
      <c r="H652" s="80">
        <f>J599</f>
        <v>165371.16</v>
      </c>
      <c r="I652" s="87" t="s">
        <v>390</v>
      </c>
      <c r="J652" s="80">
        <f t="shared" si="50"/>
        <v>0</v>
      </c>
      <c r="K652" s="67"/>
      <c r="L652" s="69"/>
      <c r="M652" s="8"/>
    </row>
    <row r="653" spans="1:13" s="3" customFormat="1" ht="12.2" customHeight="1">
      <c r="A653" s="21"/>
      <c r="B653" s="22"/>
      <c r="C653" s="22"/>
      <c r="D653" s="22"/>
      <c r="E653" s="22"/>
      <c r="F653" s="86" t="s">
        <v>665</v>
      </c>
      <c r="G653" s="80">
        <f>G180+G182</f>
        <v>45000</v>
      </c>
      <c r="H653" s="80">
        <f>K264+K346</f>
        <v>45000</v>
      </c>
      <c r="I653" s="87" t="s">
        <v>397</v>
      </c>
      <c r="J653" s="80">
        <f t="shared" si="50"/>
        <v>0</v>
      </c>
      <c r="K653" s="67"/>
      <c r="L653" s="69"/>
      <c r="M653" s="8"/>
    </row>
    <row r="654" spans="1:13" s="3" customFormat="1" ht="12.2" customHeight="1">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c r="A656" s="21"/>
      <c r="B656" s="22"/>
      <c r="C656" s="22"/>
      <c r="D656" s="22"/>
      <c r="E656" s="22"/>
      <c r="F656" s="86" t="s">
        <v>668</v>
      </c>
      <c r="G656" s="80">
        <f>J180+J182</f>
        <v>38619</v>
      </c>
      <c r="H656" s="80">
        <f>K267+K348</f>
        <v>38619</v>
      </c>
      <c r="I656" s="87" t="s">
        <v>400</v>
      </c>
      <c r="J656" s="80">
        <f t="shared" si="50"/>
        <v>0</v>
      </c>
      <c r="K656" s="67"/>
      <c r="L656" s="69"/>
      <c r="M656" s="9"/>
    </row>
    <row r="657" spans="1:13" s="3" customFormat="1" ht="12.2" customHeight="1">
      <c r="F657" s="25" t="s">
        <v>122</v>
      </c>
      <c r="G657" s="13"/>
      <c r="H657" s="80">
        <f>SUM(G618:G656)-SUM(H618:H656)</f>
        <v>0</v>
      </c>
      <c r="I657" s="13"/>
      <c r="J657" s="13"/>
      <c r="K657" s="13"/>
      <c r="L657" s="13"/>
      <c r="M657" s="9"/>
    </row>
    <row r="658" spans="1:13" s="3" customFormat="1" ht="12.2" customHeight="1">
      <c r="F658" s="17"/>
      <c r="G658" s="13"/>
      <c r="H658" s="13"/>
      <c r="I658" s="13"/>
      <c r="J658" s="13"/>
      <c r="K658" s="13"/>
      <c r="L658" s="13"/>
      <c r="M658" s="9"/>
    </row>
    <row r="659" spans="1:13" s="3" customFormat="1" ht="12.2" customHeight="1">
      <c r="A659" s="28" t="s">
        <v>123</v>
      </c>
      <c r="F659" s="24" t="s">
        <v>124</v>
      </c>
      <c r="G659" s="24" t="s">
        <v>125</v>
      </c>
      <c r="H659" s="24" t="s">
        <v>367</v>
      </c>
      <c r="I659" s="24" t="s">
        <v>340</v>
      </c>
      <c r="J659" s="13"/>
      <c r="K659" s="13"/>
      <c r="L659" s="13"/>
      <c r="M659" s="9"/>
    </row>
    <row r="660" spans="1:13" s="3" customFormat="1" ht="12.2" customHeight="1">
      <c r="A660" s="254" t="s">
        <v>1633</v>
      </c>
      <c r="F660" s="14" t="s">
        <v>286</v>
      </c>
      <c r="G660" s="13"/>
      <c r="H660" s="13"/>
      <c r="I660" s="13"/>
      <c r="J660" s="13"/>
      <c r="K660" s="13"/>
      <c r="L660" s="13"/>
      <c r="M660" s="9"/>
    </row>
    <row r="661" spans="1:13" s="3" customFormat="1" ht="12.2" customHeight="1">
      <c r="A661" s="1" t="s">
        <v>126</v>
      </c>
      <c r="F661" s="13">
        <f>(L212+L291+L359)</f>
        <v>7594240.8300000019</v>
      </c>
      <c r="G661" s="13">
        <f>(L230+L310+L360)</f>
        <v>0</v>
      </c>
      <c r="H661" s="13">
        <f>(L248+L329+L361)</f>
        <v>3869942.4200000004</v>
      </c>
      <c r="I661" s="13">
        <f>SUM(F661:H661)</f>
        <v>11464183.250000002</v>
      </c>
      <c r="J661" s="13"/>
      <c r="K661" s="13"/>
      <c r="L661" s="13"/>
      <c r="M661" s="9"/>
    </row>
    <row r="662" spans="1:13" s="3" customFormat="1" ht="12.2" customHeight="1">
      <c r="A662" s="1" t="s">
        <v>127</v>
      </c>
      <c r="F662" s="13">
        <f>(L359/IF(SUM(L359:L361)=0,1,SUM(L359:L361))*(SUM(G97:G110)))</f>
        <v>4413.41</v>
      </c>
      <c r="G662" s="13">
        <f>(L360/IF(SUM(L359:L361)=0,1,SUM(L359:L361))*(SUM(G97:G110)))</f>
        <v>0</v>
      </c>
      <c r="H662" s="13">
        <f>(L361/IF(SUM(L359:L361)=0,1,SUM(L359:L361))*(SUM(G97:G110)))</f>
        <v>0</v>
      </c>
      <c r="I662" s="13">
        <f>SUM(F662:H662)</f>
        <v>4413.41</v>
      </c>
      <c r="J662"/>
      <c r="K662" s="13"/>
      <c r="L662" s="13"/>
      <c r="M662" s="8"/>
    </row>
    <row r="663" spans="1:13" s="3" customFormat="1" ht="12.2" customHeight="1">
      <c r="A663" s="1" t="s">
        <v>128</v>
      </c>
      <c r="F663" s="13">
        <f>(L209+L288)-(J209+J288)</f>
        <v>330742.32</v>
      </c>
      <c r="G663" s="13">
        <f>(L227+L307)-(J227+J307)</f>
        <v>0</v>
      </c>
      <c r="H663" s="13">
        <f>(L245+L326)-(J245+J326)</f>
        <v>165371.16</v>
      </c>
      <c r="I663" s="13">
        <f>SUM(F663:H663)</f>
        <v>496113.48</v>
      </c>
      <c r="J663"/>
      <c r="K663" s="13"/>
      <c r="L663" s="13"/>
      <c r="M663" s="9"/>
    </row>
    <row r="664" spans="1:13" s="3" customFormat="1" ht="12.2" customHeight="1">
      <c r="A664" s="142" t="s">
        <v>129</v>
      </c>
      <c r="B664" s="124"/>
      <c r="C664" s="124"/>
      <c r="D664" s="124"/>
      <c r="E664" s="124"/>
      <c r="F664" s="143">
        <f>SUM(F576:F588)+SUM(H603:H605)+SUM(L612)</f>
        <v>236849.15999999997</v>
      </c>
      <c r="G664" s="143">
        <f>SUM(G576:G588)+SUM(I603:I605)+L613</f>
        <v>0</v>
      </c>
      <c r="H664" s="143">
        <f>SUM(H576:H588)+SUM(J603:J605)+L614</f>
        <v>3476251.68</v>
      </c>
      <c r="I664" s="13">
        <f>SUM(F664:H664)</f>
        <v>3713100.8400000003</v>
      </c>
      <c r="J664" s="13"/>
      <c r="K664" s="13"/>
      <c r="L664" s="13"/>
      <c r="M664" s="9"/>
    </row>
    <row r="665" spans="1:13" s="3" customFormat="1" ht="12.2" customHeight="1">
      <c r="A665" s="1" t="s">
        <v>130</v>
      </c>
      <c r="F665" s="13">
        <f>F661-SUM(F662:F664)</f>
        <v>7022235.9400000023</v>
      </c>
      <c r="G665" s="13">
        <f>G661-SUM(G662:G664)</f>
        <v>0</v>
      </c>
      <c r="H665" s="13">
        <f>H661-SUM(H662:H664)</f>
        <v>228319.58000000007</v>
      </c>
      <c r="I665" s="13">
        <f>I661-SUM(I662:I664)</f>
        <v>7250555.5200000014</v>
      </c>
      <c r="J665" s="13"/>
      <c r="K665" s="13"/>
      <c r="L665" s="13"/>
      <c r="M665" s="8"/>
    </row>
    <row r="666" spans="1:13" s="3" customFormat="1" ht="12.2" customHeight="1">
      <c r="A666" s="1" t="s">
        <v>131</v>
      </c>
      <c r="F666" s="183">
        <v>364.34</v>
      </c>
      <c r="G666" s="184"/>
      <c r="H666" s="184"/>
      <c r="I666" s="13">
        <f>SUM(F666:H666)</f>
        <v>364.34</v>
      </c>
      <c r="J666" s="13"/>
      <c r="K666" s="13"/>
      <c r="L666" s="13"/>
      <c r="M666" s="10"/>
    </row>
    <row r="667" spans="1:13" s="3" customFormat="1" ht="12.2" customHeight="1">
      <c r="A667" s="1" t="s">
        <v>132</v>
      </c>
      <c r="F667" s="13"/>
      <c r="G667" s="13"/>
      <c r="H667" s="13"/>
      <c r="I667" s="13"/>
      <c r="J667" s="13"/>
      <c r="K667" s="13"/>
      <c r="L667" s="13"/>
      <c r="M667" s="9"/>
    </row>
    <row r="668" spans="1:13" s="3" customFormat="1" ht="12.2" customHeight="1">
      <c r="A668" s="28" t="s">
        <v>133</v>
      </c>
      <c r="F668" s="13">
        <f>ROUND(F665/F666,2)</f>
        <v>19273.849999999999</v>
      </c>
      <c r="G668" s="13" t="e">
        <f>ROUND(G665/G666,2)</f>
        <v>#DIV/0!</v>
      </c>
      <c r="H668" s="13" t="e">
        <f>ROUND(H665/H666,2)</f>
        <v>#DIV/0!</v>
      </c>
      <c r="I668" s="13">
        <f>ROUND(I665/I666,2)</f>
        <v>19900.52</v>
      </c>
      <c r="J668" s="13"/>
      <c r="K668" s="13"/>
      <c r="L668" s="13"/>
      <c r="M668" s="9"/>
    </row>
    <row r="669" spans="1:13" s="3" customFormat="1" ht="12.2" customHeight="1">
      <c r="F669" s="13"/>
      <c r="G669" s="13"/>
      <c r="H669" s="13"/>
      <c r="I669" s="13"/>
      <c r="J669" s="13"/>
      <c r="K669" s="13"/>
      <c r="L669" s="13"/>
      <c r="M669" s="9"/>
    </row>
    <row r="670" spans="1:13" s="3" customFormat="1" ht="12.2" customHeight="1">
      <c r="A670" s="1" t="s">
        <v>134</v>
      </c>
      <c r="F670" s="18"/>
      <c r="G670" s="18"/>
      <c r="H670" s="18">
        <v>-228319.58</v>
      </c>
      <c r="I670" s="13">
        <f>SUM(F670:H670)</f>
        <v>-228319.58</v>
      </c>
      <c r="J670" s="13"/>
      <c r="K670" s="13"/>
      <c r="L670" s="13"/>
      <c r="M670" s="9"/>
    </row>
    <row r="671" spans="1:13" s="3" customFormat="1" ht="12.2" customHeight="1">
      <c r="A671" s="1" t="s">
        <v>135</v>
      </c>
      <c r="F671" s="18"/>
      <c r="G671" s="18"/>
      <c r="H671" s="18"/>
      <c r="I671" s="13">
        <f>SUM(F671:H671)</f>
        <v>0</v>
      </c>
      <c r="J671" s="13"/>
      <c r="K671" s="13"/>
      <c r="L671" s="13"/>
      <c r="M671" s="9"/>
    </row>
    <row r="672" spans="1:13" s="3" customFormat="1" ht="12.2" customHeight="1">
      <c r="F672" s="13"/>
      <c r="G672" s="13"/>
      <c r="H672" s="13"/>
      <c r="I672" s="13"/>
      <c r="J672" s="13"/>
      <c r="K672" s="13"/>
      <c r="L672" s="13"/>
    </row>
    <row r="673" spans="1:12" s="3" customFormat="1" ht="12.2" customHeight="1">
      <c r="A673" s="1" t="s">
        <v>136</v>
      </c>
      <c r="B673" s="2" t="s">
        <v>137</v>
      </c>
      <c r="C673" s="2" t="s">
        <v>290</v>
      </c>
      <c r="D673" s="2"/>
      <c r="E673" s="2"/>
      <c r="F673" s="13">
        <f>ROUND((F665+F670)/(F666+F671),2)</f>
        <v>19273.849999999999</v>
      </c>
      <c r="G673" s="13" t="e">
        <f>ROUND((G665+G670)/(G666+G671),2)</f>
        <v>#DIV/0!</v>
      </c>
      <c r="H673" s="13" t="e">
        <f>ROUND((H665+H670)/(H666+H671),2)</f>
        <v>#DIV/0!</v>
      </c>
      <c r="I673" s="13">
        <f>ROUND((I665+I670)/(I666+I671),2)</f>
        <v>19273.849999999999</v>
      </c>
      <c r="J673" s="13"/>
      <c r="K673" s="13"/>
      <c r="L673" s="13"/>
    </row>
    <row r="674" spans="1:12" s="3" customFormat="1" ht="12.2" customHeight="1">
      <c r="C674" s="7"/>
      <c r="D674" s="7"/>
      <c r="E674" s="7"/>
      <c r="F674" s="13"/>
      <c r="G674" s="13"/>
      <c r="H674" s="13"/>
      <c r="I674" s="13"/>
      <c r="J674" s="13"/>
      <c r="K674" s="13"/>
      <c r="L674" s="13"/>
    </row>
    <row r="675" spans="1:12" ht="12.2" customHeight="1">
      <c r="A675" s="3"/>
      <c r="B675" s="3"/>
      <c r="C675" s="3"/>
      <c r="D675" s="3"/>
      <c r="E675" s="3"/>
      <c r="F675" s="13"/>
      <c r="G675" s="13"/>
      <c r="H675" s="13"/>
      <c r="I675" s="13"/>
      <c r="J675" s="13"/>
      <c r="K675" s="13"/>
      <c r="L675" s="13"/>
    </row>
    <row r="676" spans="1:12" ht="12.2" customHeight="1">
      <c r="A676" s="3"/>
      <c r="B676" s="3"/>
      <c r="C676" s="3"/>
      <c r="D676" s="3"/>
      <c r="E676" s="3"/>
      <c r="F676" s="13"/>
      <c r="G676" s="13"/>
      <c r="H676" s="13"/>
      <c r="I676" s="13"/>
      <c r="J676" s="13"/>
      <c r="K676" s="13"/>
      <c r="L676" s="13"/>
    </row>
    <row r="677" spans="1:12" ht="12.2" customHeight="1">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25" right="0.25" top="0.75" bottom="0.75" header="0.3" footer="0.3"/>
  <pageSetup scale="71" fitToHeight="0" orientation="landscape" horizontalDpi="4294967295" verticalDpi="4294967295"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c r="C2" s="305" t="s">
        <v>1643</v>
      </c>
      <c r="D2" s="305"/>
      <c r="E2" s="305"/>
    </row>
    <row r="3" spans="2:8">
      <c r="C3" s="270"/>
    </row>
    <row r="5" spans="2:8">
      <c r="B5" s="273" t="s">
        <v>647</v>
      </c>
      <c r="C5" s="273"/>
      <c r="D5" s="273" t="s">
        <v>1626</v>
      </c>
      <c r="E5" s="274" t="s">
        <v>1627</v>
      </c>
      <c r="F5" s="275"/>
    </row>
    <row r="6" spans="2:8">
      <c r="B6" s="275"/>
      <c r="C6" s="275"/>
      <c r="D6" s="275"/>
      <c r="E6" s="275"/>
      <c r="F6" s="275"/>
    </row>
    <row r="7" spans="2:8">
      <c r="B7" s="275"/>
      <c r="C7" s="273" t="s">
        <v>1636</v>
      </c>
      <c r="D7" s="275"/>
      <c r="E7" s="278">
        <f>'DOE25'!H155</f>
        <v>27717.41</v>
      </c>
      <c r="F7" s="273" t="s">
        <v>5</v>
      </c>
      <c r="H7" s="272" t="str">
        <f>IF(SUM(E9:E17)=E7,"","ERROR: Sum of the 5 sub-totals do not equal total reported to the left!")</f>
        <v/>
      </c>
    </row>
    <row r="8" spans="2:8">
      <c r="B8" s="275"/>
      <c r="C8" s="275"/>
      <c r="D8" s="275"/>
      <c r="E8" s="275"/>
      <c r="F8" s="275"/>
    </row>
    <row r="9" spans="2:8">
      <c r="B9" s="275"/>
      <c r="C9" s="276" t="s">
        <v>1637</v>
      </c>
      <c r="D9" s="276" t="s">
        <v>1650</v>
      </c>
      <c r="E9" s="263">
        <v>17120.580000000002</v>
      </c>
      <c r="F9" s="276" t="s">
        <v>1644</v>
      </c>
    </row>
    <row r="10" spans="2:8">
      <c r="B10" s="275"/>
      <c r="C10" s="275"/>
      <c r="D10" s="275"/>
      <c r="E10" s="275"/>
      <c r="F10" s="275"/>
    </row>
    <row r="11" spans="2:8">
      <c r="B11" s="275"/>
      <c r="C11" s="279" t="s">
        <v>1648</v>
      </c>
      <c r="D11" s="276" t="s">
        <v>1651</v>
      </c>
      <c r="E11" s="263"/>
      <c r="F11" s="276" t="s">
        <v>1645</v>
      </c>
    </row>
    <row r="12" spans="2:8">
      <c r="B12" s="275"/>
      <c r="C12" s="275"/>
      <c r="D12" s="276"/>
      <c r="E12" s="275"/>
      <c r="F12" s="275"/>
    </row>
    <row r="13" spans="2:8">
      <c r="B13" s="275"/>
      <c r="C13" s="276" t="s">
        <v>1638</v>
      </c>
      <c r="D13" s="276" t="s">
        <v>1652</v>
      </c>
      <c r="E13" s="263">
        <v>10596.83</v>
      </c>
      <c r="F13" s="276" t="s">
        <v>1646</v>
      </c>
    </row>
    <row r="14" spans="2:8">
      <c r="B14" s="275"/>
      <c r="C14" s="275"/>
      <c r="D14" s="276"/>
      <c r="E14" s="275"/>
      <c r="F14" s="275"/>
    </row>
    <row r="15" spans="2:8">
      <c r="B15" s="275"/>
      <c r="C15" s="276" t="s">
        <v>1640</v>
      </c>
      <c r="D15" s="276" t="s">
        <v>1653</v>
      </c>
      <c r="E15" s="263"/>
      <c r="F15" s="276" t="s">
        <v>1647</v>
      </c>
    </row>
    <row r="16" spans="2:8">
      <c r="B16" s="275"/>
      <c r="C16" s="275"/>
      <c r="D16" s="275"/>
      <c r="E16" s="275"/>
      <c r="F16" s="275"/>
    </row>
    <row r="17" spans="2:8">
      <c r="B17" s="275"/>
      <c r="C17" s="276" t="s">
        <v>1639</v>
      </c>
      <c r="D17" s="276" t="s">
        <v>1654</v>
      </c>
      <c r="E17" s="263"/>
      <c r="F17" s="279" t="s">
        <v>1649</v>
      </c>
    </row>
    <row r="18" spans="2:8">
      <c r="B18" s="275"/>
      <c r="C18" s="275"/>
      <c r="D18" s="275"/>
      <c r="E18" s="275"/>
      <c r="F18" s="275"/>
    </row>
    <row r="20" spans="2:8">
      <c r="B20" s="273" t="s">
        <v>1641</v>
      </c>
      <c r="C20" s="273"/>
      <c r="D20" s="273" t="s">
        <v>1626</v>
      </c>
      <c r="E20" s="274" t="s">
        <v>1627</v>
      </c>
      <c r="F20" s="275"/>
    </row>
    <row r="21" spans="2:8">
      <c r="B21" s="275"/>
      <c r="C21" s="275"/>
      <c r="D21" s="275"/>
      <c r="E21" s="275"/>
      <c r="F21" s="275"/>
    </row>
    <row r="22" spans="2:8" ht="18" customHeight="1">
      <c r="B22" s="275"/>
      <c r="C22" s="277" t="s">
        <v>1642</v>
      </c>
      <c r="D22" s="276" t="s">
        <v>1655</v>
      </c>
      <c r="E22" s="263">
        <v>30502</v>
      </c>
      <c r="F22" s="275"/>
    </row>
    <row r="23" spans="2:8">
      <c r="B23" s="275"/>
      <c r="C23" s="275"/>
      <c r="D23" s="275"/>
      <c r="E23" s="275"/>
      <c r="F23" s="275"/>
    </row>
    <row r="24" spans="2:8" ht="26.25" customHeight="1"/>
    <row r="26" spans="2:8" ht="27.75" customHeight="1">
      <c r="C26" s="298"/>
    </row>
    <row r="28" spans="2:8" ht="15.75" customHeight="1"/>
    <row r="30" spans="2:8" ht="16.5" customHeight="1"/>
    <row r="31" spans="2:8">
      <c r="H31" s="272"/>
    </row>
    <row r="33" spans="2:3">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cols>
    <col min="1" max="1" width="66" bestFit="1" customWidth="1"/>
    <col min="2" max="2" width="23.1640625" customWidth="1"/>
    <col min="6" max="6" width="46.6640625" customWidth="1"/>
    <col min="9" max="9" width="8.1640625" hidden="1" customWidth="1"/>
  </cols>
  <sheetData>
    <row r="1" spans="1:9" ht="15">
      <c r="A1" s="306" t="s">
        <v>1567</v>
      </c>
      <c r="B1" s="306"/>
      <c r="C1" s="306"/>
      <c r="D1" s="306"/>
      <c r="E1" s="306"/>
      <c r="F1" s="306"/>
      <c r="G1" s="306"/>
      <c r="H1" s="306"/>
    </row>
    <row r="2" spans="1:9" ht="15">
      <c r="A2" s="306" t="s">
        <v>1632</v>
      </c>
      <c r="B2" s="306"/>
      <c r="C2" s="306"/>
      <c r="D2" s="306"/>
      <c r="E2" s="306"/>
      <c r="F2" s="306"/>
      <c r="G2" s="306"/>
      <c r="H2" s="306"/>
    </row>
    <row r="3" spans="1:9" ht="15.75">
      <c r="A3" s="244" t="s">
        <v>1581</v>
      </c>
      <c r="B3" s="245" t="s">
        <v>1614</v>
      </c>
      <c r="C3" s="243"/>
      <c r="D3" s="243"/>
      <c r="E3" s="243"/>
      <c r="F3" s="243"/>
      <c r="G3" s="243"/>
      <c r="H3" s="243"/>
      <c r="I3" t="s">
        <v>1613</v>
      </c>
    </row>
    <row r="4" spans="1:9">
      <c r="I4" t="s">
        <v>1614</v>
      </c>
    </row>
    <row r="5" spans="1:9" ht="15.75">
      <c r="A5" s="239" t="s">
        <v>908</v>
      </c>
      <c r="B5" s="307" t="str">
        <f>'DOE25'!A2</f>
        <v>Gilmanton</v>
      </c>
      <c r="C5" s="308"/>
      <c r="D5" s="308"/>
      <c r="E5" s="308"/>
      <c r="F5" s="308"/>
    </row>
    <row r="8" spans="1:9" ht="18">
      <c r="A8" s="240" t="s">
        <v>1568</v>
      </c>
      <c r="F8" s="247" t="s">
        <v>1586</v>
      </c>
    </row>
    <row r="9" spans="1:9" ht="15">
      <c r="A9" s="238" t="s">
        <v>1569</v>
      </c>
      <c r="B9" s="241">
        <f>'DOE25'!G97</f>
        <v>4413.41</v>
      </c>
      <c r="F9" s="238" t="s">
        <v>1582</v>
      </c>
    </row>
    <row r="10" spans="1:9" ht="15">
      <c r="A10" s="238" t="s">
        <v>1570</v>
      </c>
      <c r="B10" s="241">
        <f>'DOE25'!G112-'DOE25'!G97</f>
        <v>0</v>
      </c>
      <c r="F10" s="238" t="s">
        <v>1583</v>
      </c>
    </row>
    <row r="11" spans="1:9" ht="15">
      <c r="A11" s="238" t="s">
        <v>1571</v>
      </c>
      <c r="B11" s="241">
        <f>'DOE25'!G140</f>
        <v>2722.44</v>
      </c>
      <c r="F11" s="238" t="s">
        <v>1584</v>
      </c>
    </row>
    <row r="12" spans="1:9" ht="15">
      <c r="A12" s="238" t="s">
        <v>1572</v>
      </c>
      <c r="B12" s="241">
        <f>'DOE25'!G170</f>
        <v>238834.32</v>
      </c>
      <c r="F12" s="238" t="s">
        <v>1585</v>
      </c>
    </row>
    <row r="13" spans="1:9" ht="15">
      <c r="A13" s="238" t="s">
        <v>1573</v>
      </c>
      <c r="B13" s="241">
        <f>'DOE25'!G193-'DOE25'!G180</f>
        <v>0</v>
      </c>
      <c r="F13" s="238" t="s">
        <v>1595</v>
      </c>
    </row>
    <row r="14" spans="1:9" ht="18">
      <c r="A14" s="240" t="s">
        <v>732</v>
      </c>
      <c r="B14" s="242">
        <f>SUM(B9:B13)</f>
        <v>245970.17</v>
      </c>
    </row>
    <row r="16" spans="1:9" ht="18">
      <c r="A16" s="240" t="s">
        <v>786</v>
      </c>
      <c r="F16" s="247" t="s">
        <v>1587</v>
      </c>
    </row>
    <row r="17" spans="1:6" ht="15">
      <c r="A17" s="238" t="s">
        <v>1574</v>
      </c>
      <c r="B17" s="241">
        <f>'DOE25'!L363-'DOE25'!L362</f>
        <v>228991.77000000002</v>
      </c>
      <c r="F17" s="238" t="s">
        <v>1588</v>
      </c>
    </row>
    <row r="18" spans="1:6" ht="15">
      <c r="A18" s="238" t="s">
        <v>1575</v>
      </c>
      <c r="B18" s="251"/>
      <c r="F18" s="247" t="s">
        <v>1612</v>
      </c>
    </row>
    <row r="19" spans="1:6" ht="18">
      <c r="A19" s="240" t="s">
        <v>725</v>
      </c>
      <c r="B19" s="242">
        <f>SUM(B17:B18)</f>
        <v>228991.77000000002</v>
      </c>
    </row>
    <row r="21" spans="1:6" ht="18.75" thickBot="1">
      <c r="A21" s="240" t="s">
        <v>1576</v>
      </c>
    </row>
    <row r="22" spans="1:6" ht="18.75" thickTop="1">
      <c r="A22" s="240" t="s">
        <v>1577</v>
      </c>
      <c r="B22" s="246">
        <f>B14-B19</f>
        <v>16978.399999999994</v>
      </c>
      <c r="F22" s="238" t="s">
        <v>1589</v>
      </c>
    </row>
    <row r="26" spans="1:6" ht="18">
      <c r="A26" s="240" t="s">
        <v>186</v>
      </c>
    </row>
    <row r="27" spans="1:6" ht="15">
      <c r="A27" s="238" t="s">
        <v>1578</v>
      </c>
      <c r="B27" s="241">
        <f>'DOE25'!G180</f>
        <v>45000</v>
      </c>
      <c r="F27" s="238" t="s">
        <v>1590</v>
      </c>
    </row>
    <row r="28" spans="1:6" ht="15">
      <c r="A28" s="238" t="s">
        <v>1580</v>
      </c>
      <c r="B28" s="241">
        <f>'DOE25'!L362</f>
        <v>0</v>
      </c>
      <c r="F28" s="238" t="s">
        <v>1591</v>
      </c>
    </row>
    <row r="31" spans="1:6" ht="15">
      <c r="A31" s="238" t="s">
        <v>1634</v>
      </c>
      <c r="B31" s="241">
        <f>'DOE25'!G466</f>
        <v>0</v>
      </c>
      <c r="F31" s="238" t="s">
        <v>1592</v>
      </c>
    </row>
    <row r="33" spans="1:6" ht="15">
      <c r="A33" s="238" t="s">
        <v>1635</v>
      </c>
      <c r="B33" s="241">
        <f>'DOE25'!G477</f>
        <v>61978.399999999994</v>
      </c>
      <c r="F33" s="238" t="s">
        <v>1593</v>
      </c>
    </row>
    <row r="36" spans="1:6" ht="15">
      <c r="A36" s="238" t="s">
        <v>1579</v>
      </c>
      <c r="B36" s="252">
        <v>0</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64" sqref="G64"/>
    </sheetView>
  </sheetViews>
  <sheetFormatPr defaultRowHeight="11.25"/>
  <cols>
    <col min="1" max="1" width="26.6640625" customWidth="1"/>
    <col min="2" max="2" width="33.83203125" customWidth="1"/>
    <col min="3" max="3" width="29.5" customWidth="1"/>
  </cols>
  <sheetData>
    <row r="1" spans="1:3">
      <c r="A1" s="171" t="s">
        <v>781</v>
      </c>
      <c r="B1" s="170" t="str">
        <f>'DOE25'!A2</f>
        <v>Gilmanton</v>
      </c>
      <c r="C1" s="175" t="s">
        <v>824</v>
      </c>
    </row>
    <row r="2" spans="1:3">
      <c r="A2" s="171"/>
      <c r="B2" s="170"/>
    </row>
    <row r="3" spans="1:3">
      <c r="A3" s="305" t="s">
        <v>780</v>
      </c>
      <c r="B3" s="305"/>
      <c r="C3" s="305"/>
    </row>
    <row r="4" spans="1:3">
      <c r="A4" s="174"/>
      <c r="B4" s="24" t="str">
        <f>'DOE25'!H1</f>
        <v>DOE 25  2021-2022</v>
      </c>
      <c r="C4" s="174"/>
    </row>
    <row r="5" spans="1:3">
      <c r="A5" s="171"/>
      <c r="B5" s="170"/>
    </row>
    <row r="6" spans="1:3">
      <c r="A6" s="165"/>
      <c r="B6" s="311" t="s">
        <v>779</v>
      </c>
      <c r="C6" s="311"/>
    </row>
    <row r="7" spans="1:3">
      <c r="A7" s="176" t="s">
        <v>782</v>
      </c>
      <c r="B7" s="309" t="s">
        <v>778</v>
      </c>
      <c r="C7" s="310"/>
    </row>
    <row r="8" spans="1:3">
      <c r="B8" s="166" t="s">
        <v>54</v>
      </c>
      <c r="C8" s="166" t="s">
        <v>772</v>
      </c>
    </row>
    <row r="9" spans="1:3">
      <c r="A9" s="32" t="s">
        <v>773</v>
      </c>
      <c r="B9" s="167">
        <f>'DOE25'!F198+'DOE25'!F216+'DOE25'!F234+'DOE25'!F277+'DOE25'!F296+'DOE25'!F315</f>
        <v>2301880.19</v>
      </c>
      <c r="C9" s="167">
        <f>'DOE25'!G198+'DOE25'!G216+'DOE25'!G234+'DOE25'!G277+'DOE25'!G296+'DOE25'!G315</f>
        <v>1141820.28</v>
      </c>
    </row>
    <row r="10" spans="1:3">
      <c r="A10" t="s">
        <v>775</v>
      </c>
      <c r="B10" s="18">
        <v>2236561.33</v>
      </c>
      <c r="C10" s="18">
        <v>1140646.28</v>
      </c>
    </row>
    <row r="11" spans="1:3" ht="12" thickBot="1">
      <c r="A11" t="s">
        <v>776</v>
      </c>
      <c r="B11" s="18">
        <v>65318.86</v>
      </c>
      <c r="C11" s="18">
        <v>1174</v>
      </c>
    </row>
    <row r="12" spans="1:3" ht="12" thickBot="1">
      <c r="A12" t="s">
        <v>777</v>
      </c>
      <c r="B12" s="299"/>
      <c r="C12" s="300"/>
    </row>
    <row r="13" spans="1:3">
      <c r="A13" t="str">
        <f>IF(B9=B13,IF(C9=C13,"Check Total OK","Check Total Error"),"Check Total Error")</f>
        <v>Check Total OK</v>
      </c>
      <c r="B13" s="169">
        <f>SUM(B10:B12)</f>
        <v>2301880.19</v>
      </c>
      <c r="C13" s="169">
        <f>SUM(C10:C12)</f>
        <v>1141820.28</v>
      </c>
    </row>
    <row r="14" spans="1:3">
      <c r="B14" s="168"/>
      <c r="C14" s="168"/>
    </row>
    <row r="15" spans="1:3">
      <c r="B15" s="311" t="s">
        <v>779</v>
      </c>
      <c r="C15" s="311"/>
    </row>
    <row r="16" spans="1:3">
      <c r="A16" s="176" t="s">
        <v>783</v>
      </c>
      <c r="B16" s="309" t="s">
        <v>703</v>
      </c>
      <c r="C16" s="310"/>
    </row>
    <row r="17" spans="1:3">
      <c r="B17" s="166" t="s">
        <v>54</v>
      </c>
      <c r="C17" s="166" t="s">
        <v>772</v>
      </c>
    </row>
    <row r="18" spans="1:3">
      <c r="A18" s="32" t="s">
        <v>773</v>
      </c>
      <c r="B18" s="167">
        <f>'DOE25'!F199+'DOE25'!F217+'DOE25'!F235+'DOE25'!F278+'DOE25'!F297+'DOE25'!F316</f>
        <v>293915.08</v>
      </c>
      <c r="C18" s="167">
        <f>'DOE25'!G199+'DOE25'!G217+'DOE25'!G235+'DOE25'!G278+'DOE25'!G297+'DOE25'!G316</f>
        <v>150101.71000000002</v>
      </c>
    </row>
    <row r="19" spans="1:3">
      <c r="A19" t="s">
        <v>775</v>
      </c>
      <c r="B19" s="18">
        <v>241541.38</v>
      </c>
      <c r="C19" s="18">
        <v>123186.1</v>
      </c>
    </row>
    <row r="20" spans="1:3" ht="12" thickBot="1">
      <c r="A20" t="s">
        <v>776</v>
      </c>
      <c r="B20" s="18">
        <v>52373.7</v>
      </c>
      <c r="C20" s="18">
        <v>26915.61</v>
      </c>
    </row>
    <row r="21" spans="1:3" ht="12" thickBot="1">
      <c r="A21" t="s">
        <v>777</v>
      </c>
      <c r="B21" s="300"/>
      <c r="C21" s="300"/>
    </row>
    <row r="22" spans="1:3">
      <c r="A22" t="str">
        <f>IF(B18=B22,IF(C18=C22,"Check Total OK","Check Total Error"),"Check Total Error")</f>
        <v>Check Total OK</v>
      </c>
      <c r="B22" s="169">
        <f>SUM(B19:B21)</f>
        <v>293915.08</v>
      </c>
      <c r="C22" s="169">
        <f>SUM(C19:C21)</f>
        <v>150101.71000000002</v>
      </c>
    </row>
    <row r="23" spans="1:3">
      <c r="B23" s="168"/>
      <c r="C23" s="168"/>
    </row>
    <row r="24" spans="1:3">
      <c r="B24" s="311" t="s">
        <v>779</v>
      </c>
      <c r="C24" s="311"/>
    </row>
    <row r="25" spans="1:3">
      <c r="A25" s="176" t="s">
        <v>784</v>
      </c>
      <c r="B25" s="309" t="s">
        <v>704</v>
      </c>
      <c r="C25" s="310"/>
    </row>
    <row r="26" spans="1:3">
      <c r="B26" s="166" t="s">
        <v>54</v>
      </c>
      <c r="C26" s="166" t="s">
        <v>772</v>
      </c>
    </row>
    <row r="27" spans="1:3">
      <c r="A27" s="32" t="s">
        <v>773</v>
      </c>
      <c r="B27" s="172">
        <f>'DOE25'!F200+'DOE25'!F218+'DOE25'!F236+'DOE25'!F279+'DOE25'!F298+'DOE25'!F317</f>
        <v>0</v>
      </c>
      <c r="C27" s="172">
        <f>'DOE25'!G200+'DOE25'!G218+'DOE25'!G236+'DOE25'!G279+'DOE25'!G298+'DOE25'!G317</f>
        <v>0</v>
      </c>
    </row>
    <row r="28" spans="1:3">
      <c r="A28" t="s">
        <v>775</v>
      </c>
      <c r="B28" s="177"/>
      <c r="C28" s="177"/>
    </row>
    <row r="29" spans="1:3">
      <c r="A29" t="s">
        <v>776</v>
      </c>
      <c r="B29" s="177"/>
      <c r="C29" s="177"/>
    </row>
    <row r="30" spans="1:3">
      <c r="A30" t="s">
        <v>777</v>
      </c>
      <c r="B30" s="177"/>
      <c r="C30" s="177"/>
    </row>
    <row r="31" spans="1:3">
      <c r="A31" t="str">
        <f>IF(B27=B31,IF(C27=C31,"Check Total OK","Check Total Error"),"Check Total Error")</f>
        <v>Check Total OK</v>
      </c>
      <c r="B31" s="169">
        <f>SUM(B28:B30)</f>
        <v>0</v>
      </c>
      <c r="C31" s="169">
        <f>SUM(C28:C30)</f>
        <v>0</v>
      </c>
    </row>
    <row r="33" spans="1:3">
      <c r="B33" s="311" t="s">
        <v>779</v>
      </c>
      <c r="C33" s="311"/>
    </row>
    <row r="34" spans="1:3">
      <c r="A34" s="176" t="s">
        <v>785</v>
      </c>
      <c r="B34" s="309" t="s">
        <v>705</v>
      </c>
      <c r="C34" s="310"/>
    </row>
    <row r="35" spans="1:3">
      <c r="B35" s="166" t="s">
        <v>54</v>
      </c>
      <c r="C35" s="166" t="s">
        <v>772</v>
      </c>
    </row>
    <row r="36" spans="1:3">
      <c r="A36" s="32" t="s">
        <v>773</v>
      </c>
      <c r="B36" s="173">
        <f>'DOE25'!F201+'DOE25'!F219+'DOE25'!F237+'DOE25'!F280+'DOE25'!F299+'DOE25'!F318</f>
        <v>40912.5</v>
      </c>
      <c r="C36" s="173">
        <f>'DOE25'!G201+'DOE25'!G219+'DOE25'!G237+'DOE25'!G280+'DOE25'!G299+'DOE25'!G318</f>
        <v>20865.38</v>
      </c>
    </row>
    <row r="37" spans="1:3">
      <c r="A37" t="s">
        <v>775</v>
      </c>
      <c r="B37" s="177"/>
      <c r="C37" s="177"/>
    </row>
    <row r="38" spans="1:3" ht="12" thickBot="1">
      <c r="A38" t="s">
        <v>776</v>
      </c>
      <c r="B38" s="177"/>
      <c r="C38" s="177"/>
    </row>
    <row r="39" spans="1:3" ht="12" thickBot="1">
      <c r="A39" t="s">
        <v>777</v>
      </c>
      <c r="B39" s="301">
        <v>40912.5</v>
      </c>
      <c r="C39" s="301">
        <v>20865.38</v>
      </c>
    </row>
    <row r="40" spans="1:3">
      <c r="A40" t="str">
        <f>IF(B36=B40,IF(C36=C40,"Check Total OK","Check Total Error"),"Check Total Error")</f>
        <v>Check Total OK</v>
      </c>
      <c r="B40" s="169">
        <f>SUM(B37:B39)</f>
        <v>40912.5</v>
      </c>
      <c r="C40" s="169">
        <f>SUM(C37:C39)</f>
        <v>20865.38</v>
      </c>
    </row>
    <row r="41" spans="1:3">
      <c r="B41" s="168"/>
      <c r="C41" s="168"/>
    </row>
    <row r="42" spans="1:3">
      <c r="A42" s="32" t="s">
        <v>822</v>
      </c>
      <c r="B42" s="168"/>
      <c r="C42" s="168"/>
    </row>
    <row r="43" spans="1:3">
      <c r="A43" t="s">
        <v>826</v>
      </c>
      <c r="B43" s="168"/>
      <c r="C43" s="168"/>
    </row>
    <row r="44" spans="1:3">
      <c r="A44" t="s">
        <v>827</v>
      </c>
    </row>
    <row r="45" spans="1:3">
      <c r="A45" t="s">
        <v>828</v>
      </c>
    </row>
    <row r="48" spans="1:3">
      <c r="A48" s="195" t="s">
        <v>774</v>
      </c>
    </row>
    <row r="49" spans="1:1">
      <c r="A49" s="198" t="s">
        <v>829</v>
      </c>
    </row>
    <row r="50" spans="1:1">
      <c r="A50" s="198" t="s">
        <v>823</v>
      </c>
    </row>
    <row r="51" spans="1:1">
      <c r="A51" s="198" t="s">
        <v>830</v>
      </c>
    </row>
    <row r="52" spans="1:1">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c r="A1" s="311" t="s">
        <v>892</v>
      </c>
      <c r="B1" s="314"/>
      <c r="C1" s="314"/>
      <c r="D1" s="314"/>
      <c r="E1" s="314"/>
      <c r="F1" s="314"/>
      <c r="G1" s="314"/>
      <c r="H1" s="314"/>
      <c r="I1" s="131"/>
    </row>
    <row r="2" spans="1:9">
      <c r="A2" s="32" t="s">
        <v>713</v>
      </c>
      <c r="B2" s="196" t="str">
        <f>'DOE25'!A2</f>
        <v>Gilmanton</v>
      </c>
      <c r="C2" s="208"/>
      <c r="D2" s="131" t="s">
        <v>787</v>
      </c>
      <c r="E2" s="131" t="s">
        <v>789</v>
      </c>
      <c r="F2" s="312" t="s">
        <v>891</v>
      </c>
      <c r="G2" s="313"/>
      <c r="H2" s="313"/>
      <c r="I2" s="203"/>
    </row>
    <row r="3" spans="1:9">
      <c r="A3" s="131" t="s">
        <v>94</v>
      </c>
      <c r="B3" s="166" t="s">
        <v>10</v>
      </c>
      <c r="C3" s="204" t="s">
        <v>5</v>
      </c>
      <c r="D3" s="131" t="s">
        <v>788</v>
      </c>
      <c r="E3" s="131" t="s">
        <v>790</v>
      </c>
      <c r="F3" s="202" t="s">
        <v>1616</v>
      </c>
      <c r="G3" s="131" t="s">
        <v>887</v>
      </c>
      <c r="H3" s="131" t="s">
        <v>59</v>
      </c>
      <c r="I3" s="179" t="s">
        <v>793</v>
      </c>
    </row>
    <row r="4" spans="1:9" ht="14.25">
      <c r="A4" s="186" t="s">
        <v>795</v>
      </c>
      <c r="B4" s="186" t="s">
        <v>811</v>
      </c>
      <c r="C4" s="205" t="s">
        <v>786</v>
      </c>
      <c r="D4" s="186" t="s">
        <v>812</v>
      </c>
      <c r="E4" s="186" t="s">
        <v>812</v>
      </c>
      <c r="F4" s="178" t="s">
        <v>1615</v>
      </c>
      <c r="G4" s="186" t="s">
        <v>792</v>
      </c>
      <c r="H4" s="186" t="s">
        <v>806</v>
      </c>
      <c r="I4" s="187" t="s">
        <v>794</v>
      </c>
    </row>
    <row r="5" spans="1:9">
      <c r="A5" s="31">
        <v>1000</v>
      </c>
      <c r="B5" t="s">
        <v>195</v>
      </c>
      <c r="C5" s="206">
        <f t="shared" ref="C5:C19" si="0">SUM(D5:I5)</f>
        <v>7833930.0600000005</v>
      </c>
      <c r="D5" s="19">
        <f>SUM('DOE25'!L198:L201)+SUM('DOE25'!L216:L219)+SUM('DOE25'!L234:L237)-F5-G5-H5</f>
        <v>7821659.3200000003</v>
      </c>
      <c r="E5" s="180"/>
      <c r="F5" s="181"/>
      <c r="G5" s="19">
        <f>SUM('DOE25'!J198:J201)+SUM('DOE25'!J216:J219)+SUM('DOE25'!J234:J237)</f>
        <v>1799.98</v>
      </c>
      <c r="H5" s="19">
        <f>SUM('DOE25'!K198:K201)+SUM('DOE25'!K216:K219)+SUM('DOE25'!K234:K237)</f>
        <v>10470.76</v>
      </c>
      <c r="I5" s="192"/>
    </row>
    <row r="6" spans="1:9">
      <c r="A6" s="31">
        <v>2100</v>
      </c>
      <c r="B6" t="s">
        <v>796</v>
      </c>
      <c r="C6" s="206">
        <f t="shared" si="0"/>
        <v>600960.13</v>
      </c>
      <c r="D6" s="19">
        <f>'DOE25'!L203+'DOE25'!L221+'DOE25'!L239-F6-G6-H6</f>
        <v>600549.55000000005</v>
      </c>
      <c r="E6" s="180"/>
      <c r="F6" s="181"/>
      <c r="G6" s="19">
        <f>'DOE25'!J203+'DOE25'!J221+'DOE25'!J239</f>
        <v>0</v>
      </c>
      <c r="H6" s="19">
        <f>'DOE25'!K203+'DOE25'!K221+'DOE25'!K239</f>
        <v>410.58</v>
      </c>
      <c r="I6" s="192"/>
    </row>
    <row r="7" spans="1:9">
      <c r="A7" s="31">
        <v>2200</v>
      </c>
      <c r="B7" t="s">
        <v>821</v>
      </c>
      <c r="C7" s="206">
        <f t="shared" si="0"/>
        <v>355638.44</v>
      </c>
      <c r="D7" s="19">
        <f>'DOE25'!L204+'DOE25'!L222+'DOE25'!L240-F7-G7-H7</f>
        <v>293710.07</v>
      </c>
      <c r="E7" s="180"/>
      <c r="F7" s="181"/>
      <c r="G7" s="19">
        <f>'DOE25'!J204+'DOE25'!J222+'DOE25'!J240</f>
        <v>50281.54</v>
      </c>
      <c r="H7" s="19">
        <f>'DOE25'!K204+'DOE25'!K222+'DOE25'!K240</f>
        <v>11646.83</v>
      </c>
      <c r="I7" s="192"/>
    </row>
    <row r="8" spans="1:9">
      <c r="A8" s="31">
        <v>2300</v>
      </c>
      <c r="B8" t="s">
        <v>797</v>
      </c>
      <c r="C8" s="206">
        <f t="shared" si="0"/>
        <v>469548.04999999993</v>
      </c>
      <c r="D8" s="180"/>
      <c r="E8" s="19">
        <f>'DOE25'!L205+'DOE25'!L223+'DOE25'!L241-F8-G8-H8-D9-D11</f>
        <v>469548.04999999993</v>
      </c>
      <c r="F8" s="181"/>
      <c r="G8" s="19">
        <f>'DOE25'!J205+'DOE25'!J223+'DOE25'!J241</f>
        <v>0</v>
      </c>
      <c r="H8" s="19">
        <f>'DOE25'!K205+'DOE25'!K223+'DOE25'!K241</f>
        <v>0</v>
      </c>
      <c r="I8" s="192"/>
    </row>
    <row r="9" spans="1:9" ht="14.25">
      <c r="A9" s="31">
        <v>2310</v>
      </c>
      <c r="B9" s="71" t="s">
        <v>888</v>
      </c>
      <c r="C9" s="206">
        <f t="shared" si="0"/>
        <v>0</v>
      </c>
      <c r="D9" s="181"/>
      <c r="E9" s="180"/>
      <c r="F9" s="180"/>
      <c r="G9" s="180"/>
      <c r="H9" s="180"/>
      <c r="I9" s="192"/>
    </row>
    <row r="10" spans="1:9" ht="14.25">
      <c r="A10" s="31">
        <v>2317</v>
      </c>
      <c r="B10" s="71" t="s">
        <v>889</v>
      </c>
      <c r="C10" s="206">
        <f t="shared" si="0"/>
        <v>0</v>
      </c>
      <c r="D10" s="180"/>
      <c r="E10" s="181"/>
      <c r="F10" s="180"/>
      <c r="G10" s="180"/>
      <c r="H10" s="180"/>
      <c r="I10" s="192"/>
    </row>
    <row r="11" spans="1:9" ht="14.25">
      <c r="A11" s="31">
        <v>2321</v>
      </c>
      <c r="B11" s="71" t="s">
        <v>890</v>
      </c>
      <c r="C11" s="206">
        <f t="shared" si="0"/>
        <v>0</v>
      </c>
      <c r="D11" s="181"/>
      <c r="E11" s="180"/>
      <c r="F11" s="180"/>
      <c r="G11" s="180"/>
      <c r="H11" s="180"/>
      <c r="I11" s="192"/>
    </row>
    <row r="12" spans="1:9">
      <c r="A12" s="31">
        <v>2400</v>
      </c>
      <c r="B12" t="s">
        <v>711</v>
      </c>
      <c r="C12" s="206">
        <f t="shared" si="0"/>
        <v>388795.94</v>
      </c>
      <c r="D12" s="19">
        <f>'DOE25'!L206+'DOE25'!L224+'DOE25'!L242-F12-G12-H12</f>
        <v>383856.59</v>
      </c>
      <c r="E12" s="180"/>
      <c r="F12" s="181"/>
      <c r="G12" s="19">
        <f>'DOE25'!J206+'DOE25'!J224+'DOE25'!J242</f>
        <v>0</v>
      </c>
      <c r="H12" s="19">
        <f>'DOE25'!K206+'DOE25'!K224+'DOE25'!K242</f>
        <v>4939.3500000000004</v>
      </c>
      <c r="I12" s="192"/>
    </row>
    <row r="13" spans="1:9">
      <c r="A13" s="31">
        <v>2500</v>
      </c>
      <c r="B13" t="s">
        <v>798</v>
      </c>
      <c r="C13" s="206">
        <f t="shared" si="0"/>
        <v>193908.58</v>
      </c>
      <c r="D13" s="180"/>
      <c r="E13" s="19">
        <f>'DOE25'!L207+'DOE25'!L225+'DOE25'!L243-F13-G13-H13</f>
        <v>184754.12</v>
      </c>
      <c r="F13" s="181"/>
      <c r="G13" s="19">
        <f>'DOE25'!J207+'DOE25'!J225+'DOE25'!J243</f>
        <v>7500</v>
      </c>
      <c r="H13" s="19">
        <f>'DOE25'!K207+'DOE25'!K225+'DOE25'!K243</f>
        <v>1654.46</v>
      </c>
      <c r="I13" s="192"/>
    </row>
    <row r="14" spans="1:9">
      <c r="A14" s="31">
        <v>2600</v>
      </c>
      <c r="B14" t="s">
        <v>819</v>
      </c>
      <c r="C14" s="206">
        <f t="shared" si="0"/>
        <v>602166.84000000008</v>
      </c>
      <c r="D14" s="19">
        <f>'DOE25'!L208+'DOE25'!L226+'DOE25'!L244-F14-G14-H14</f>
        <v>595902.84000000008</v>
      </c>
      <c r="E14" s="180"/>
      <c r="F14" s="181"/>
      <c r="G14" s="19">
        <f>'DOE25'!J208+'DOE25'!J226+'DOE25'!J244</f>
        <v>0</v>
      </c>
      <c r="H14" s="19">
        <f>'DOE25'!K208+'DOE25'!K226+'DOE25'!K244</f>
        <v>6264</v>
      </c>
      <c r="I14" s="192"/>
    </row>
    <row r="15" spans="1:9">
      <c r="A15" s="31">
        <v>2700</v>
      </c>
      <c r="B15" t="s">
        <v>799</v>
      </c>
      <c r="C15" s="206">
        <f t="shared" si="0"/>
        <v>496113.48</v>
      </c>
      <c r="D15" s="19">
        <f>'DOE25'!L209+'DOE25'!L227+'DOE25'!L245-F15-G15-H15</f>
        <v>496113.48</v>
      </c>
      <c r="E15" s="180"/>
      <c r="F15" s="181"/>
      <c r="G15" s="19">
        <f>'DOE25'!J209+'DOE25'!J227+'DOE25'!J245</f>
        <v>0</v>
      </c>
      <c r="H15" s="19">
        <f>'DOE25'!K209+'DOE25'!K227+'DOE25'!K245</f>
        <v>0</v>
      </c>
      <c r="I15" s="192"/>
    </row>
    <row r="16" spans="1:9">
      <c r="A16" s="31">
        <v>2800</v>
      </c>
      <c r="B16" t="s">
        <v>800</v>
      </c>
      <c r="C16" s="206">
        <f t="shared" si="0"/>
        <v>0</v>
      </c>
      <c r="D16" s="180"/>
      <c r="E16" s="19">
        <f>'DOE25'!L210+'DOE25'!L228+'DOE25'!L246-F16-G16-H16</f>
        <v>0</v>
      </c>
      <c r="F16" s="181"/>
      <c r="G16" s="19">
        <f>'DOE25'!J210+'DOE25'!J228+'DOE25'!J246</f>
        <v>0</v>
      </c>
      <c r="H16" s="19">
        <f>'DOE25'!K210+'DOE25'!K228+'DOE25'!K246</f>
        <v>0</v>
      </c>
      <c r="I16" s="192"/>
    </row>
    <row r="17" spans="1:9">
      <c r="A17" s="31">
        <v>1600</v>
      </c>
      <c r="B17" t="s">
        <v>801</v>
      </c>
      <c r="C17" s="206">
        <f t="shared" si="0"/>
        <v>0</v>
      </c>
      <c r="D17" s="19">
        <f>'DOE25'!L252-F17-G17-H17</f>
        <v>0</v>
      </c>
      <c r="E17" s="180"/>
      <c r="F17" s="181"/>
      <c r="G17" s="19">
        <f>'DOE25'!J252</f>
        <v>0</v>
      </c>
      <c r="H17" s="19">
        <f>'DOE25'!K252</f>
        <v>0</v>
      </c>
      <c r="I17" s="192"/>
    </row>
    <row r="18" spans="1:9">
      <c r="A18" s="31">
        <v>1700</v>
      </c>
      <c r="B18" t="s">
        <v>802</v>
      </c>
      <c r="C18" s="206">
        <f t="shared" si="0"/>
        <v>0</v>
      </c>
      <c r="D18" s="19">
        <f>'DOE25'!L253-F18-G18-H18</f>
        <v>0</v>
      </c>
      <c r="E18" s="180"/>
      <c r="F18" s="181"/>
      <c r="G18" s="19">
        <f>'DOE25'!J253</f>
        <v>0</v>
      </c>
      <c r="H18" s="19">
        <f>'DOE25'!K253</f>
        <v>0</v>
      </c>
      <c r="I18" s="192"/>
    </row>
    <row r="19" spans="1:9">
      <c r="A19" s="31">
        <v>1800</v>
      </c>
      <c r="B19" t="s">
        <v>803</v>
      </c>
      <c r="C19" s="206">
        <f t="shared" si="0"/>
        <v>0</v>
      </c>
      <c r="D19" s="19">
        <f>'DOE25'!L254-F19-G19-H19</f>
        <v>0</v>
      </c>
      <c r="E19" s="180"/>
      <c r="F19" s="181"/>
      <c r="G19" s="19">
        <f>'DOE25'!J254</f>
        <v>0</v>
      </c>
      <c r="H19" s="19">
        <f>'DOE25'!K254</f>
        <v>0</v>
      </c>
      <c r="I19" s="192"/>
    </row>
    <row r="20" spans="1:9">
      <c r="C20" s="207"/>
      <c r="F20" s="201"/>
      <c r="I20" s="193"/>
    </row>
    <row r="21" spans="1:9">
      <c r="B21" s="32" t="s">
        <v>791</v>
      </c>
      <c r="C21" s="207"/>
      <c r="F21" s="201"/>
      <c r="I21" s="193"/>
    </row>
    <row r="22" spans="1:9">
      <c r="A22" s="31">
        <v>4000</v>
      </c>
      <c r="B22" t="s">
        <v>820</v>
      </c>
      <c r="C22" s="209">
        <f>SUM(D22:I22)</f>
        <v>0</v>
      </c>
      <c r="D22" s="180"/>
      <c r="E22" s="180"/>
      <c r="F22" s="180"/>
      <c r="G22" s="19">
        <f>'DOE25'!L256+'DOE25'!L337</f>
        <v>0</v>
      </c>
      <c r="H22" s="180"/>
      <c r="I22" s="192"/>
    </row>
    <row r="23" spans="1:9">
      <c r="A23" s="31"/>
      <c r="C23" s="207"/>
      <c r="F23" s="201"/>
      <c r="I23" s="193"/>
    </row>
    <row r="24" spans="1:9">
      <c r="A24" s="31"/>
      <c r="B24" s="32" t="s">
        <v>463</v>
      </c>
      <c r="C24" s="207"/>
      <c r="F24" s="201"/>
      <c r="I24" s="193"/>
    </row>
    <row r="25" spans="1:9">
      <c r="A25" s="31" t="s">
        <v>804</v>
      </c>
      <c r="B25" t="s">
        <v>805</v>
      </c>
      <c r="C25" s="206">
        <f>SUM(D25:I25)</f>
        <v>125930</v>
      </c>
      <c r="D25" s="180"/>
      <c r="E25" s="180"/>
      <c r="F25" s="191"/>
      <c r="G25" s="180"/>
      <c r="H25" s="180"/>
      <c r="I25" s="190">
        <f>'DOE25'!L261+'DOE25'!L262+'DOE25'!L342+'DOE25'!L343</f>
        <v>125930</v>
      </c>
    </row>
    <row r="26" spans="1:9">
      <c r="A26" s="31"/>
      <c r="C26" s="207"/>
      <c r="F26" s="201"/>
      <c r="I26" s="193"/>
    </row>
    <row r="27" spans="1:9">
      <c r="A27" s="31"/>
      <c r="B27" s="32" t="s">
        <v>807</v>
      </c>
      <c r="C27" s="207"/>
      <c r="F27" s="201"/>
      <c r="I27" s="193"/>
    </row>
    <row r="28" spans="1:9">
      <c r="A28" s="31">
        <v>3100</v>
      </c>
      <c r="B28" t="s">
        <v>816</v>
      </c>
      <c r="C28" s="207"/>
      <c r="F28" s="201"/>
      <c r="I28" s="193"/>
    </row>
    <row r="29" spans="1:9">
      <c r="A29" s="31"/>
      <c r="B29" t="s">
        <v>808</v>
      </c>
      <c r="C29" s="206">
        <f>SUM(D29:I29)</f>
        <v>133200.27000000002</v>
      </c>
      <c r="D29" s="212">
        <f>'DOE25'!L359+'DOE25'!L360+'DOE25'!L361-'DOE25'!I368-F29-G29-H29</f>
        <v>114535.64000000001</v>
      </c>
      <c r="E29" s="180"/>
      <c r="F29" s="181"/>
      <c r="G29" s="19">
        <f>'DOE25'!J359+'DOE25'!J360+'DOE25'!J361</f>
        <v>18664.63</v>
      </c>
      <c r="H29" s="19">
        <f>'DOE25'!K359+'DOE25'!K360+'DOE25'!K361</f>
        <v>0</v>
      </c>
      <c r="I29" s="192"/>
    </row>
    <row r="30" spans="1:9">
      <c r="A30" s="31"/>
      <c r="C30" s="207"/>
      <c r="D30" s="19"/>
      <c r="F30" s="201"/>
      <c r="G30" s="19"/>
      <c r="H30" s="19"/>
      <c r="I30" s="192"/>
    </row>
    <row r="31" spans="1:9">
      <c r="A31" s="31" t="s">
        <v>818</v>
      </c>
      <c r="B31" t="s">
        <v>817</v>
      </c>
      <c r="C31" s="206">
        <f>SUM(D31:I31)</f>
        <v>294129.95999999996</v>
      </c>
      <c r="D31" s="19">
        <f>'DOE25'!L291+'DOE25'!L310+'DOE25'!L329+'DOE25'!L334+'DOE25'!L335+'DOE25'!L336-F31-G31-H31</f>
        <v>235277.10999999996</v>
      </c>
      <c r="E31" s="180"/>
      <c r="F31" s="181"/>
      <c r="G31" s="19">
        <f>'DOE25'!J291+'DOE25'!J310+'DOE25'!J329+'DOE25'!J334+'DOE25'!J335+'DOE25'!J336</f>
        <v>57886.85</v>
      </c>
      <c r="H31" s="19">
        <f>'DOE25'!K291+'DOE25'!K310+'DOE25'!K329+'DOE25'!K334+'DOE25'!K335+'DOE25'!K336</f>
        <v>966</v>
      </c>
      <c r="I31" s="192"/>
    </row>
    <row r="32" spans="1:9" ht="12" thickBot="1">
      <c r="C32" s="207"/>
      <c r="G32" s="188"/>
      <c r="H32" s="188"/>
      <c r="I32" s="194"/>
    </row>
    <row r="33" spans="1:9" ht="12" thickTop="1">
      <c r="B33" t="s">
        <v>809</v>
      </c>
      <c r="D33" s="182">
        <f t="shared" ref="D33:I33" si="1">SUM(D5:D31)</f>
        <v>10541604.600000001</v>
      </c>
      <c r="E33" s="182">
        <f t="shared" si="1"/>
        <v>654302.16999999993</v>
      </c>
      <c r="F33" s="182">
        <f t="shared" si="1"/>
        <v>0</v>
      </c>
      <c r="G33" s="182">
        <f t="shared" si="1"/>
        <v>136133</v>
      </c>
      <c r="H33" s="182">
        <f t="shared" si="1"/>
        <v>36351.979999999996</v>
      </c>
      <c r="I33" s="182">
        <f t="shared" si="1"/>
        <v>125930</v>
      </c>
    </row>
    <row r="35" spans="1:9" ht="12" thickBot="1">
      <c r="B35" s="188" t="s">
        <v>831</v>
      </c>
      <c r="D35" s="189">
        <f>E33</f>
        <v>654302.16999999993</v>
      </c>
      <c r="E35" s="185"/>
      <c r="F35" s="255" t="s">
        <v>1617</v>
      </c>
      <c r="G35" s="256"/>
      <c r="H35" s="256"/>
      <c r="I35" s="256"/>
    </row>
    <row r="36" spans="1:9" ht="12" thickTop="1">
      <c r="B36" t="s">
        <v>810</v>
      </c>
      <c r="D36" s="19">
        <f>D33</f>
        <v>10541604.600000001</v>
      </c>
      <c r="F36" s="258" t="s">
        <v>1614</v>
      </c>
      <c r="G36" s="257" t="str">
        <f>IF(F36=0,"&lt;&lt;&lt;&lt;&lt; YOU HAVE NOT CHOSEN IF YOU WANT AN INDIRECT COST RATE!!","")</f>
        <v/>
      </c>
      <c r="H36" s="257"/>
    </row>
    <row r="38" spans="1:9">
      <c r="B38" s="136" t="s">
        <v>899</v>
      </c>
      <c r="C38" s="197"/>
      <c r="D38" s="213"/>
    </row>
    <row r="39" spans="1:9">
      <c r="B39" s="136" t="s">
        <v>815</v>
      </c>
      <c r="D39" s="214" t="str">
        <f>IF(E10&gt;0,"Y","N")</f>
        <v>N</v>
      </c>
    </row>
    <row r="41" spans="1:9" ht="12">
      <c r="A41" s="210"/>
      <c r="B41" s="211" t="s">
        <v>767</v>
      </c>
      <c r="C41" s="210"/>
      <c r="D41" s="210"/>
      <c r="E41" s="210"/>
      <c r="F41" s="210"/>
      <c r="G41" s="210"/>
      <c r="H41" s="210"/>
      <c r="I41" s="210"/>
    </row>
    <row r="42" spans="1:9" ht="12">
      <c r="A42" s="210"/>
      <c r="B42" s="210" t="s">
        <v>894</v>
      </c>
      <c r="C42" s="210"/>
      <c r="D42" s="210"/>
      <c r="E42" s="210"/>
      <c r="F42" s="210"/>
      <c r="G42" s="210"/>
      <c r="H42" s="210"/>
      <c r="I42" s="210"/>
    </row>
    <row r="43" spans="1:9" ht="12">
      <c r="A43" s="210"/>
      <c r="B43" s="210" t="s">
        <v>813</v>
      </c>
      <c r="C43" s="210"/>
      <c r="D43" s="210"/>
      <c r="E43" s="210"/>
      <c r="F43" s="210"/>
      <c r="G43" s="210"/>
      <c r="H43" s="210"/>
      <c r="I43" s="210"/>
    </row>
    <row r="44" spans="1:9" ht="12">
      <c r="A44" s="210"/>
      <c r="B44" s="210"/>
      <c r="C44" s="210"/>
      <c r="D44" s="210"/>
      <c r="E44" s="210"/>
      <c r="F44" s="210"/>
      <c r="G44" s="210"/>
      <c r="H44" s="210"/>
      <c r="I44" s="210"/>
    </row>
    <row r="45" spans="1:9" ht="12">
      <c r="A45" s="210"/>
      <c r="B45" s="210" t="s">
        <v>895</v>
      </c>
      <c r="C45" s="210"/>
      <c r="D45" s="210"/>
      <c r="E45" s="210"/>
      <c r="F45" s="210"/>
      <c r="G45" s="210"/>
      <c r="H45" s="210"/>
      <c r="I45" s="210"/>
    </row>
    <row r="46" spans="1:9" ht="12">
      <c r="A46" s="210"/>
      <c r="B46" s="210"/>
      <c r="C46" s="210"/>
      <c r="D46" s="210"/>
      <c r="E46" s="210"/>
      <c r="F46" s="210"/>
      <c r="G46" s="210"/>
      <c r="H46" s="210"/>
      <c r="I46" s="210"/>
    </row>
    <row r="47" spans="1:9" ht="12">
      <c r="A47" s="210"/>
      <c r="B47" s="210" t="s">
        <v>898</v>
      </c>
      <c r="C47" s="210"/>
      <c r="D47" s="210"/>
      <c r="E47" s="210"/>
      <c r="F47" s="210"/>
      <c r="G47" s="210"/>
      <c r="H47" s="210"/>
      <c r="I47" s="210"/>
    </row>
    <row r="48" spans="1:9" ht="12">
      <c r="A48" s="210"/>
      <c r="B48" s="210" t="s">
        <v>897</v>
      </c>
      <c r="C48" s="210"/>
      <c r="D48" s="210"/>
      <c r="E48" s="210"/>
      <c r="F48" s="210"/>
      <c r="G48" s="210"/>
      <c r="H48" s="210"/>
      <c r="I48" s="210"/>
    </row>
    <row r="49" spans="1:9" ht="12">
      <c r="A49" s="210"/>
      <c r="B49" s="210" t="s">
        <v>896</v>
      </c>
      <c r="C49" s="210"/>
      <c r="D49" s="210"/>
      <c r="E49" s="210"/>
      <c r="F49" s="210"/>
      <c r="G49" s="210"/>
      <c r="H49" s="210"/>
      <c r="I49" s="210"/>
    </row>
    <row r="50" spans="1:9" ht="12">
      <c r="A50" s="210"/>
      <c r="B50" s="210" t="s">
        <v>893</v>
      </c>
      <c r="C50" s="210"/>
      <c r="D50" s="210"/>
      <c r="E50" s="210"/>
      <c r="F50" s="210"/>
      <c r="G50" s="210"/>
      <c r="H50" s="210"/>
      <c r="I50" s="210"/>
    </row>
    <row r="51" spans="1:9" ht="12">
      <c r="A51" s="210"/>
      <c r="B51" s="210" t="s">
        <v>814</v>
      </c>
      <c r="C51" s="210"/>
      <c r="D51" s="210"/>
      <c r="E51" s="210"/>
      <c r="F51" s="210"/>
      <c r="G51" s="210"/>
      <c r="H51" s="210"/>
      <c r="I51" s="210"/>
    </row>
    <row r="52" spans="1:9" ht="12">
      <c r="A52" s="210"/>
      <c r="B52" s="210"/>
      <c r="C52" s="210"/>
      <c r="D52" s="210"/>
      <c r="E52" s="210"/>
      <c r="F52" s="210"/>
      <c r="G52" s="210"/>
      <c r="H52" s="210"/>
      <c r="I52" s="210"/>
    </row>
    <row r="53" spans="1:9" ht="49.5" customHeight="1">
      <c r="A53" s="210"/>
      <c r="B53" s="315" t="s">
        <v>900</v>
      </c>
      <c r="C53" s="315"/>
      <c r="D53" s="315"/>
      <c r="E53" s="315"/>
      <c r="F53" s="315"/>
      <c r="G53" s="315"/>
      <c r="H53" s="315"/>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3" zoomScaleNormal="100" workbookViewId="0">
      <selection activeCell="F45" sqref="F45"/>
    </sheetView>
  </sheetViews>
  <sheetFormatPr defaultRowHeight="11.25"/>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c r="A1" t="s">
        <v>904</v>
      </c>
      <c r="B1" t="s">
        <v>905</v>
      </c>
      <c r="D1" s="32" t="s">
        <v>1566</v>
      </c>
    </row>
    <row r="2" spans="1:18" ht="12" thickBot="1">
      <c r="A2" s="221" t="str">
        <f>'DOE25'!A2</f>
        <v>Gilmanton</v>
      </c>
      <c r="B2">
        <f>'DOE25'!B2</f>
        <v>195</v>
      </c>
    </row>
    <row r="3" spans="1:18" ht="36.75" customHeight="1" thickBot="1">
      <c r="A3" s="222" t="s">
        <v>1540</v>
      </c>
      <c r="B3" s="223"/>
      <c r="C3" s="223"/>
      <c r="D3" s="224" t="s">
        <v>1541</v>
      </c>
      <c r="E3" s="224" t="s">
        <v>1542</v>
      </c>
      <c r="F3" s="225" t="s">
        <v>1549</v>
      </c>
      <c r="G3" s="226" t="s">
        <v>1550</v>
      </c>
      <c r="H3" s="227" t="s">
        <v>1532</v>
      </c>
      <c r="N3" s="215"/>
      <c r="O3" s="215"/>
      <c r="P3" s="215"/>
      <c r="Q3" s="215"/>
      <c r="R3" s="216"/>
    </row>
    <row r="4" spans="1:18" ht="11.25" customHeight="1" thickBot="1">
      <c r="A4" s="224" t="s">
        <v>1530</v>
      </c>
      <c r="B4" s="224" t="s">
        <v>1531</v>
      </c>
      <c r="C4" s="224" t="s">
        <v>904</v>
      </c>
      <c r="D4" s="224" t="s">
        <v>786</v>
      </c>
      <c r="E4" s="224" t="s">
        <v>786</v>
      </c>
      <c r="F4" s="228">
        <f>SUM(F5:F20)</f>
        <v>7365249.0599999996</v>
      </c>
      <c r="G4" s="229">
        <f>'DOE25'!L212+'DOE25'!L291</f>
        <v>7365249.0600000015</v>
      </c>
      <c r="H4" s="267">
        <f>F4-G4</f>
        <v>0</v>
      </c>
      <c r="I4" s="316" t="str">
        <f>IF(H4=0,"","ISSUES!! Please review page 7 and 11 totals in comparison with total on this page")</f>
        <v/>
      </c>
      <c r="N4"/>
    </row>
    <row r="5" spans="1:18" ht="12" thickBot="1">
      <c r="A5" t="s">
        <v>1548</v>
      </c>
      <c r="B5" s="230">
        <f>IFERROR(VLOOKUP(A5,'School Tables'!$C$3:$D$365,2,FALSE),"")</f>
        <v>99999</v>
      </c>
      <c r="C5" s="223" t="str">
        <f>IFERROR(INDEX('School Tables'!$B$3:$B$365,MATCH('School Level Expenditures'!B5,'School Tables'!$D$3:$D$365,0)),"")</f>
        <v>Other District Expenditures</v>
      </c>
      <c r="D5" s="302"/>
      <c r="E5" s="302"/>
      <c r="F5" s="232">
        <f>D5+E5</f>
        <v>0</v>
      </c>
      <c r="G5" s="223"/>
      <c r="H5" s="223"/>
      <c r="I5" s="317"/>
      <c r="N5"/>
    </row>
    <row r="6" spans="1:18">
      <c r="A6" t="str" cm="1">
        <f t="array" ref="A6">IFERROR(INDEX('School Tables'!$A$4:$G$325,'School Tables'!$J4,3),"")</f>
        <v>Gilmanton Elementary School</v>
      </c>
      <c r="B6" s="230">
        <f>IFERROR(VLOOKUP(A6,'School Tables'!$C$3:$D$365,2,FALSE),"")</f>
        <v>21250</v>
      </c>
      <c r="C6" s="223" t="str">
        <f>IFERROR(INDEX('School Tables'!$B$3:$B$365,MATCH('School Level Expenditures'!B6,'School Tables'!$D$3:$D$365,0)),"")</f>
        <v>Gilmanton</v>
      </c>
      <c r="D6" s="220">
        <v>7071119.0999999996</v>
      </c>
      <c r="E6" s="220">
        <v>294129.96000000002</v>
      </c>
      <c r="F6" s="232">
        <f>D6+E6</f>
        <v>7365249.0599999996</v>
      </c>
      <c r="G6" s="223"/>
      <c r="H6" s="223"/>
      <c r="I6" s="317"/>
      <c r="N6"/>
    </row>
    <row r="7" spans="1:18">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ref="F7:F20" si="0">D7+E7</f>
        <v>0</v>
      </c>
      <c r="G7" s="223"/>
      <c r="H7" s="223"/>
      <c r="I7" s="268"/>
      <c r="N7"/>
    </row>
    <row r="8" spans="1:18">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c r="B21" s="231"/>
      <c r="C21" s="217"/>
      <c r="D21" s="265">
        <f>SUM(D5:D20)</f>
        <v>7071119.0999999996</v>
      </c>
      <c r="E21" s="265">
        <f>SUM(E5:E20)</f>
        <v>294129.96000000002</v>
      </c>
      <c r="F21" s="217"/>
      <c r="G21" s="217"/>
      <c r="H21" s="217"/>
      <c r="N21"/>
    </row>
    <row r="22" spans="1:14" ht="12.75" thickTop="1" thickBot="1">
      <c r="B22" s="231"/>
      <c r="C22" s="217"/>
      <c r="D22" s="220"/>
      <c r="E22" s="220"/>
      <c r="F22" s="217"/>
      <c r="G22" s="217"/>
      <c r="H22" s="217"/>
      <c r="N22"/>
    </row>
    <row r="23" spans="1:14" ht="34.5">
      <c r="A23" s="222" t="s">
        <v>1543</v>
      </c>
      <c r="B23" s="223"/>
      <c r="C23" s="223"/>
      <c r="D23" s="224" t="s">
        <v>1541</v>
      </c>
      <c r="E23" s="224" t="s">
        <v>1542</v>
      </c>
      <c r="F23" s="225" t="s">
        <v>1549</v>
      </c>
      <c r="G23" s="226" t="s">
        <v>1551</v>
      </c>
      <c r="H23" s="227" t="s">
        <v>1532</v>
      </c>
      <c r="N23"/>
    </row>
    <row r="24" spans="1:14" ht="12" thickBot="1">
      <c r="A24" s="224" t="s">
        <v>1544</v>
      </c>
      <c r="B24" s="224" t="s">
        <v>1545</v>
      </c>
      <c r="C24" s="224" t="s">
        <v>904</v>
      </c>
      <c r="D24" s="224" t="s">
        <v>786</v>
      </c>
      <c r="E24" s="224" t="s">
        <v>786</v>
      </c>
      <c r="F24" s="233">
        <f>SUM(F25:F32)</f>
        <v>0</v>
      </c>
      <c r="G24" s="229">
        <f>'DOE25'!L230+'DOE25'!L310</f>
        <v>0</v>
      </c>
      <c r="H24" s="267">
        <f>F24-G24</f>
        <v>0</v>
      </c>
      <c r="I24" s="316" t="str">
        <f>IF(H24=0,"","ISSUES!! Please review page 8 and 12 totals in comparison with total on this page")</f>
        <v/>
      </c>
      <c r="N24"/>
    </row>
    <row r="25" spans="1:14">
      <c r="A25" t="s">
        <v>1548</v>
      </c>
      <c r="B25" s="230">
        <v>99999</v>
      </c>
      <c r="C25" s="223" t="s">
        <v>1548</v>
      </c>
      <c r="D25" s="220"/>
      <c r="E25" s="220"/>
      <c r="F25" s="232">
        <f>D25+E25</f>
        <v>0</v>
      </c>
      <c r="G25" s="223"/>
      <c r="H25" s="223"/>
      <c r="I25" s="317"/>
      <c r="N25"/>
    </row>
    <row r="26" spans="1:14">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7"/>
      <c r="N26"/>
    </row>
    <row r="27" spans="1:14">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c r="B33" s="231"/>
      <c r="C33" s="217"/>
      <c r="D33" s="265">
        <f>SUM(D25:D32)</f>
        <v>0</v>
      </c>
      <c r="E33" s="265">
        <f>SUM(E25:E32)</f>
        <v>0</v>
      </c>
      <c r="F33" s="217"/>
      <c r="G33" s="217"/>
      <c r="H33" s="217"/>
      <c r="N33"/>
    </row>
    <row r="34" spans="1:14" ht="12.75" thickTop="1" thickBot="1">
      <c r="B34" s="231"/>
      <c r="C34" s="217"/>
      <c r="D34" s="220"/>
      <c r="E34" s="220"/>
      <c r="F34" s="217"/>
      <c r="G34" s="217"/>
      <c r="H34" s="217"/>
      <c r="N34"/>
    </row>
    <row r="35" spans="1:14" ht="34.5">
      <c r="A35" s="218" t="s">
        <v>367</v>
      </c>
      <c r="B35" s="223"/>
      <c r="C35" s="223"/>
      <c r="D35" s="224" t="s">
        <v>1541</v>
      </c>
      <c r="E35" s="224" t="s">
        <v>1542</v>
      </c>
      <c r="F35" s="225" t="s">
        <v>1549</v>
      </c>
      <c r="G35" s="226" t="s">
        <v>1552</v>
      </c>
      <c r="H35" s="227" t="s">
        <v>1532</v>
      </c>
      <c r="N35"/>
    </row>
    <row r="36" spans="1:14" ht="12" thickBot="1">
      <c r="A36" s="219" t="s">
        <v>1546</v>
      </c>
      <c r="B36" s="224" t="s">
        <v>1547</v>
      </c>
      <c r="C36" s="224" t="s">
        <v>904</v>
      </c>
      <c r="D36" s="224" t="s">
        <v>786</v>
      </c>
      <c r="E36" s="224" t="s">
        <v>786</v>
      </c>
      <c r="F36" s="233">
        <f>SUM(F37:F42)</f>
        <v>3869942.42</v>
      </c>
      <c r="G36" s="229">
        <f>'DOE25'!L248+'DOE25'!L329</f>
        <v>3869942.4200000004</v>
      </c>
      <c r="H36" s="267">
        <f>F36-G36</f>
        <v>0</v>
      </c>
      <c r="I36" s="316" t="str">
        <f>IF(H36=0,"","ISSUES!! Please review page 9 and 13 totals in comparison with total on this page")</f>
        <v/>
      </c>
      <c r="N36"/>
    </row>
    <row r="37" spans="1:14">
      <c r="A37" t="s">
        <v>1548</v>
      </c>
      <c r="B37" s="230">
        <v>99999</v>
      </c>
      <c r="C37" s="223" t="s">
        <v>1548</v>
      </c>
      <c r="D37" s="303">
        <v>3869942.42</v>
      </c>
      <c r="E37" s="220"/>
      <c r="F37" s="232">
        <f t="shared" ref="F37:F42" si="2">D37+E37</f>
        <v>3869942.42</v>
      </c>
      <c r="G37" s="223"/>
      <c r="H37" s="223"/>
      <c r="I37" s="317"/>
      <c r="N37"/>
    </row>
    <row r="38" spans="1:14">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7"/>
      <c r="N38"/>
    </row>
    <row r="39" spans="1:14">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c r="D43" s="265">
        <f>SUM(D37:D42)</f>
        <v>3869942.42</v>
      </c>
      <c r="E43" s="266">
        <f>SUM(E37:E42)</f>
        <v>0</v>
      </c>
      <c r="N43"/>
    </row>
    <row r="44" spans="1:14" ht="12" thickTop="1">
      <c r="N44"/>
    </row>
    <row r="45" spans="1:14">
      <c r="N45"/>
    </row>
    <row r="46" spans="1:14" ht="12">
      <c r="A46" s="211" t="s">
        <v>767</v>
      </c>
      <c r="B46" s="210"/>
      <c r="C46" s="210"/>
      <c r="D46" s="210"/>
      <c r="E46" s="210"/>
      <c r="F46" s="210"/>
      <c r="G46" s="210"/>
      <c r="H46" s="210"/>
      <c r="N46"/>
    </row>
    <row r="47" spans="1:14" ht="12">
      <c r="A47" s="210" t="s">
        <v>1562</v>
      </c>
      <c r="B47" s="210"/>
      <c r="C47" s="210"/>
      <c r="D47" s="210"/>
      <c r="E47" s="210"/>
      <c r="F47" s="210"/>
      <c r="G47" s="210"/>
      <c r="H47" s="210"/>
      <c r="N47"/>
    </row>
    <row r="48" spans="1:14" ht="12">
      <c r="A48" s="210" t="s">
        <v>1563</v>
      </c>
      <c r="B48" s="210"/>
      <c r="C48" s="210"/>
      <c r="D48" s="210"/>
      <c r="E48" s="210"/>
      <c r="F48" s="210"/>
      <c r="G48" s="210"/>
      <c r="H48" s="210"/>
      <c r="N48"/>
    </row>
    <row r="49" spans="1:14" ht="12">
      <c r="A49" s="210"/>
      <c r="B49" s="210"/>
      <c r="C49" s="210"/>
      <c r="D49" s="210"/>
      <c r="E49" s="210"/>
      <c r="F49" s="210"/>
      <c r="G49" s="210"/>
      <c r="H49" s="210"/>
      <c r="N49"/>
    </row>
    <row r="50" spans="1:14" ht="12">
      <c r="A50" s="210" t="s">
        <v>1564</v>
      </c>
      <c r="B50" s="210"/>
      <c r="C50" s="210"/>
      <c r="D50" s="210"/>
      <c r="E50" s="210"/>
      <c r="F50" s="210"/>
      <c r="G50" s="210"/>
      <c r="H50" s="210"/>
      <c r="N50"/>
    </row>
    <row r="51" spans="1:14" ht="12">
      <c r="A51" s="210"/>
      <c r="B51" s="210"/>
      <c r="C51" s="210"/>
      <c r="D51" s="210"/>
      <c r="E51" s="210"/>
      <c r="F51" s="210"/>
      <c r="G51" s="210"/>
      <c r="H51" s="210"/>
      <c r="N51"/>
    </row>
    <row r="52" spans="1:14" ht="12">
      <c r="A52" s="210" t="s">
        <v>1565</v>
      </c>
      <c r="B52" s="210"/>
      <c r="C52" s="210"/>
      <c r="D52" s="210"/>
      <c r="E52" s="210"/>
      <c r="F52" s="210"/>
      <c r="G52" s="210"/>
      <c r="H52" s="210"/>
      <c r="N52"/>
    </row>
    <row r="53" spans="1:14" ht="12">
      <c r="A53" s="210"/>
      <c r="B53" s="210"/>
      <c r="C53" s="210"/>
      <c r="D53" s="210"/>
      <c r="E53" s="210"/>
      <c r="F53" s="210"/>
      <c r="G53" s="210"/>
      <c r="H53" s="210"/>
      <c r="N53"/>
    </row>
    <row r="54" spans="1:14" ht="12">
      <c r="A54" s="210"/>
      <c r="B54" s="210"/>
      <c r="C54" s="210"/>
      <c r="D54" s="210"/>
      <c r="E54" s="210"/>
      <c r="F54" s="210"/>
      <c r="G54" s="210"/>
      <c r="H54" s="210"/>
      <c r="N54"/>
    </row>
    <row r="55" spans="1:14" ht="12">
      <c r="A55" s="210"/>
      <c r="B55" s="210"/>
      <c r="C55" s="210"/>
      <c r="D55" s="210"/>
      <c r="E55" s="210"/>
      <c r="F55" s="210"/>
      <c r="G55" s="210"/>
      <c r="H55" s="210"/>
      <c r="N55"/>
    </row>
    <row r="56" spans="1:14" ht="12">
      <c r="A56" s="210"/>
      <c r="B56" s="210"/>
      <c r="C56" s="210"/>
      <c r="D56" s="210"/>
      <c r="E56" s="210"/>
      <c r="F56" s="210"/>
      <c r="G56" s="210"/>
      <c r="H56" s="210"/>
      <c r="N56"/>
    </row>
    <row r="57" spans="1:14" ht="12">
      <c r="A57" s="210"/>
      <c r="B57" s="210"/>
      <c r="C57" s="210"/>
      <c r="D57" s="210"/>
      <c r="E57" s="210"/>
      <c r="F57" s="210"/>
      <c r="G57" s="210"/>
      <c r="H57" s="210"/>
      <c r="N57"/>
    </row>
    <row r="58" spans="1:14" ht="12">
      <c r="A58" s="315"/>
      <c r="B58" s="315"/>
      <c r="C58" s="315"/>
      <c r="D58" s="315"/>
      <c r="E58" s="315"/>
      <c r="F58" s="315"/>
      <c r="G58" s="315"/>
      <c r="H58" s="210"/>
      <c r="N58"/>
    </row>
    <row r="59" spans="1:14">
      <c r="N59"/>
    </row>
    <row r="60" spans="1:14">
      <c r="N60"/>
    </row>
    <row r="61" spans="1:14">
      <c r="N61"/>
    </row>
    <row r="62" spans="1:14">
      <c r="N62"/>
    </row>
    <row r="63" spans="1:14">
      <c r="N63"/>
    </row>
    <row r="64" spans="1:14">
      <c r="N64"/>
    </row>
    <row r="65" spans="14:14">
      <c r="N65"/>
    </row>
    <row r="66" spans="14:14">
      <c r="N66"/>
    </row>
    <row r="67" spans="14:14">
      <c r="N67"/>
    </row>
    <row r="68" spans="14:14">
      <c r="N68"/>
    </row>
    <row r="69" spans="14:14">
      <c r="N69"/>
    </row>
    <row r="70" spans="14:14">
      <c r="N70"/>
    </row>
    <row r="71" spans="14:14">
      <c r="N71"/>
    </row>
    <row r="72" spans="14:14">
      <c r="N72"/>
    </row>
    <row r="73" spans="14:14">
      <c r="N73"/>
    </row>
    <row r="74" spans="14:14">
      <c r="N74"/>
    </row>
    <row r="75" spans="14:14">
      <c r="N75"/>
    </row>
    <row r="76" spans="14:14">
      <c r="N76"/>
    </row>
    <row r="77" spans="14:14">
      <c r="N77"/>
    </row>
    <row r="78" spans="14:14">
      <c r="N78"/>
    </row>
    <row r="79" spans="14:14">
      <c r="N79"/>
    </row>
    <row r="80" spans="14:14">
      <c r="N80"/>
    </row>
    <row r="81" spans="14:14">
      <c r="N81"/>
    </row>
    <row r="82" spans="14:14">
      <c r="N82"/>
    </row>
    <row r="83" spans="14:14">
      <c r="N83"/>
    </row>
    <row r="84" spans="14:14">
      <c r="N84"/>
    </row>
    <row r="85" spans="14:14">
      <c r="N85"/>
    </row>
    <row r="86" spans="14:14">
      <c r="N86"/>
    </row>
    <row r="87" spans="14:14">
      <c r="N87"/>
    </row>
    <row r="88" spans="14:14">
      <c r="N88"/>
    </row>
    <row r="89" spans="14:14">
      <c r="N89"/>
    </row>
    <row r="90" spans="14:14">
      <c r="N90"/>
    </row>
    <row r="91" spans="14:14">
      <c r="N91"/>
    </row>
    <row r="92" spans="14:14">
      <c r="N92"/>
    </row>
    <row r="93" spans="14:14">
      <c r="N93"/>
    </row>
    <row r="94" spans="14:14">
      <c r="N94"/>
    </row>
    <row r="95" spans="14:14">
      <c r="N95"/>
    </row>
    <row r="96" spans="14:14">
      <c r="N96"/>
    </row>
    <row r="97" spans="14:14">
      <c r="N97"/>
    </row>
    <row r="98" spans="14:14">
      <c r="N98"/>
    </row>
    <row r="99" spans="14:14">
      <c r="N99"/>
    </row>
    <row r="100" spans="14:14">
      <c r="N100"/>
    </row>
    <row r="101" spans="14:14">
      <c r="N101"/>
    </row>
    <row r="102" spans="14:14">
      <c r="N102"/>
    </row>
    <row r="103" spans="14:14">
      <c r="N103"/>
    </row>
    <row r="104" spans="14:14">
      <c r="N104"/>
    </row>
    <row r="105" spans="14:14">
      <c r="N105"/>
    </row>
    <row r="106" spans="14:14">
      <c r="N106"/>
    </row>
    <row r="107" spans="14:14">
      <c r="N107"/>
    </row>
    <row r="108" spans="14:14">
      <c r="N108"/>
    </row>
    <row r="109" spans="14:14">
      <c r="N109"/>
    </row>
    <row r="110" spans="14:14">
      <c r="N110"/>
    </row>
    <row r="111" spans="14:14">
      <c r="N111"/>
    </row>
    <row r="112" spans="14:14">
      <c r="N112"/>
    </row>
    <row r="113" spans="14:14">
      <c r="N113"/>
    </row>
    <row r="114" spans="14:14">
      <c r="N114"/>
    </row>
    <row r="115" spans="14:14">
      <c r="N115"/>
    </row>
    <row r="116" spans="14:14">
      <c r="N116"/>
    </row>
    <row r="117" spans="14:14">
      <c r="N117"/>
    </row>
    <row r="118" spans="14:14">
      <c r="N118"/>
    </row>
    <row r="119" spans="14:14">
      <c r="N119"/>
    </row>
    <row r="120" spans="14:14">
      <c r="N120"/>
    </row>
    <row r="121" spans="14:14">
      <c r="N121"/>
    </row>
    <row r="122" spans="14:14">
      <c r="N122"/>
    </row>
    <row r="123" spans="14:14">
      <c r="N123"/>
    </row>
    <row r="124" spans="14:14">
      <c r="N124"/>
    </row>
    <row r="125" spans="14:14">
      <c r="N125"/>
    </row>
    <row r="126" spans="14:14">
      <c r="N126"/>
    </row>
    <row r="127" spans="14:14">
      <c r="N127"/>
    </row>
    <row r="128" spans="14:14">
      <c r="N128"/>
    </row>
    <row r="129" spans="14:14">
      <c r="N129"/>
    </row>
    <row r="130" spans="14:14">
      <c r="N130"/>
    </row>
    <row r="131" spans="14:14">
      <c r="N131"/>
    </row>
    <row r="132" spans="14:14">
      <c r="N132"/>
    </row>
    <row r="133" spans="14:14">
      <c r="N133"/>
    </row>
    <row r="134" spans="14:14">
      <c r="N134"/>
    </row>
    <row r="135" spans="14:14">
      <c r="N135"/>
    </row>
    <row r="136" spans="14:14">
      <c r="N136"/>
    </row>
    <row r="137" spans="14:14">
      <c r="N137"/>
    </row>
    <row r="138" spans="14:14">
      <c r="N138"/>
    </row>
    <row r="139" spans="14:14">
      <c r="N139"/>
    </row>
    <row r="140" spans="14:14">
      <c r="N140"/>
    </row>
    <row r="141" spans="14:14">
      <c r="N141"/>
    </row>
    <row r="142" spans="14:14">
      <c r="N142"/>
    </row>
    <row r="143" spans="14:14">
      <c r="N143"/>
    </row>
    <row r="144" spans="14:14">
      <c r="N144"/>
    </row>
    <row r="145" spans="14:14">
      <c r="N145"/>
    </row>
    <row r="146" spans="14:14">
      <c r="N146"/>
    </row>
    <row r="147" spans="14:14">
      <c r="N147"/>
    </row>
    <row r="148" spans="14:14">
      <c r="N148"/>
    </row>
    <row r="149" spans="14:14">
      <c r="N149"/>
    </row>
    <row r="150" spans="14:14">
      <c r="N150"/>
    </row>
    <row r="151" spans="14:14">
      <c r="N151"/>
    </row>
    <row r="152" spans="14:14">
      <c r="N152"/>
    </row>
    <row r="153" spans="14:14">
      <c r="N153"/>
    </row>
    <row r="154" spans="14:14">
      <c r="N154"/>
    </row>
    <row r="155" spans="14:14">
      <c r="N155"/>
    </row>
    <row r="156" spans="14:14">
      <c r="N156"/>
    </row>
    <row r="157" spans="14:14">
      <c r="N157"/>
    </row>
    <row r="158" spans="14:14">
      <c r="N158"/>
    </row>
    <row r="159" spans="14:14">
      <c r="N159"/>
    </row>
    <row r="160" spans="14:14">
      <c r="N160"/>
    </row>
    <row r="161" spans="14:14">
      <c r="N161"/>
    </row>
    <row r="162" spans="14:14">
      <c r="N162"/>
    </row>
    <row r="163" spans="14:14">
      <c r="N163"/>
    </row>
    <row r="164" spans="14:14">
      <c r="N164"/>
    </row>
    <row r="165" spans="14:14">
      <c r="N165"/>
    </row>
    <row r="166" spans="14:14">
      <c r="N166"/>
    </row>
    <row r="167" spans="14:14">
      <c r="N167"/>
    </row>
    <row r="168" spans="14:14">
      <c r="N168"/>
    </row>
    <row r="169" spans="14:14">
      <c r="N169"/>
    </row>
    <row r="170" spans="14:14">
      <c r="N170"/>
    </row>
    <row r="171" spans="14:14">
      <c r="N171"/>
    </row>
    <row r="172" spans="14:14">
      <c r="N172"/>
    </row>
    <row r="173" spans="14:14">
      <c r="N173"/>
    </row>
    <row r="174" spans="14:14">
      <c r="N174"/>
    </row>
    <row r="175" spans="14:14">
      <c r="N175"/>
    </row>
    <row r="176" spans="14:14">
      <c r="N176"/>
    </row>
    <row r="177" spans="14:14">
      <c r="N177"/>
    </row>
    <row r="178" spans="14:14">
      <c r="N178"/>
    </row>
    <row r="179" spans="14:14">
      <c r="N179"/>
    </row>
    <row r="180" spans="14:14">
      <c r="N180"/>
    </row>
    <row r="181" spans="14:14">
      <c r="N181"/>
    </row>
    <row r="182" spans="14:14">
      <c r="N182"/>
    </row>
    <row r="183" spans="14:14">
      <c r="N183"/>
    </row>
    <row r="184" spans="14:14">
      <c r="N184"/>
    </row>
    <row r="185" spans="14:14">
      <c r="N185"/>
    </row>
    <row r="186" spans="14:14">
      <c r="N186"/>
    </row>
    <row r="187" spans="14:14">
      <c r="N187"/>
    </row>
    <row r="188" spans="14:14">
      <c r="N188"/>
    </row>
    <row r="189" spans="14:14">
      <c r="N189"/>
    </row>
    <row r="190" spans="14:14">
      <c r="N190"/>
    </row>
    <row r="191" spans="14:14">
      <c r="N191"/>
    </row>
    <row r="192" spans="14:14">
      <c r="N192"/>
    </row>
    <row r="193" spans="14:14">
      <c r="N193"/>
    </row>
    <row r="194" spans="14:14">
      <c r="N194"/>
    </row>
    <row r="195" spans="14:14">
      <c r="N195"/>
    </row>
    <row r="196" spans="14:14">
      <c r="N196"/>
    </row>
    <row r="197" spans="14:14">
      <c r="N197"/>
    </row>
    <row r="198" spans="14:14">
      <c r="N198"/>
    </row>
    <row r="199" spans="14:14">
      <c r="N199"/>
    </row>
    <row r="200" spans="14:14">
      <c r="N200"/>
    </row>
    <row r="201" spans="14:14">
      <c r="N201"/>
    </row>
    <row r="202" spans="14:14">
      <c r="N202"/>
    </row>
    <row r="203" spans="14:14">
      <c r="N203"/>
    </row>
    <row r="204" spans="14:14">
      <c r="N204"/>
    </row>
    <row r="205" spans="14:14">
      <c r="N205"/>
    </row>
    <row r="206" spans="14:14">
      <c r="N206"/>
    </row>
    <row r="207" spans="14:14">
      <c r="N207"/>
    </row>
    <row r="208" spans="14:14">
      <c r="N208"/>
    </row>
    <row r="209" spans="14:14">
      <c r="N209"/>
    </row>
    <row r="210" spans="14:14">
      <c r="N210"/>
    </row>
    <row r="211" spans="14:14">
      <c r="N211"/>
    </row>
    <row r="212" spans="14:14">
      <c r="N212"/>
    </row>
    <row r="213" spans="14:14">
      <c r="N213"/>
    </row>
    <row r="214" spans="14:14">
      <c r="N214"/>
    </row>
    <row r="215" spans="14:14">
      <c r="N215"/>
    </row>
    <row r="216" spans="14:14">
      <c r="N216"/>
    </row>
    <row r="217" spans="14:14">
      <c r="N217"/>
    </row>
    <row r="218" spans="14:14">
      <c r="N218"/>
    </row>
    <row r="219" spans="14:14">
      <c r="N219"/>
    </row>
    <row r="220" spans="14:14">
      <c r="N220"/>
    </row>
    <row r="221" spans="14:14">
      <c r="N221"/>
    </row>
    <row r="222" spans="14:14">
      <c r="N222"/>
    </row>
    <row r="223" spans="14:14">
      <c r="N223"/>
    </row>
    <row r="224" spans="14:14">
      <c r="N224"/>
    </row>
    <row r="225" spans="14:14">
      <c r="N225"/>
    </row>
    <row r="226" spans="14:14">
      <c r="N226"/>
    </row>
    <row r="227" spans="14:14">
      <c r="N227"/>
    </row>
    <row r="228" spans="14:14">
      <c r="N228"/>
    </row>
    <row r="229" spans="14:14">
      <c r="N229"/>
    </row>
    <row r="230" spans="14:14">
      <c r="N230"/>
    </row>
    <row r="231" spans="14:14">
      <c r="N231"/>
    </row>
    <row r="232" spans="14:14">
      <c r="N232"/>
    </row>
    <row r="233" spans="14:14">
      <c r="N233"/>
    </row>
    <row r="234" spans="14:14">
      <c r="N234"/>
    </row>
    <row r="235" spans="14:14">
      <c r="N235"/>
    </row>
    <row r="236" spans="14:14">
      <c r="N236"/>
    </row>
    <row r="237" spans="14:14">
      <c r="N237"/>
    </row>
    <row r="238" spans="14:14">
      <c r="N238"/>
    </row>
    <row r="239" spans="14:14">
      <c r="N239"/>
    </row>
    <row r="240" spans="14:14">
      <c r="N240"/>
    </row>
    <row r="241" spans="14:14">
      <c r="N241"/>
    </row>
    <row r="242" spans="14:14">
      <c r="N242"/>
    </row>
    <row r="243" spans="14:14">
      <c r="N243"/>
    </row>
    <row r="244" spans="14:14">
      <c r="N244"/>
    </row>
    <row r="245" spans="14:14">
      <c r="N245"/>
    </row>
    <row r="246" spans="14:14">
      <c r="N246"/>
    </row>
    <row r="247" spans="14:14">
      <c r="N247"/>
    </row>
    <row r="248" spans="14:14">
      <c r="N248"/>
    </row>
    <row r="249" spans="14:14">
      <c r="N249"/>
    </row>
    <row r="250" spans="14:14">
      <c r="N250"/>
    </row>
    <row r="251" spans="14:14">
      <c r="N251"/>
    </row>
    <row r="252" spans="14:14">
      <c r="N252"/>
    </row>
    <row r="253" spans="14:14">
      <c r="N253"/>
    </row>
    <row r="254" spans="14:14">
      <c r="N254"/>
    </row>
    <row r="255" spans="14:14">
      <c r="N255"/>
    </row>
    <row r="256" spans="14:14">
      <c r="N256"/>
    </row>
    <row r="257" spans="14:14">
      <c r="N257"/>
    </row>
    <row r="258" spans="14:14">
      <c r="N258"/>
    </row>
    <row r="259" spans="14:14">
      <c r="N259"/>
    </row>
    <row r="260" spans="14:14">
      <c r="N260"/>
    </row>
    <row r="261" spans="14:14">
      <c r="N261"/>
    </row>
    <row r="262" spans="14:14">
      <c r="N262"/>
    </row>
    <row r="263" spans="14:14">
      <c r="N263"/>
    </row>
    <row r="264" spans="14:14">
      <c r="N264"/>
    </row>
    <row r="265" spans="14:14">
      <c r="N265"/>
    </row>
    <row r="266" spans="14:14">
      <c r="N266"/>
    </row>
    <row r="267" spans="14:14">
      <c r="N267"/>
    </row>
    <row r="268" spans="14:14">
      <c r="N268"/>
    </row>
    <row r="269" spans="14:14">
      <c r="N269"/>
    </row>
    <row r="270" spans="14:14">
      <c r="N270"/>
    </row>
    <row r="271" spans="14:14">
      <c r="N271"/>
    </row>
    <row r="272" spans="14:14">
      <c r="N272"/>
    </row>
    <row r="273" spans="14:14">
      <c r="N273"/>
    </row>
    <row r="274" spans="14:14">
      <c r="N274"/>
    </row>
    <row r="275" spans="14:14">
      <c r="N275"/>
    </row>
    <row r="276" spans="14:14">
      <c r="N276"/>
    </row>
    <row r="277" spans="14:14">
      <c r="N277"/>
    </row>
    <row r="278" spans="14:14">
      <c r="N278"/>
    </row>
    <row r="279" spans="14:14">
      <c r="N279"/>
    </row>
    <row r="280" spans="14:14">
      <c r="N280"/>
    </row>
    <row r="281" spans="14:14">
      <c r="N281"/>
    </row>
    <row r="282" spans="14:14">
      <c r="N282"/>
    </row>
    <row r="283" spans="14:14">
      <c r="N283"/>
    </row>
    <row r="284" spans="14:14">
      <c r="N284"/>
    </row>
    <row r="285" spans="14:14">
      <c r="N285"/>
    </row>
    <row r="286" spans="14:14">
      <c r="N286"/>
    </row>
    <row r="287" spans="14:14">
      <c r="N287"/>
    </row>
    <row r="288" spans="14:14">
      <c r="N288"/>
    </row>
    <row r="289" spans="14:14">
      <c r="N289"/>
    </row>
    <row r="290" spans="14:14">
      <c r="N290"/>
    </row>
    <row r="291" spans="14:14">
      <c r="N291"/>
    </row>
    <row r="292" spans="14:14">
      <c r="N292"/>
    </row>
    <row r="293" spans="14:14">
      <c r="N293"/>
    </row>
    <row r="294" spans="14:14">
      <c r="N294"/>
    </row>
    <row r="295" spans="14:14">
      <c r="N295"/>
    </row>
    <row r="296" spans="14:14">
      <c r="N296"/>
    </row>
    <row r="297" spans="14:14">
      <c r="N297"/>
    </row>
    <row r="298" spans="14:14">
      <c r="N298"/>
    </row>
    <row r="299" spans="14:14">
      <c r="N299"/>
    </row>
    <row r="300" spans="14:14">
      <c r="N300"/>
    </row>
    <row r="301" spans="14:14">
      <c r="N301"/>
    </row>
    <row r="302" spans="14:14">
      <c r="N302"/>
    </row>
    <row r="303" spans="14:14">
      <c r="N303"/>
    </row>
    <row r="304" spans="14:14">
      <c r="N304"/>
    </row>
    <row r="305" spans="14:14">
      <c r="N305"/>
    </row>
    <row r="306" spans="14:14">
      <c r="N306"/>
    </row>
    <row r="307" spans="14:14">
      <c r="N307"/>
    </row>
    <row r="308" spans="14:14">
      <c r="N308"/>
    </row>
    <row r="309" spans="14:14">
      <c r="N309"/>
    </row>
    <row r="310" spans="14:14">
      <c r="N310"/>
    </row>
    <row r="311" spans="14:14">
      <c r="N311"/>
    </row>
    <row r="312" spans="14:14">
      <c r="N312"/>
    </row>
    <row r="313" spans="14:14">
      <c r="N313"/>
    </row>
    <row r="314" spans="14:14">
      <c r="N314"/>
    </row>
    <row r="315" spans="14:14">
      <c r="N315"/>
    </row>
    <row r="316" spans="14:14">
      <c r="N316"/>
    </row>
    <row r="317" spans="14:14">
      <c r="N317"/>
    </row>
    <row r="318" spans="14:14">
      <c r="N318"/>
    </row>
    <row r="319" spans="14:14">
      <c r="N319"/>
    </row>
    <row r="320" spans="14:14">
      <c r="N320"/>
    </row>
    <row r="321" spans="14:14">
      <c r="N321"/>
    </row>
    <row r="322" spans="14:14">
      <c r="N322"/>
    </row>
    <row r="323" spans="14:14">
      <c r="N323"/>
    </row>
    <row r="324" spans="14:14">
      <c r="N324"/>
    </row>
    <row r="325" spans="14:14">
      <c r="N325"/>
    </row>
    <row r="326" spans="14:14">
      <c r="N326"/>
    </row>
    <row r="327" spans="14:14">
      <c r="N327"/>
    </row>
    <row r="328" spans="14:14">
      <c r="N328"/>
    </row>
    <row r="329" spans="14:14">
      <c r="N329"/>
    </row>
    <row r="330" spans="14:14">
      <c r="N330"/>
    </row>
    <row r="331" spans="14:14">
      <c r="N331"/>
    </row>
    <row r="332" spans="14:14">
      <c r="N332"/>
    </row>
    <row r="333" spans="14:14">
      <c r="N333"/>
    </row>
    <row r="334" spans="14:14">
      <c r="N334"/>
    </row>
    <row r="335" spans="14:14">
      <c r="N335"/>
    </row>
    <row r="336" spans="14:14">
      <c r="N336"/>
    </row>
    <row r="337" spans="14:14">
      <c r="N337"/>
    </row>
    <row r="338" spans="14:14">
      <c r="N338"/>
    </row>
    <row r="339" spans="14:14">
      <c r="N339"/>
    </row>
    <row r="340" spans="14:14">
      <c r="N340"/>
    </row>
    <row r="341" spans="14:14">
      <c r="N341"/>
    </row>
    <row r="342" spans="14:14">
      <c r="N342"/>
    </row>
    <row r="343" spans="14:14">
      <c r="N343"/>
    </row>
    <row r="344" spans="14:14">
      <c r="N344"/>
    </row>
    <row r="345" spans="14:14">
      <c r="N345"/>
    </row>
    <row r="346" spans="14:14">
      <c r="N346"/>
    </row>
    <row r="347" spans="14:14">
      <c r="N347"/>
    </row>
    <row r="348" spans="14:14">
      <c r="N348"/>
    </row>
    <row r="349" spans="14:14">
      <c r="N349"/>
    </row>
    <row r="350" spans="14:14">
      <c r="N350"/>
    </row>
    <row r="351" spans="14:14">
      <c r="N351"/>
    </row>
    <row r="352" spans="14:14">
      <c r="N352"/>
    </row>
    <row r="353" spans="14:14">
      <c r="N353"/>
    </row>
    <row r="354" spans="14:14">
      <c r="N354"/>
    </row>
    <row r="355" spans="14:14">
      <c r="N355"/>
    </row>
    <row r="356" spans="14:14">
      <c r="N356"/>
    </row>
    <row r="357" spans="14:14">
      <c r="N357"/>
    </row>
    <row r="358" spans="14:14">
      <c r="N358"/>
    </row>
    <row r="359" spans="14:14">
      <c r="N359"/>
    </row>
    <row r="360" spans="14:14">
      <c r="N360"/>
    </row>
    <row r="361" spans="14:14">
      <c r="N361"/>
    </row>
    <row r="362" spans="14:14">
      <c r="N362"/>
    </row>
    <row r="363" spans="14:14">
      <c r="N363"/>
    </row>
    <row r="364" spans="14:14">
      <c r="N364"/>
    </row>
    <row r="365" spans="14:14">
      <c r="N365"/>
    </row>
    <row r="366" spans="14:14">
      <c r="N366"/>
    </row>
    <row r="367" spans="14:14">
      <c r="N367"/>
    </row>
    <row r="368" spans="14:14">
      <c r="N368"/>
    </row>
    <row r="369" spans="14:14">
      <c r="N369"/>
    </row>
    <row r="370" spans="14:14">
      <c r="N370"/>
    </row>
    <row r="371" spans="14:14">
      <c r="N371"/>
    </row>
    <row r="372" spans="14:14">
      <c r="N372"/>
    </row>
    <row r="373" spans="14:14">
      <c r="N373"/>
    </row>
    <row r="374" spans="14:14">
      <c r="N374"/>
    </row>
    <row r="375" spans="14:14">
      <c r="N375"/>
    </row>
    <row r="376" spans="14:14">
      <c r="N376"/>
    </row>
    <row r="377" spans="14:14">
      <c r="N377"/>
    </row>
    <row r="378" spans="14:14">
      <c r="N378"/>
    </row>
    <row r="379" spans="14:14">
      <c r="N379"/>
    </row>
    <row r="380" spans="14:14">
      <c r="N380"/>
    </row>
    <row r="381" spans="14:14">
      <c r="N381"/>
    </row>
    <row r="382" spans="14:14">
      <c r="N382"/>
    </row>
    <row r="383" spans="14:14">
      <c r="N383"/>
    </row>
    <row r="384" spans="14:14">
      <c r="N384"/>
    </row>
    <row r="385" spans="14:14">
      <c r="N385"/>
    </row>
    <row r="386" spans="14:14">
      <c r="N386"/>
    </row>
    <row r="387" spans="14:14">
      <c r="N387"/>
    </row>
    <row r="388" spans="14:14">
      <c r="N388"/>
    </row>
    <row r="389" spans="14:14">
      <c r="N389"/>
    </row>
    <row r="390" spans="14:14">
      <c r="N390"/>
    </row>
    <row r="391" spans="14:14">
      <c r="N391"/>
    </row>
    <row r="392" spans="14:14">
      <c r="N392"/>
    </row>
    <row r="393" spans="14:14">
      <c r="N393"/>
    </row>
    <row r="394" spans="14:14">
      <c r="N394"/>
    </row>
    <row r="395" spans="14:14">
      <c r="N395"/>
    </row>
    <row r="396" spans="14:14">
      <c r="N396"/>
    </row>
    <row r="397" spans="14:14">
      <c r="N397"/>
    </row>
    <row r="398" spans="14:14">
      <c r="N398"/>
    </row>
    <row r="399" spans="14:14">
      <c r="N399"/>
    </row>
    <row r="400" spans="14:14">
      <c r="N400"/>
    </row>
    <row r="401" spans="14:14">
      <c r="N401"/>
    </row>
    <row r="402" spans="14:14">
      <c r="N402"/>
    </row>
    <row r="403" spans="14:14">
      <c r="N403"/>
    </row>
    <row r="404" spans="14:14">
      <c r="N404"/>
    </row>
    <row r="405" spans="14:14">
      <c r="N405"/>
    </row>
    <row r="406" spans="14:14">
      <c r="N406"/>
    </row>
    <row r="407" spans="14:14">
      <c r="N407"/>
    </row>
    <row r="408" spans="14:14">
      <c r="N408"/>
    </row>
    <row r="409" spans="14:14">
      <c r="N409"/>
    </row>
    <row r="410" spans="14:14">
      <c r="N410"/>
    </row>
    <row r="411" spans="14:14">
      <c r="N411"/>
    </row>
    <row r="412" spans="14:14">
      <c r="N412"/>
    </row>
    <row r="413" spans="14:14">
      <c r="N413"/>
    </row>
    <row r="414" spans="14:14">
      <c r="N414"/>
    </row>
    <row r="415" spans="14:14">
      <c r="N415"/>
    </row>
    <row r="416" spans="14:14">
      <c r="N416"/>
    </row>
    <row r="417" spans="14:14">
      <c r="N417"/>
    </row>
    <row r="418" spans="14:14">
      <c r="N418"/>
    </row>
    <row r="419" spans="14:14">
      <c r="N419"/>
    </row>
    <row r="420" spans="14:14">
      <c r="N420"/>
    </row>
    <row r="421" spans="14:14">
      <c r="N421"/>
    </row>
    <row r="422" spans="14:14">
      <c r="N422"/>
    </row>
    <row r="423" spans="14:14">
      <c r="N423"/>
    </row>
    <row r="424" spans="14:14">
      <c r="N424"/>
    </row>
    <row r="425" spans="14:14">
      <c r="N425"/>
    </row>
    <row r="426" spans="14:14">
      <c r="N426"/>
    </row>
    <row r="427" spans="14:14">
      <c r="N427"/>
    </row>
    <row r="428" spans="14:14">
      <c r="N428"/>
    </row>
    <row r="429" spans="14:14">
      <c r="N429"/>
    </row>
    <row r="430" spans="14:14">
      <c r="N430"/>
    </row>
    <row r="431" spans="14:14">
      <c r="N431"/>
    </row>
    <row r="432" spans="14:14">
      <c r="N432"/>
    </row>
    <row r="433" spans="14:14">
      <c r="N433"/>
    </row>
    <row r="434" spans="14:14">
      <c r="N434"/>
    </row>
    <row r="435" spans="14:14">
      <c r="N435"/>
    </row>
    <row r="436" spans="14:14">
      <c r="N436"/>
    </row>
    <row r="437" spans="14:14">
      <c r="N437"/>
    </row>
    <row r="438" spans="14:14">
      <c r="N438"/>
    </row>
    <row r="439" spans="14:14">
      <c r="N439"/>
    </row>
    <row r="440" spans="14:14">
      <c r="N440"/>
    </row>
    <row r="441" spans="14:14">
      <c r="N441"/>
    </row>
    <row r="442" spans="14:14">
      <c r="N442"/>
    </row>
    <row r="443" spans="14:14">
      <c r="N443"/>
    </row>
    <row r="444" spans="14:14">
      <c r="N444"/>
    </row>
    <row r="445" spans="14:14">
      <c r="N445"/>
    </row>
    <row r="446" spans="14:14">
      <c r="N446"/>
    </row>
    <row r="447" spans="14:14">
      <c r="N447"/>
    </row>
    <row r="448" spans="14:14">
      <c r="N448"/>
    </row>
    <row r="449" spans="14:14">
      <c r="N449"/>
    </row>
    <row r="450" spans="14:14">
      <c r="N450"/>
    </row>
    <row r="451" spans="14:14">
      <c r="N451"/>
    </row>
    <row r="452" spans="14:14">
      <c r="N452"/>
    </row>
    <row r="453" spans="14:14">
      <c r="N453"/>
    </row>
    <row r="454" spans="14:14">
      <c r="N454"/>
    </row>
    <row r="455" spans="14:14">
      <c r="N455"/>
    </row>
    <row r="456" spans="14:14">
      <c r="N456"/>
    </row>
    <row r="457" spans="14:14">
      <c r="N457"/>
    </row>
    <row r="458" spans="14:14">
      <c r="N458"/>
    </row>
    <row r="459" spans="14:14">
      <c r="N459"/>
    </row>
    <row r="460" spans="14:14">
      <c r="N460"/>
    </row>
    <row r="461" spans="14:14">
      <c r="N461"/>
    </row>
    <row r="462" spans="14:14">
      <c r="N462"/>
    </row>
    <row r="463" spans="14:14">
      <c r="N463"/>
    </row>
    <row r="464" spans="14:14">
      <c r="N464"/>
    </row>
    <row r="465" spans="14:14">
      <c r="N465"/>
    </row>
    <row r="466" spans="14:14">
      <c r="N466"/>
    </row>
    <row r="467" spans="14:14">
      <c r="N467"/>
    </row>
    <row r="468" spans="14:14">
      <c r="N468"/>
    </row>
    <row r="469" spans="14:14">
      <c r="N469"/>
    </row>
    <row r="470" spans="14:14">
      <c r="N470"/>
    </row>
    <row r="471" spans="14:14">
      <c r="N471"/>
    </row>
    <row r="472" spans="14:14">
      <c r="N472"/>
    </row>
    <row r="473" spans="14:14">
      <c r="N473"/>
    </row>
    <row r="474" spans="14:14">
      <c r="N474"/>
    </row>
    <row r="475" spans="14:14">
      <c r="N475"/>
    </row>
    <row r="476" spans="14:14">
      <c r="N476"/>
    </row>
    <row r="477" spans="14:14">
      <c r="N477"/>
    </row>
    <row r="478" spans="14:14">
      <c r="N478"/>
    </row>
    <row r="479" spans="14:14">
      <c r="N479"/>
    </row>
    <row r="480" spans="14:14">
      <c r="N480"/>
    </row>
    <row r="481" spans="14:14">
      <c r="N481"/>
    </row>
    <row r="482" spans="14:14">
      <c r="N482"/>
    </row>
    <row r="483" spans="14:14">
      <c r="N483"/>
    </row>
    <row r="484" spans="14:14">
      <c r="N484"/>
    </row>
    <row r="485" spans="14:14">
      <c r="N485"/>
    </row>
    <row r="486" spans="14:14">
      <c r="N486"/>
    </row>
    <row r="487" spans="14:14">
      <c r="N487"/>
    </row>
    <row r="488" spans="14:14">
      <c r="N488"/>
    </row>
    <row r="489" spans="14:14">
      <c r="N489"/>
    </row>
    <row r="490" spans="14:14">
      <c r="N490"/>
    </row>
    <row r="491" spans="14:14">
      <c r="N491"/>
    </row>
    <row r="492" spans="14:14">
      <c r="N492"/>
    </row>
    <row r="493" spans="14:14">
      <c r="N493"/>
    </row>
    <row r="494" spans="14:14">
      <c r="N494"/>
    </row>
    <row r="495" spans="14:14">
      <c r="N495"/>
    </row>
    <row r="496" spans="14:14">
      <c r="N496"/>
    </row>
    <row r="497" spans="14:14">
      <c r="N497"/>
    </row>
    <row r="498" spans="14:14">
      <c r="N498"/>
    </row>
    <row r="499" spans="14:14">
      <c r="N499"/>
    </row>
    <row r="500" spans="14:14">
      <c r="N500"/>
    </row>
    <row r="501" spans="14:14">
      <c r="N501"/>
    </row>
    <row r="502" spans="14:14">
      <c r="N502"/>
    </row>
    <row r="503" spans="14:14">
      <c r="N503"/>
    </row>
    <row r="504" spans="14:14">
      <c r="N504"/>
    </row>
    <row r="505" spans="14:14">
      <c r="N505"/>
    </row>
    <row r="506" spans="14:14">
      <c r="N506"/>
    </row>
    <row r="507" spans="14:14">
      <c r="N507"/>
    </row>
    <row r="508" spans="14:14">
      <c r="N508"/>
    </row>
    <row r="509" spans="14:14">
      <c r="N509"/>
    </row>
    <row r="510" spans="14:14">
      <c r="N510"/>
    </row>
    <row r="511" spans="14:14">
      <c r="N511"/>
    </row>
    <row r="512" spans="14:14">
      <c r="N512"/>
    </row>
    <row r="513" spans="14:14">
      <c r="N513"/>
    </row>
    <row r="514" spans="14:14">
      <c r="N514"/>
    </row>
    <row r="515" spans="14:14">
      <c r="N515"/>
    </row>
    <row r="516" spans="14:14">
      <c r="N516"/>
    </row>
    <row r="517" spans="14:14">
      <c r="N517"/>
    </row>
    <row r="518" spans="14:14">
      <c r="N518"/>
    </row>
    <row r="519" spans="14:14">
      <c r="N519"/>
    </row>
    <row r="520" spans="14:14">
      <c r="N520"/>
    </row>
    <row r="521" spans="14:14">
      <c r="N521"/>
    </row>
    <row r="522" spans="14:14">
      <c r="N522"/>
    </row>
    <row r="523" spans="14:14">
      <c r="N523"/>
    </row>
    <row r="524" spans="14:14">
      <c r="N524"/>
    </row>
    <row r="525" spans="14:14">
      <c r="N525"/>
    </row>
    <row r="526" spans="14:14">
      <c r="N526"/>
    </row>
    <row r="527" spans="14:14">
      <c r="N527"/>
    </row>
    <row r="528" spans="14:14">
      <c r="N528"/>
    </row>
    <row r="529" spans="14:14">
      <c r="N529"/>
    </row>
    <row r="530" spans="14:14">
      <c r="N530"/>
    </row>
    <row r="531" spans="14:14">
      <c r="N531"/>
    </row>
    <row r="532" spans="14:14">
      <c r="N532"/>
    </row>
    <row r="533" spans="14:14">
      <c r="N533"/>
    </row>
    <row r="534" spans="14:14">
      <c r="N534"/>
    </row>
    <row r="535" spans="14:14">
      <c r="N535"/>
    </row>
    <row r="536" spans="14:14">
      <c r="N536"/>
    </row>
    <row r="537" spans="14:14">
      <c r="N537"/>
    </row>
    <row r="538" spans="14:14">
      <c r="N538"/>
    </row>
    <row r="539" spans="14:14">
      <c r="N539"/>
    </row>
    <row r="540" spans="14:14">
      <c r="N540"/>
    </row>
    <row r="541" spans="14:14">
      <c r="N541"/>
    </row>
    <row r="542" spans="14:14">
      <c r="N542"/>
    </row>
    <row r="543" spans="14:14">
      <c r="N543"/>
    </row>
    <row r="544" spans="14:14">
      <c r="N544"/>
    </row>
    <row r="545" spans="14:14">
      <c r="N545"/>
    </row>
    <row r="546" spans="14:14">
      <c r="N546"/>
    </row>
    <row r="547" spans="14:14">
      <c r="N547"/>
    </row>
    <row r="548" spans="14:14">
      <c r="N548"/>
    </row>
    <row r="549" spans="14:14">
      <c r="N549"/>
    </row>
    <row r="550" spans="14:14">
      <c r="N550"/>
    </row>
    <row r="551" spans="14:14">
      <c r="N551"/>
    </row>
    <row r="552" spans="14:14">
      <c r="N552"/>
    </row>
    <row r="553" spans="14:14">
      <c r="N553"/>
    </row>
    <row r="554" spans="14:14">
      <c r="N554"/>
    </row>
    <row r="555" spans="14:14">
      <c r="N555"/>
    </row>
    <row r="556" spans="14:14">
      <c r="N556"/>
    </row>
    <row r="557" spans="14:14">
      <c r="N557"/>
    </row>
    <row r="558" spans="14:14">
      <c r="N558"/>
    </row>
    <row r="559" spans="14:14">
      <c r="N559"/>
    </row>
    <row r="560" spans="14:14">
      <c r="N560"/>
    </row>
    <row r="561" spans="14:14">
      <c r="N561"/>
    </row>
    <row r="562" spans="14:14">
      <c r="N562"/>
    </row>
    <row r="563" spans="14:14">
      <c r="N563"/>
    </row>
    <row r="564" spans="14:14">
      <c r="N564"/>
    </row>
    <row r="565" spans="14:14">
      <c r="N565"/>
    </row>
    <row r="566" spans="14:14">
      <c r="N566"/>
    </row>
    <row r="567" spans="14:14">
      <c r="N567"/>
    </row>
    <row r="568" spans="14:14">
      <c r="N568"/>
    </row>
    <row r="569" spans="14:14">
      <c r="N569"/>
    </row>
    <row r="570" spans="14:14">
      <c r="N570"/>
    </row>
    <row r="571" spans="14:14">
      <c r="N571"/>
    </row>
    <row r="572" spans="14:14">
      <c r="N572"/>
    </row>
    <row r="573" spans="14:14">
      <c r="N573"/>
    </row>
    <row r="574" spans="14:14">
      <c r="N574"/>
    </row>
    <row r="575" spans="14:14">
      <c r="N575"/>
    </row>
    <row r="576" spans="14:14">
      <c r="N576"/>
    </row>
    <row r="577" spans="14:14">
      <c r="N577"/>
    </row>
    <row r="578" spans="14:14">
      <c r="N578"/>
    </row>
    <row r="579" spans="14:14">
      <c r="N579"/>
    </row>
    <row r="580" spans="14:14">
      <c r="N580"/>
    </row>
    <row r="581" spans="14:14">
      <c r="N581"/>
    </row>
    <row r="582" spans="14:14">
      <c r="N582"/>
    </row>
    <row r="583" spans="14:14">
      <c r="N583"/>
    </row>
    <row r="584" spans="14:14">
      <c r="N584"/>
    </row>
    <row r="585" spans="14:14">
      <c r="N585"/>
    </row>
    <row r="586" spans="14:14">
      <c r="N586"/>
    </row>
    <row r="587" spans="14:14">
      <c r="N587"/>
    </row>
    <row r="588" spans="14:14">
      <c r="N588"/>
    </row>
    <row r="589" spans="14:14">
      <c r="N589"/>
    </row>
    <row r="590" spans="14:14">
      <c r="N590"/>
    </row>
    <row r="591" spans="14:14">
      <c r="N591"/>
    </row>
    <row r="592" spans="14:14">
      <c r="N592"/>
    </row>
    <row r="593" spans="14:14">
      <c r="N593"/>
    </row>
    <row r="594" spans="14:14">
      <c r="N594"/>
    </row>
    <row r="595" spans="14:14">
      <c r="N595"/>
    </row>
    <row r="596" spans="14:14">
      <c r="N596"/>
    </row>
    <row r="597" spans="14:14">
      <c r="N597"/>
    </row>
    <row r="598" spans="14:14">
      <c r="N598"/>
    </row>
    <row r="599" spans="14:14">
      <c r="N599"/>
    </row>
    <row r="600" spans="14:14">
      <c r="N600"/>
    </row>
    <row r="601" spans="14:14">
      <c r="N601"/>
    </row>
    <row r="602" spans="14:14">
      <c r="N602"/>
    </row>
    <row r="603" spans="14:14">
      <c r="N603"/>
    </row>
    <row r="604" spans="14:14">
      <c r="N604"/>
    </row>
    <row r="605" spans="14:14">
      <c r="N605"/>
    </row>
    <row r="606" spans="14:14">
      <c r="N606"/>
    </row>
    <row r="607" spans="14:14">
      <c r="N607"/>
    </row>
    <row r="608" spans="14:14">
      <c r="N608"/>
    </row>
    <row r="609" spans="14:14">
      <c r="N609"/>
    </row>
    <row r="610" spans="14:14">
      <c r="N610"/>
    </row>
    <row r="611" spans="14:14">
      <c r="N611"/>
    </row>
    <row r="612" spans="14:14">
      <c r="N612"/>
    </row>
    <row r="613" spans="14:14">
      <c r="N613"/>
    </row>
    <row r="614" spans="14:14">
      <c r="N614"/>
    </row>
    <row r="615" spans="14:14">
      <c r="N615"/>
    </row>
    <row r="616" spans="14:14">
      <c r="N616"/>
    </row>
    <row r="617" spans="14:14">
      <c r="N617"/>
    </row>
    <row r="618" spans="14:14">
      <c r="N618"/>
    </row>
    <row r="619" spans="14:14">
      <c r="N619"/>
    </row>
    <row r="620" spans="14:14">
      <c r="N620"/>
    </row>
    <row r="621" spans="14:14">
      <c r="N621"/>
    </row>
    <row r="622" spans="14:14">
      <c r="N622"/>
    </row>
    <row r="623" spans="14:14">
      <c r="N623"/>
    </row>
    <row r="624" spans="14:14">
      <c r="N624"/>
    </row>
    <row r="625" spans="14:14">
      <c r="N625"/>
    </row>
    <row r="626" spans="14:14">
      <c r="N626"/>
    </row>
    <row r="627" spans="14:14">
      <c r="N627"/>
    </row>
    <row r="628" spans="14:14">
      <c r="N628"/>
    </row>
    <row r="629" spans="14:14">
      <c r="N629"/>
    </row>
    <row r="630" spans="14:14">
      <c r="N630"/>
    </row>
    <row r="631" spans="14:14">
      <c r="N631"/>
    </row>
    <row r="632" spans="14:14">
      <c r="N632"/>
    </row>
    <row r="633" spans="14:14">
      <c r="N633"/>
    </row>
    <row r="634" spans="14:14">
      <c r="N634"/>
    </row>
    <row r="635" spans="14:14">
      <c r="N635"/>
    </row>
    <row r="636" spans="14:14">
      <c r="N636"/>
    </row>
    <row r="637" spans="14:14">
      <c r="N637"/>
    </row>
    <row r="638" spans="14:14">
      <c r="N638"/>
    </row>
    <row r="639" spans="14:14">
      <c r="N639"/>
    </row>
    <row r="640" spans="14:14">
      <c r="N640"/>
    </row>
    <row r="641" spans="14:14">
      <c r="N641"/>
    </row>
    <row r="642" spans="14:14">
      <c r="N642"/>
    </row>
    <row r="643" spans="14:14">
      <c r="N643"/>
    </row>
    <row r="644" spans="14:14">
      <c r="N644"/>
    </row>
    <row r="645" spans="14:14">
      <c r="N645"/>
    </row>
    <row r="646" spans="14:14">
      <c r="N646"/>
    </row>
    <row r="647" spans="14:14">
      <c r="N647"/>
    </row>
    <row r="648" spans="14:14">
      <c r="N648"/>
    </row>
    <row r="649" spans="14:14">
      <c r="N649"/>
    </row>
    <row r="650" spans="14:14">
      <c r="N650"/>
    </row>
    <row r="651" spans="14:14">
      <c r="N651"/>
    </row>
    <row r="652" spans="14:14">
      <c r="N652"/>
    </row>
    <row r="653" spans="14:14">
      <c r="N653"/>
    </row>
    <row r="654" spans="14:14">
      <c r="N654"/>
    </row>
    <row r="655" spans="14:14">
      <c r="N655"/>
    </row>
    <row r="656" spans="14:14">
      <c r="N656"/>
    </row>
    <row r="657" spans="14:14">
      <c r="N657"/>
    </row>
    <row r="658" spans="14:14">
      <c r="N658"/>
    </row>
    <row r="659" spans="14:14">
      <c r="N659"/>
    </row>
    <row r="660" spans="14:14">
      <c r="N660"/>
    </row>
    <row r="661" spans="14:14">
      <c r="N661"/>
    </row>
    <row r="662" spans="14:14">
      <c r="N662"/>
    </row>
    <row r="663" spans="14:14">
      <c r="N663"/>
    </row>
    <row r="664" spans="14:14">
      <c r="N664"/>
    </row>
    <row r="665" spans="14:14">
      <c r="N665"/>
    </row>
    <row r="666" spans="14:14">
      <c r="N666"/>
    </row>
    <row r="667" spans="14:14">
      <c r="N667"/>
    </row>
    <row r="668" spans="14:14">
      <c r="N668"/>
    </row>
    <row r="669" spans="14:14">
      <c r="N669"/>
    </row>
    <row r="670" spans="14:14">
      <c r="N670"/>
    </row>
    <row r="671" spans="14:14">
      <c r="N671"/>
    </row>
    <row r="672" spans="14:14">
      <c r="N672"/>
    </row>
    <row r="673" spans="14:14">
      <c r="N673"/>
    </row>
    <row r="674" spans="14:14">
      <c r="N674"/>
    </row>
    <row r="675" spans="14:14">
      <c r="N675"/>
    </row>
    <row r="676" spans="14:14">
      <c r="N676"/>
    </row>
    <row r="677" spans="14:14">
      <c r="N677"/>
    </row>
    <row r="678" spans="14:14">
      <c r="N678"/>
    </row>
    <row r="679" spans="14:14">
      <c r="N679"/>
    </row>
    <row r="680" spans="14:14">
      <c r="N680"/>
    </row>
    <row r="681" spans="14:14">
      <c r="N681"/>
    </row>
    <row r="682" spans="14:14">
      <c r="N682"/>
    </row>
    <row r="683" spans="14:14">
      <c r="N683"/>
    </row>
    <row r="684" spans="14:14">
      <c r="N684"/>
    </row>
    <row r="685" spans="14:14">
      <c r="N685"/>
    </row>
    <row r="686" spans="14:14">
      <c r="N686"/>
    </row>
    <row r="687" spans="14:14">
      <c r="N687"/>
    </row>
    <row r="688" spans="14:14">
      <c r="N688"/>
    </row>
    <row r="689" spans="14:14">
      <c r="N689"/>
    </row>
    <row r="690" spans="14:14">
      <c r="N690"/>
    </row>
    <row r="691" spans="14:14">
      <c r="N691"/>
    </row>
    <row r="692" spans="14:14">
      <c r="N692"/>
    </row>
    <row r="693" spans="14:14">
      <c r="N693"/>
    </row>
    <row r="694" spans="14:14">
      <c r="N694"/>
    </row>
    <row r="695" spans="14:14">
      <c r="N695"/>
    </row>
    <row r="696" spans="14:14">
      <c r="N696"/>
    </row>
    <row r="697" spans="14:14">
      <c r="N697"/>
    </row>
    <row r="698" spans="14:14">
      <c r="N698"/>
    </row>
    <row r="699" spans="14:14">
      <c r="N699"/>
    </row>
    <row r="700" spans="14:14">
      <c r="N700"/>
    </row>
    <row r="701" spans="14:14">
      <c r="N701"/>
    </row>
    <row r="702" spans="14:14">
      <c r="N702"/>
    </row>
    <row r="703" spans="14:14">
      <c r="N703"/>
    </row>
    <row r="704" spans="14:14">
      <c r="N704"/>
    </row>
    <row r="705" spans="14:14">
      <c r="N705"/>
    </row>
    <row r="706" spans="14:14">
      <c r="N706"/>
    </row>
    <row r="707" spans="14:14">
      <c r="N707"/>
    </row>
    <row r="708" spans="14:14">
      <c r="N708"/>
    </row>
    <row r="709" spans="14:14">
      <c r="N709"/>
    </row>
    <row r="710" spans="14:14">
      <c r="N710"/>
    </row>
    <row r="711" spans="14:14">
      <c r="N711"/>
    </row>
    <row r="712" spans="14:14">
      <c r="N712"/>
    </row>
    <row r="713" spans="14:14">
      <c r="N713"/>
    </row>
    <row r="714" spans="14:14">
      <c r="N714"/>
    </row>
    <row r="715" spans="14:14">
      <c r="N715"/>
    </row>
    <row r="716" spans="14:14">
      <c r="N716"/>
    </row>
    <row r="717" spans="14:14">
      <c r="N717"/>
    </row>
    <row r="718" spans="14:14">
      <c r="N718"/>
    </row>
    <row r="719" spans="14:14">
      <c r="N719"/>
    </row>
    <row r="720" spans="14:14">
      <c r="N720"/>
    </row>
    <row r="721" spans="14:14">
      <c r="N721"/>
    </row>
    <row r="722" spans="14:14">
      <c r="N722"/>
    </row>
    <row r="723" spans="14:14">
      <c r="N723"/>
    </row>
    <row r="724" spans="14:14">
      <c r="N724"/>
    </row>
    <row r="725" spans="14:14">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127" zoomScale="80" zoomScaleNormal="80" workbookViewId="0">
      <selection activeCell="G153" sqref="G153"/>
    </sheetView>
  </sheetViews>
  <sheetFormatPr defaultRowHeight="11.25"/>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c r="A1" s="95" t="str">
        <f>'DOE25'!A1</f>
        <v>NAME:</v>
      </c>
      <c r="B1" s="2"/>
      <c r="C1" s="13"/>
      <c r="D1" s="13"/>
      <c r="E1" s="15"/>
      <c r="F1" s="13"/>
      <c r="G1" s="13"/>
      <c r="H1" s="90"/>
      <c r="I1" s="90"/>
    </row>
    <row r="2" spans="1:9">
      <c r="A2" s="4" t="str">
        <f>'DOE25'!A2</f>
        <v>Gilmanton</v>
      </c>
      <c r="C2" s="15" t="s">
        <v>264</v>
      </c>
      <c r="D2" s="15" t="s">
        <v>265</v>
      </c>
      <c r="E2" s="15" t="s">
        <v>266</v>
      </c>
      <c r="F2" s="15" t="s">
        <v>267</v>
      </c>
      <c r="G2" s="15" t="s">
        <v>268</v>
      </c>
      <c r="H2" s="91"/>
      <c r="I2" s="91"/>
    </row>
    <row r="3" spans="1:9">
      <c r="A3" s="5" t="s">
        <v>270</v>
      </c>
      <c r="B3" s="6" t="s">
        <v>138</v>
      </c>
      <c r="C3" s="22" t="s">
        <v>273</v>
      </c>
      <c r="D3" s="22" t="s">
        <v>274</v>
      </c>
      <c r="E3" s="22" t="s">
        <v>275</v>
      </c>
      <c r="F3" s="22" t="s">
        <v>276</v>
      </c>
      <c r="G3" s="22" t="s">
        <v>277</v>
      </c>
      <c r="H3" s="4"/>
      <c r="I3" s="4"/>
    </row>
    <row r="4" spans="1:9">
      <c r="A4" s="1" t="s">
        <v>279</v>
      </c>
      <c r="B4" s="3"/>
      <c r="C4" s="3"/>
      <c r="D4" s="3"/>
      <c r="E4" s="3"/>
      <c r="F4" s="3"/>
      <c r="G4" s="3"/>
      <c r="H4" s="90"/>
      <c r="I4" s="90"/>
    </row>
    <row r="5" spans="1:9">
      <c r="A5" s="3"/>
      <c r="B5" s="7"/>
      <c r="C5" s="24" t="s">
        <v>280</v>
      </c>
      <c r="D5" s="25" t="s">
        <v>281</v>
      </c>
      <c r="E5" s="24" t="s">
        <v>282</v>
      </c>
      <c r="F5" s="24" t="s">
        <v>283</v>
      </c>
      <c r="G5" s="24" t="s">
        <v>284</v>
      </c>
      <c r="H5" s="24" t="s">
        <v>100</v>
      </c>
      <c r="I5" s="90"/>
    </row>
    <row r="6" spans="1:9">
      <c r="A6" s="1" t="s">
        <v>285</v>
      </c>
      <c r="B6" s="7"/>
      <c r="C6" s="14" t="s">
        <v>286</v>
      </c>
      <c r="D6" s="13"/>
      <c r="E6" s="13"/>
      <c r="F6" s="13"/>
      <c r="G6" s="13"/>
      <c r="H6" s="90"/>
      <c r="I6" s="90"/>
    </row>
    <row r="7" spans="1:9">
      <c r="A7" s="28" t="s">
        <v>287</v>
      </c>
      <c r="B7" s="7"/>
      <c r="C7" s="23" t="s">
        <v>288</v>
      </c>
      <c r="D7" s="23" t="s">
        <v>288</v>
      </c>
      <c r="E7" s="23" t="s">
        <v>288</v>
      </c>
      <c r="F7" s="23" t="s">
        <v>288</v>
      </c>
      <c r="G7" s="23" t="s">
        <v>288</v>
      </c>
      <c r="H7" s="23" t="s">
        <v>288</v>
      </c>
      <c r="I7" s="90"/>
    </row>
    <row r="8" spans="1:9">
      <c r="A8" s="1" t="s">
        <v>139</v>
      </c>
      <c r="B8" s="6">
        <v>100</v>
      </c>
      <c r="C8" s="73">
        <f>'DOE25'!F9</f>
        <v>1197702.71</v>
      </c>
      <c r="D8" s="73">
        <f>'DOE25'!G9</f>
        <v>75</v>
      </c>
      <c r="E8" s="73">
        <f>'DOE25'!H9</f>
        <v>0</v>
      </c>
      <c r="F8" s="73">
        <f>'DOE25'!I9</f>
        <v>70386.13</v>
      </c>
      <c r="G8" s="73">
        <f>'DOE25'!J9</f>
        <v>0</v>
      </c>
      <c r="H8" s="90">
        <f>SUM(C8:G8)</f>
        <v>1268163.8399999999</v>
      </c>
      <c r="I8" s="90"/>
    </row>
    <row r="9" spans="1:9">
      <c r="A9" s="1" t="s">
        <v>140</v>
      </c>
      <c r="B9" s="6">
        <v>110</v>
      </c>
      <c r="C9" s="73">
        <f>'DOE25'!F10</f>
        <v>0</v>
      </c>
      <c r="D9" s="73">
        <f>'DOE25'!G10</f>
        <v>0</v>
      </c>
      <c r="E9" s="73">
        <f>'DOE25'!H10</f>
        <v>0</v>
      </c>
      <c r="F9" s="73">
        <f>'DOE25'!I10</f>
        <v>0</v>
      </c>
      <c r="G9" s="73">
        <f>'DOE25'!J10</f>
        <v>1150872.6500000001</v>
      </c>
      <c r="H9" s="90">
        <f t="shared" ref="H9:H18" si="0">SUM(C9:G9)</f>
        <v>1150872.6500000001</v>
      </c>
      <c r="I9" s="90"/>
    </row>
    <row r="10" spans="1:9">
      <c r="A10" s="1" t="s">
        <v>141</v>
      </c>
      <c r="B10" s="6">
        <v>120</v>
      </c>
      <c r="C10" s="73">
        <f>'DOE25'!F11</f>
        <v>0</v>
      </c>
      <c r="D10" s="23" t="s">
        <v>288</v>
      </c>
      <c r="E10" s="23" t="s">
        <v>288</v>
      </c>
      <c r="F10" s="23" t="s">
        <v>288</v>
      </c>
      <c r="G10" s="23" t="s">
        <v>288</v>
      </c>
      <c r="H10" s="90">
        <f t="shared" si="0"/>
        <v>0</v>
      </c>
      <c r="I10" s="90"/>
    </row>
    <row r="11" spans="1:9">
      <c r="A11" s="1" t="s">
        <v>142</v>
      </c>
      <c r="B11" s="6">
        <v>130</v>
      </c>
      <c r="C11" s="73">
        <f>'DOE25'!F12</f>
        <v>138470.35</v>
      </c>
      <c r="D11" s="73">
        <f>'DOE25'!G12</f>
        <v>4105.67</v>
      </c>
      <c r="E11" s="73">
        <f>'DOE25'!H12</f>
        <v>0</v>
      </c>
      <c r="F11" s="73">
        <f>'DOE25'!I12</f>
        <v>0</v>
      </c>
      <c r="G11" s="73">
        <f>'DOE25'!J12</f>
        <v>0</v>
      </c>
      <c r="H11" s="90">
        <f t="shared" si="0"/>
        <v>142576.02000000002</v>
      </c>
      <c r="I11" s="90"/>
    </row>
    <row r="12" spans="1:9">
      <c r="A12" s="1" t="s">
        <v>143</v>
      </c>
      <c r="B12" s="6">
        <v>140</v>
      </c>
      <c r="C12" s="73">
        <f>'DOE25'!F13</f>
        <v>373096.4</v>
      </c>
      <c r="D12" s="73">
        <f>'DOE25'!G13</f>
        <v>71053.210000000006</v>
      </c>
      <c r="E12" s="73">
        <f>'DOE25'!H13</f>
        <v>100978.5</v>
      </c>
      <c r="F12" s="73">
        <f>'DOE25'!I13</f>
        <v>0</v>
      </c>
      <c r="G12" s="73">
        <f>'DOE25'!J13</f>
        <v>0</v>
      </c>
      <c r="H12" s="90">
        <f t="shared" si="0"/>
        <v>545128.1100000001</v>
      </c>
      <c r="I12" s="90"/>
    </row>
    <row r="13" spans="1:9">
      <c r="A13" s="1" t="s">
        <v>144</v>
      </c>
      <c r="B13" s="6">
        <v>150</v>
      </c>
      <c r="C13" s="73">
        <f>'DOE25'!F14</f>
        <v>990</v>
      </c>
      <c r="D13" s="73">
        <f>'DOE25'!G14</f>
        <v>125.25</v>
      </c>
      <c r="E13" s="73">
        <f>'DOE25'!H14</f>
        <v>0</v>
      </c>
      <c r="F13" s="73">
        <f>'DOE25'!I14</f>
        <v>0</v>
      </c>
      <c r="G13" s="73">
        <f>'DOE25'!J14</f>
        <v>0</v>
      </c>
      <c r="H13" s="90">
        <f t="shared" si="0"/>
        <v>1115.25</v>
      </c>
      <c r="I13" s="90"/>
    </row>
    <row r="14" spans="1:9">
      <c r="A14" s="1" t="s">
        <v>145</v>
      </c>
      <c r="B14" s="6">
        <v>160</v>
      </c>
      <c r="C14" s="23" t="s">
        <v>288</v>
      </c>
      <c r="D14" s="23" t="s">
        <v>288</v>
      </c>
      <c r="E14" s="23" t="s">
        <v>288</v>
      </c>
      <c r="F14" s="73">
        <f>'DOE25'!I15</f>
        <v>0</v>
      </c>
      <c r="G14" s="23" t="s">
        <v>288</v>
      </c>
      <c r="H14" s="90">
        <f t="shared" si="0"/>
        <v>0</v>
      </c>
      <c r="I14" s="90"/>
    </row>
    <row r="15" spans="1:9">
      <c r="A15" s="1" t="s">
        <v>146</v>
      </c>
      <c r="B15" s="6">
        <v>170</v>
      </c>
      <c r="C15" s="73">
        <f>'DOE25'!F16</f>
        <v>0</v>
      </c>
      <c r="D15" s="73">
        <f>'DOE25'!G16</f>
        <v>0</v>
      </c>
      <c r="E15" s="73">
        <f>'DOE25'!H16</f>
        <v>0</v>
      </c>
      <c r="F15" s="73">
        <f>'DOE25'!I16</f>
        <v>0</v>
      </c>
      <c r="G15" s="23" t="s">
        <v>288</v>
      </c>
      <c r="H15" s="90">
        <f t="shared" si="0"/>
        <v>0</v>
      </c>
      <c r="I15" s="90"/>
    </row>
    <row r="16" spans="1:9">
      <c r="A16" s="1" t="s">
        <v>147</v>
      </c>
      <c r="B16" s="6">
        <v>180</v>
      </c>
      <c r="C16" s="73">
        <f>'DOE25'!F17</f>
        <v>37992.42</v>
      </c>
      <c r="D16" s="73">
        <f>'DOE25'!G17</f>
        <v>0</v>
      </c>
      <c r="E16" s="73">
        <f>'DOE25'!H17</f>
        <v>9653.4599999999991</v>
      </c>
      <c r="F16" s="73">
        <f>'DOE25'!I17</f>
        <v>0</v>
      </c>
      <c r="G16" s="73">
        <f>'DOE25'!J17</f>
        <v>0</v>
      </c>
      <c r="H16" s="90">
        <f t="shared" si="0"/>
        <v>47645.88</v>
      </c>
      <c r="I16" s="90"/>
    </row>
    <row r="17" spans="1:9" ht="12" thickBot="1">
      <c r="A17" s="1" t="s">
        <v>148</v>
      </c>
      <c r="B17" s="6">
        <v>190</v>
      </c>
      <c r="C17" s="73">
        <f>'DOE25'!F18</f>
        <v>0</v>
      </c>
      <c r="D17" s="73">
        <f>'DOE25'!G18</f>
        <v>0</v>
      </c>
      <c r="E17" s="73">
        <f>'DOE25'!H18</f>
        <v>0</v>
      </c>
      <c r="F17" s="73">
        <f>'DOE25'!I18</f>
        <v>0</v>
      </c>
      <c r="G17" s="73">
        <f>'DOE25'!J18</f>
        <v>0</v>
      </c>
      <c r="H17" s="90">
        <f t="shared" si="0"/>
        <v>0</v>
      </c>
      <c r="I17" s="90"/>
    </row>
    <row r="18" spans="1:9" ht="12" thickTop="1">
      <c r="A18" s="35" t="s">
        <v>149</v>
      </c>
      <c r="B18" s="36"/>
      <c r="C18" s="38">
        <f>SUM(C8:C17)</f>
        <v>1748251.88</v>
      </c>
      <c r="D18" s="38">
        <f>SUM(D8:D17)</f>
        <v>75359.13</v>
      </c>
      <c r="E18" s="38">
        <f>SUM(E8:E17)</f>
        <v>110631.95999999999</v>
      </c>
      <c r="F18" s="38">
        <f>SUM(F8:F17)</f>
        <v>70386.13</v>
      </c>
      <c r="G18" s="38">
        <f>SUM(G8:G17)</f>
        <v>1150872.6500000001</v>
      </c>
      <c r="H18" s="38">
        <f t="shared" si="0"/>
        <v>3155501.75</v>
      </c>
      <c r="I18" s="90"/>
    </row>
    <row r="19" spans="1:9">
      <c r="A19" s="1" t="s">
        <v>302</v>
      </c>
      <c r="B19" s="3"/>
      <c r="C19" s="13"/>
      <c r="D19" s="13"/>
      <c r="E19" s="13"/>
      <c r="F19" s="13"/>
      <c r="G19" s="13"/>
      <c r="H19" s="90"/>
      <c r="I19" s="90"/>
    </row>
    <row r="20" spans="1:9">
      <c r="A20" s="28" t="s">
        <v>303</v>
      </c>
      <c r="B20" s="7"/>
      <c r="C20" s="23" t="s">
        <v>288</v>
      </c>
      <c r="D20" s="23" t="s">
        <v>288</v>
      </c>
      <c r="E20" s="23" t="s">
        <v>288</v>
      </c>
      <c r="F20" s="23" t="s">
        <v>288</v>
      </c>
      <c r="G20" s="23" t="s">
        <v>288</v>
      </c>
      <c r="H20" s="23" t="s">
        <v>288</v>
      </c>
      <c r="I20" s="90"/>
    </row>
    <row r="21" spans="1:9">
      <c r="A21" s="1" t="s">
        <v>150</v>
      </c>
      <c r="B21" s="6">
        <v>400</v>
      </c>
      <c r="C21" s="73">
        <f>'DOE25'!F22</f>
        <v>4105.67</v>
      </c>
      <c r="D21" s="73">
        <f>'DOE25'!G22</f>
        <v>0</v>
      </c>
      <c r="E21" s="73">
        <f>'DOE25'!H22</f>
        <v>89128.69</v>
      </c>
      <c r="F21" s="73">
        <f>'DOE25'!I22</f>
        <v>0</v>
      </c>
      <c r="G21" s="73">
        <f>'DOE25'!J22</f>
        <v>0</v>
      </c>
      <c r="H21" s="90">
        <f t="shared" ref="H21:H31" si="1">SUM(C21:G21)</f>
        <v>93234.36</v>
      </c>
      <c r="I21" s="90"/>
    </row>
    <row r="22" spans="1:9">
      <c r="A22" s="1" t="s">
        <v>151</v>
      </c>
      <c r="B22" s="6">
        <v>410</v>
      </c>
      <c r="C22" s="73">
        <f>'DOE25'!F23</f>
        <v>0</v>
      </c>
      <c r="D22" s="73">
        <f>'DOE25'!G23</f>
        <v>0</v>
      </c>
      <c r="E22" s="73">
        <f>'DOE25'!H23</f>
        <v>0</v>
      </c>
      <c r="F22" s="73">
        <f>'DOE25'!I23</f>
        <v>0</v>
      </c>
      <c r="G22" s="73">
        <f>'DOE25'!J23</f>
        <v>0</v>
      </c>
      <c r="H22" s="90">
        <f t="shared" si="1"/>
        <v>0</v>
      </c>
      <c r="I22" s="90"/>
    </row>
    <row r="23" spans="1:9">
      <c r="A23" s="1" t="s">
        <v>152</v>
      </c>
      <c r="B23" s="6">
        <v>420</v>
      </c>
      <c r="C23" s="73">
        <f>'DOE25'!F24</f>
        <v>380004.9</v>
      </c>
      <c r="D23" s="73">
        <f>'DOE25'!G24</f>
        <v>0</v>
      </c>
      <c r="E23" s="73">
        <f>'DOE25'!H24</f>
        <v>0</v>
      </c>
      <c r="F23" s="73">
        <f>'DOE25'!I24</f>
        <v>0</v>
      </c>
      <c r="G23" s="73">
        <f>'DOE25'!J24</f>
        <v>0</v>
      </c>
      <c r="H23" s="90">
        <f t="shared" si="1"/>
        <v>380004.9</v>
      </c>
      <c r="I23" s="90"/>
    </row>
    <row r="24" spans="1:9">
      <c r="A24" s="1" t="s">
        <v>153</v>
      </c>
      <c r="B24" s="6">
        <v>430</v>
      </c>
      <c r="C24" s="73">
        <f>'DOE25'!F25</f>
        <v>0</v>
      </c>
      <c r="D24" s="73">
        <f>'DOE25'!G25</f>
        <v>0</v>
      </c>
      <c r="E24" s="73">
        <f>'DOE25'!H25</f>
        <v>0</v>
      </c>
      <c r="F24" s="73">
        <f>'DOE25'!I25</f>
        <v>0</v>
      </c>
      <c r="G24" s="23" t="s">
        <v>288</v>
      </c>
      <c r="H24" s="90">
        <f t="shared" si="1"/>
        <v>0</v>
      </c>
      <c r="I24" s="90"/>
    </row>
    <row r="25" spans="1:9">
      <c r="A25" s="1" t="s">
        <v>154</v>
      </c>
      <c r="B25" s="6">
        <v>440</v>
      </c>
      <c r="C25" s="73">
        <f>'DOE25'!F26</f>
        <v>0</v>
      </c>
      <c r="D25" s="23" t="s">
        <v>288</v>
      </c>
      <c r="E25" s="23" t="s">
        <v>288</v>
      </c>
      <c r="F25" s="73">
        <f>'DOE25'!I26</f>
        <v>0</v>
      </c>
      <c r="G25" s="23" t="s">
        <v>288</v>
      </c>
      <c r="H25" s="90">
        <f t="shared" si="1"/>
        <v>0</v>
      </c>
      <c r="I25" s="90"/>
    </row>
    <row r="26" spans="1:9">
      <c r="A26" s="1" t="s">
        <v>155</v>
      </c>
      <c r="B26" s="6">
        <v>450</v>
      </c>
      <c r="C26" s="73">
        <f>'DOE25'!F27</f>
        <v>0</v>
      </c>
      <c r="D26" s="23" t="s">
        <v>288</v>
      </c>
      <c r="E26" s="23" t="s">
        <v>288</v>
      </c>
      <c r="F26" s="73">
        <f>'DOE25'!I27</f>
        <v>0</v>
      </c>
      <c r="G26" s="23" t="s">
        <v>288</v>
      </c>
      <c r="H26" s="90">
        <f t="shared" si="1"/>
        <v>0</v>
      </c>
      <c r="I26" s="90"/>
    </row>
    <row r="27" spans="1:9">
      <c r="A27" s="1" t="s">
        <v>156</v>
      </c>
      <c r="B27" s="6">
        <v>460</v>
      </c>
      <c r="C27" s="73">
        <f>'DOE25'!F28</f>
        <v>342945.84</v>
      </c>
      <c r="D27" s="73">
        <f>'DOE25'!G28</f>
        <v>6905.39</v>
      </c>
      <c r="E27" s="73">
        <f>'DOE25'!H28</f>
        <v>8632.27</v>
      </c>
      <c r="F27" s="73">
        <f>'DOE25'!I28</f>
        <v>0</v>
      </c>
      <c r="G27" s="23" t="s">
        <v>288</v>
      </c>
      <c r="H27" s="90">
        <f t="shared" si="1"/>
        <v>358483.50000000006</v>
      </c>
      <c r="I27" s="90"/>
    </row>
    <row r="28" spans="1:9">
      <c r="A28" s="1" t="s">
        <v>157</v>
      </c>
      <c r="B28" s="6">
        <v>470</v>
      </c>
      <c r="C28" s="73">
        <f>'DOE25'!F29</f>
        <v>396.73</v>
      </c>
      <c r="D28" s="73">
        <f>'DOE25'!G29</f>
        <v>0</v>
      </c>
      <c r="E28" s="73">
        <f>'DOE25'!H29</f>
        <v>0</v>
      </c>
      <c r="F28" s="73">
        <f>'DOE25'!I29</f>
        <v>0</v>
      </c>
      <c r="G28" s="23" t="s">
        <v>288</v>
      </c>
      <c r="H28" s="90">
        <f t="shared" si="1"/>
        <v>396.73</v>
      </c>
      <c r="I28" s="90"/>
    </row>
    <row r="29" spans="1:9">
      <c r="A29" s="1" t="s">
        <v>158</v>
      </c>
      <c r="B29" s="6">
        <v>480</v>
      </c>
      <c r="C29" s="73">
        <f>'DOE25'!F30</f>
        <v>0</v>
      </c>
      <c r="D29" s="73">
        <f>'DOE25'!G30</f>
        <v>6475.34</v>
      </c>
      <c r="E29" s="73">
        <f>'DOE25'!H30</f>
        <v>12871</v>
      </c>
      <c r="F29" s="73">
        <f>'DOE25'!I30</f>
        <v>0</v>
      </c>
      <c r="G29" s="23" t="s">
        <v>288</v>
      </c>
      <c r="H29" s="90">
        <f t="shared" si="1"/>
        <v>19346.34</v>
      </c>
      <c r="I29" s="90"/>
    </row>
    <row r="30" spans="1:9" ht="12" thickBot="1">
      <c r="A30" s="1" t="s">
        <v>159</v>
      </c>
      <c r="B30" s="56">
        <v>490</v>
      </c>
      <c r="C30" s="73">
        <f>'DOE25'!F31</f>
        <v>0</v>
      </c>
      <c r="D30" s="73">
        <f>'DOE25'!G31</f>
        <v>0</v>
      </c>
      <c r="E30" s="73">
        <f>'DOE25'!H31</f>
        <v>0</v>
      </c>
      <c r="F30" s="73">
        <f>'DOE25'!I31</f>
        <v>0</v>
      </c>
      <c r="G30" s="73">
        <f>'DOE25'!J31</f>
        <v>0</v>
      </c>
      <c r="H30" s="90">
        <f t="shared" si="1"/>
        <v>0</v>
      </c>
      <c r="I30" s="90"/>
    </row>
    <row r="31" spans="1:9" ht="12" thickTop="1">
      <c r="A31" s="35" t="s">
        <v>160</v>
      </c>
      <c r="B31" s="2"/>
      <c r="C31" s="38">
        <f>SUM(C21:C30)</f>
        <v>727453.14</v>
      </c>
      <c r="D31" s="38">
        <f>SUM(D21:D30)</f>
        <v>13380.73</v>
      </c>
      <c r="E31" s="38">
        <f>SUM(E21:E30)</f>
        <v>110631.96</v>
      </c>
      <c r="F31" s="38">
        <f>SUM(F21:F30)</f>
        <v>0</v>
      </c>
      <c r="G31" s="38">
        <f>SUM(G21:G30)</f>
        <v>0</v>
      </c>
      <c r="H31" s="38">
        <f t="shared" si="1"/>
        <v>851465.83</v>
      </c>
      <c r="I31" s="90"/>
    </row>
    <row r="32" spans="1:9">
      <c r="A32" s="28" t="s">
        <v>304</v>
      </c>
      <c r="B32" s="2" t="s">
        <v>286</v>
      </c>
      <c r="C32" s="23" t="s">
        <v>288</v>
      </c>
      <c r="D32" s="23" t="s">
        <v>288</v>
      </c>
      <c r="E32" s="23" t="s">
        <v>288</v>
      </c>
      <c r="F32" s="23" t="s">
        <v>288</v>
      </c>
      <c r="G32" s="23" t="s">
        <v>288</v>
      </c>
      <c r="H32" s="23" t="s">
        <v>288</v>
      </c>
      <c r="I32" s="90"/>
    </row>
    <row r="33" spans="1:9">
      <c r="A33" s="28" t="s">
        <v>846</v>
      </c>
      <c r="B33" s="2"/>
      <c r="C33" s="23" t="s">
        <v>288</v>
      </c>
      <c r="D33" s="23" t="s">
        <v>288</v>
      </c>
      <c r="E33" s="23" t="s">
        <v>288</v>
      </c>
      <c r="F33" s="23" t="s">
        <v>288</v>
      </c>
      <c r="G33" s="23" t="s">
        <v>288</v>
      </c>
      <c r="H33" s="23" t="s">
        <v>288</v>
      </c>
      <c r="I33" s="90"/>
    </row>
    <row r="34" spans="1:9">
      <c r="A34" s="1" t="s">
        <v>849</v>
      </c>
      <c r="B34" s="6">
        <v>751</v>
      </c>
      <c r="C34" s="73">
        <f>'DOE25'!F35</f>
        <v>0</v>
      </c>
      <c r="D34" s="73">
        <f>'DOE25'!G35</f>
        <v>0</v>
      </c>
      <c r="E34" s="73">
        <f>'DOE25'!H35</f>
        <v>0</v>
      </c>
      <c r="F34" s="73">
        <f>'DOE25'!I35</f>
        <v>0</v>
      </c>
      <c r="G34" s="23" t="s">
        <v>288</v>
      </c>
      <c r="H34" s="90">
        <f t="shared" ref="H34:H51" si="2">SUM(C34:G34)</f>
        <v>0</v>
      </c>
      <c r="I34" s="90"/>
    </row>
    <row r="35" spans="1:9">
      <c r="A35" s="1" t="s">
        <v>850</v>
      </c>
      <c r="B35" s="6">
        <v>752</v>
      </c>
      <c r="C35" s="73">
        <f>'DOE25'!F36</f>
        <v>0</v>
      </c>
      <c r="D35" s="73">
        <f>'DOE25'!G36</f>
        <v>0</v>
      </c>
      <c r="E35" s="73">
        <f>'DOE25'!H36</f>
        <v>0</v>
      </c>
      <c r="F35" s="73">
        <f>'DOE25'!I36</f>
        <v>0</v>
      </c>
      <c r="G35" s="23" t="s">
        <v>288</v>
      </c>
      <c r="H35" s="90">
        <f t="shared" si="2"/>
        <v>0</v>
      </c>
      <c r="I35" s="90"/>
    </row>
    <row r="36" spans="1:9">
      <c r="A36" s="1" t="s">
        <v>856</v>
      </c>
      <c r="B36" s="6">
        <v>756</v>
      </c>
      <c r="C36" s="73">
        <f>'DOE25'!F37</f>
        <v>0</v>
      </c>
      <c r="D36" s="73">
        <f>'DOE25'!G37</f>
        <v>0</v>
      </c>
      <c r="E36" s="73">
        <f>'DOE25'!H37</f>
        <v>0</v>
      </c>
      <c r="F36" s="73">
        <f>'DOE25'!I37</f>
        <v>0</v>
      </c>
      <c r="G36" s="73">
        <f>'DOE25'!J37</f>
        <v>0</v>
      </c>
      <c r="H36" s="90">
        <f t="shared" si="2"/>
        <v>0</v>
      </c>
      <c r="I36" s="90"/>
    </row>
    <row r="37" spans="1:9">
      <c r="A37" s="28" t="s">
        <v>845</v>
      </c>
      <c r="B37" s="6"/>
      <c r="C37" s="23" t="s">
        <v>288</v>
      </c>
      <c r="D37" s="23" t="s">
        <v>288</v>
      </c>
      <c r="E37" s="23" t="s">
        <v>288</v>
      </c>
      <c r="F37" s="23" t="s">
        <v>288</v>
      </c>
      <c r="G37" s="23" t="s">
        <v>288</v>
      </c>
      <c r="H37" s="23" t="s">
        <v>288</v>
      </c>
      <c r="I37" s="90"/>
    </row>
    <row r="38" spans="1:9">
      <c r="A38" s="1" t="s">
        <v>857</v>
      </c>
      <c r="B38" s="6">
        <v>756</v>
      </c>
      <c r="C38" s="73">
        <f>'DOE25'!F39</f>
        <v>0</v>
      </c>
      <c r="D38" s="73">
        <f>'DOE25'!G39</f>
        <v>0</v>
      </c>
      <c r="E38" s="73">
        <f>'DOE25'!H39</f>
        <v>0</v>
      </c>
      <c r="F38" s="73">
        <f>'DOE25'!I39</f>
        <v>0</v>
      </c>
      <c r="G38" s="73">
        <f>'DOE25'!J39</f>
        <v>0</v>
      </c>
      <c r="H38" s="90">
        <f t="shared" si="2"/>
        <v>0</v>
      </c>
      <c r="I38" s="90"/>
    </row>
    <row r="39" spans="1:9">
      <c r="A39" s="1" t="s">
        <v>861</v>
      </c>
      <c r="B39" s="6"/>
      <c r="C39" s="23" t="s">
        <v>288</v>
      </c>
      <c r="D39" s="73">
        <f>'DOE25'!G40</f>
        <v>0</v>
      </c>
      <c r="E39" s="23" t="s">
        <v>288</v>
      </c>
      <c r="F39" s="23" t="s">
        <v>288</v>
      </c>
      <c r="G39" s="23" t="s">
        <v>288</v>
      </c>
      <c r="H39" s="90">
        <f t="shared" si="2"/>
        <v>0</v>
      </c>
      <c r="I39" s="90"/>
    </row>
    <row r="40" spans="1:9">
      <c r="A40" s="1" t="s">
        <v>871</v>
      </c>
      <c r="B40" s="6"/>
      <c r="C40" s="23" t="s">
        <v>288</v>
      </c>
      <c r="D40" s="23" t="s">
        <v>288</v>
      </c>
      <c r="E40" s="23" t="s">
        <v>288</v>
      </c>
      <c r="F40" s="73">
        <f>'DOE25'!I41</f>
        <v>0</v>
      </c>
      <c r="G40" s="23" t="s">
        <v>288</v>
      </c>
      <c r="H40" s="90">
        <f t="shared" si="2"/>
        <v>0</v>
      </c>
      <c r="I40" s="90"/>
    </row>
    <row r="41" spans="1:9">
      <c r="A41" s="28" t="s">
        <v>847</v>
      </c>
      <c r="B41" s="6"/>
      <c r="C41" s="23" t="s">
        <v>288</v>
      </c>
      <c r="D41" s="23" t="s">
        <v>288</v>
      </c>
      <c r="E41" s="23" t="s">
        <v>288</v>
      </c>
      <c r="F41" s="23" t="s">
        <v>288</v>
      </c>
      <c r="G41" s="23" t="s">
        <v>288</v>
      </c>
      <c r="H41" s="23" t="s">
        <v>288</v>
      </c>
      <c r="I41" s="90"/>
    </row>
    <row r="42" spans="1:9">
      <c r="A42" s="1" t="s">
        <v>862</v>
      </c>
      <c r="B42" s="6">
        <v>754</v>
      </c>
      <c r="C42" s="73">
        <f>'DOE25'!F43</f>
        <v>0</v>
      </c>
      <c r="D42" s="73">
        <f>'DOE25'!G43</f>
        <v>0</v>
      </c>
      <c r="E42" s="73">
        <f>'DOE25'!H43</f>
        <v>0</v>
      </c>
      <c r="F42" s="73">
        <f>'DOE25'!I43</f>
        <v>0</v>
      </c>
      <c r="G42" s="73">
        <f>'DOE25'!J43</f>
        <v>0</v>
      </c>
      <c r="H42" s="90">
        <f t="shared" si="2"/>
        <v>0</v>
      </c>
      <c r="I42" s="90"/>
    </row>
    <row r="43" spans="1:9">
      <c r="A43" s="1" t="s">
        <v>863</v>
      </c>
      <c r="B43" s="6">
        <v>755</v>
      </c>
      <c r="C43" s="73">
        <f>'DOE25'!F44</f>
        <v>0</v>
      </c>
      <c r="D43" s="73">
        <f>'DOE25'!G44</f>
        <v>0</v>
      </c>
      <c r="E43" s="73">
        <f>'DOE25'!H44</f>
        <v>0</v>
      </c>
      <c r="F43" s="73">
        <f>'DOE25'!I44</f>
        <v>0</v>
      </c>
      <c r="G43" s="23" t="s">
        <v>288</v>
      </c>
      <c r="H43" s="90">
        <f t="shared" si="2"/>
        <v>0</v>
      </c>
      <c r="I43" s="90"/>
    </row>
    <row r="44" spans="1:9">
      <c r="A44" s="1" t="s">
        <v>864</v>
      </c>
      <c r="B44" s="6">
        <v>753</v>
      </c>
      <c r="C44" s="73">
        <f>'DOE25'!F45</f>
        <v>0</v>
      </c>
      <c r="D44" s="73">
        <f>'DOE25'!G45</f>
        <v>0</v>
      </c>
      <c r="E44" s="73">
        <f>'DOE25'!H45</f>
        <v>0</v>
      </c>
      <c r="F44" s="73">
        <f>'DOE25'!I45</f>
        <v>0</v>
      </c>
      <c r="G44" s="73">
        <f>'DOE25'!J45</f>
        <v>0</v>
      </c>
      <c r="H44" s="90">
        <f t="shared" si="2"/>
        <v>0</v>
      </c>
      <c r="I44" s="90"/>
    </row>
    <row r="45" spans="1:9">
      <c r="A45" s="1" t="s">
        <v>880</v>
      </c>
      <c r="B45" s="6"/>
      <c r="C45" s="73">
        <f>'DOE25'!F46</f>
        <v>0</v>
      </c>
      <c r="D45" s="23" t="s">
        <v>288</v>
      </c>
      <c r="E45" s="23" t="s">
        <v>288</v>
      </c>
      <c r="F45" s="23" t="s">
        <v>288</v>
      </c>
      <c r="G45" s="23" t="s">
        <v>288</v>
      </c>
      <c r="H45" s="90">
        <f t="shared" si="2"/>
        <v>0</v>
      </c>
      <c r="I45" s="90"/>
    </row>
    <row r="46" spans="1:9">
      <c r="A46" s="28" t="s">
        <v>848</v>
      </c>
      <c r="B46" s="6"/>
      <c r="C46" s="23" t="s">
        <v>288</v>
      </c>
      <c r="D46" s="23" t="s">
        <v>288</v>
      </c>
      <c r="E46" s="23" t="s">
        <v>288</v>
      </c>
      <c r="F46" s="23" t="s">
        <v>288</v>
      </c>
      <c r="G46" s="23" t="s">
        <v>288</v>
      </c>
      <c r="H46" s="23" t="s">
        <v>288</v>
      </c>
      <c r="I46" s="90"/>
    </row>
    <row r="47" spans="1:9">
      <c r="A47" s="1" t="s">
        <v>881</v>
      </c>
      <c r="B47" s="6">
        <v>760</v>
      </c>
      <c r="C47" s="73">
        <f>'DOE25'!F48</f>
        <v>447924.08</v>
      </c>
      <c r="D47" s="73">
        <f>'DOE25'!G48</f>
        <v>61978.400000000001</v>
      </c>
      <c r="E47" s="73">
        <f>'DOE25'!H48</f>
        <v>0</v>
      </c>
      <c r="F47" s="73">
        <f>'DOE25'!I48</f>
        <v>70386.13</v>
      </c>
      <c r="G47" s="73">
        <f>'DOE25'!J48</f>
        <v>1150872.6500000001</v>
      </c>
      <c r="H47" s="90">
        <f t="shared" si="2"/>
        <v>1731161.2600000002</v>
      </c>
      <c r="I47" s="90"/>
    </row>
    <row r="48" spans="1:9">
      <c r="A48" s="1" t="s">
        <v>882</v>
      </c>
      <c r="B48" s="6">
        <v>753</v>
      </c>
      <c r="C48" s="73">
        <f>'DOE25'!F49</f>
        <v>0</v>
      </c>
      <c r="D48" s="73">
        <f>'DOE25'!G49</f>
        <v>0</v>
      </c>
      <c r="E48" s="73">
        <f>'DOE25'!H49</f>
        <v>0</v>
      </c>
      <c r="F48" s="73">
        <f>'DOE25'!I49</f>
        <v>0</v>
      </c>
      <c r="G48" s="73">
        <f>'DOE25'!J49</f>
        <v>0</v>
      </c>
      <c r="H48" s="90">
        <f t="shared" si="2"/>
        <v>0</v>
      </c>
      <c r="I48" s="90"/>
    </row>
    <row r="49" spans="1:9" ht="12" thickBot="1">
      <c r="A49" s="28" t="s">
        <v>883</v>
      </c>
      <c r="B49" s="56">
        <v>770</v>
      </c>
      <c r="C49" s="73">
        <f>'DOE25'!F50</f>
        <v>572874.66</v>
      </c>
      <c r="D49" s="23" t="s">
        <v>288</v>
      </c>
      <c r="E49" s="23" t="s">
        <v>288</v>
      </c>
      <c r="F49" s="23" t="s">
        <v>288</v>
      </c>
      <c r="G49" s="23" t="s">
        <v>288</v>
      </c>
      <c r="H49" s="90">
        <f t="shared" si="2"/>
        <v>572874.66</v>
      </c>
      <c r="I49" s="90"/>
    </row>
    <row r="50" spans="1:9" ht="12.75" thickTop="1" thickBot="1">
      <c r="A50" s="35" t="s">
        <v>884</v>
      </c>
      <c r="B50" s="44"/>
      <c r="C50" s="38">
        <f>SUM(C34:C49)</f>
        <v>1020798.74</v>
      </c>
      <c r="D50" s="38">
        <f>SUM(D34:D49)</f>
        <v>61978.400000000001</v>
      </c>
      <c r="E50" s="38">
        <f>SUM(E34:E49)</f>
        <v>0</v>
      </c>
      <c r="F50" s="38">
        <f>SUM(F34:F49)</f>
        <v>70386.13</v>
      </c>
      <c r="G50" s="38">
        <f>SUM(G34:G49)</f>
        <v>1150872.6500000001</v>
      </c>
      <c r="H50" s="38">
        <f t="shared" si="2"/>
        <v>2304035.92</v>
      </c>
      <c r="I50" s="90"/>
    </row>
    <row r="51" spans="1:9" ht="12" thickTop="1">
      <c r="A51" s="35" t="s">
        <v>885</v>
      </c>
      <c r="B51" s="2"/>
      <c r="C51" s="38">
        <f>C50+C31</f>
        <v>1748251.88</v>
      </c>
      <c r="D51" s="38">
        <f>D50+D31</f>
        <v>75359.13</v>
      </c>
      <c r="E51" s="38">
        <f>E50+E31</f>
        <v>110631.96</v>
      </c>
      <c r="F51" s="38">
        <f>F50+F31</f>
        <v>70386.13</v>
      </c>
      <c r="G51" s="38">
        <f>G50+G31</f>
        <v>1150872.6500000001</v>
      </c>
      <c r="H51" s="38">
        <f t="shared" si="2"/>
        <v>3155501.75</v>
      </c>
      <c r="I51" s="90"/>
    </row>
    <row r="52" spans="1:9">
      <c r="H52" s="90"/>
      <c r="I52" s="90"/>
    </row>
    <row r="53" spans="1:9">
      <c r="B53" s="3"/>
      <c r="C53" s="16" t="s">
        <v>280</v>
      </c>
      <c r="D53" s="16" t="s">
        <v>281</v>
      </c>
      <c r="E53" s="16" t="s">
        <v>282</v>
      </c>
      <c r="F53" s="16" t="s">
        <v>283</v>
      </c>
      <c r="G53" s="16" t="s">
        <v>306</v>
      </c>
    </row>
    <row r="54" spans="1:9">
      <c r="A54" s="1" t="s">
        <v>319</v>
      </c>
      <c r="B54" s="3"/>
      <c r="C54" s="23" t="s">
        <v>288</v>
      </c>
      <c r="D54" s="23" t="s">
        <v>288</v>
      </c>
      <c r="E54" s="23" t="s">
        <v>288</v>
      </c>
      <c r="F54" s="23" t="s">
        <v>288</v>
      </c>
      <c r="G54" s="23" t="s">
        <v>288</v>
      </c>
      <c r="H54" s="23" t="s">
        <v>288</v>
      </c>
      <c r="I54" s="19"/>
    </row>
    <row r="55" spans="1:9">
      <c r="A55" s="33" t="s">
        <v>161</v>
      </c>
      <c r="B55" s="3"/>
      <c r="C55" s="23" t="s">
        <v>288</v>
      </c>
      <c r="D55" s="23" t="s">
        <v>288</v>
      </c>
      <c r="E55" s="23" t="s">
        <v>288</v>
      </c>
      <c r="F55" s="23" t="s">
        <v>288</v>
      </c>
      <c r="G55" s="23" t="s">
        <v>288</v>
      </c>
      <c r="H55" s="23" t="s">
        <v>288</v>
      </c>
      <c r="I55"/>
    </row>
    <row r="56" spans="1:9">
      <c r="A56" s="1" t="s">
        <v>162</v>
      </c>
      <c r="B56" s="6" t="s">
        <v>163</v>
      </c>
      <c r="C56" s="73">
        <f>'DOE25'!F60</f>
        <v>8342447</v>
      </c>
      <c r="D56" s="73">
        <f>'DOE25'!G60</f>
        <v>0</v>
      </c>
      <c r="E56" s="73">
        <f>'DOE25'!H60</f>
        <v>0</v>
      </c>
      <c r="F56" s="73">
        <f>'DOE25'!I60</f>
        <v>0</v>
      </c>
      <c r="G56" s="73">
        <f>'DOE25'!J60</f>
        <v>0</v>
      </c>
      <c r="H56" s="90">
        <f t="shared" ref="H56:H63" si="3">SUM(C56:G56)</f>
        <v>8342447</v>
      </c>
      <c r="I56"/>
    </row>
    <row r="57" spans="1:9">
      <c r="A57" s="1" t="s">
        <v>164</v>
      </c>
      <c r="B57" s="6" t="s">
        <v>165</v>
      </c>
      <c r="C57" s="73">
        <f>'DOE25'!F79</f>
        <v>1430.34</v>
      </c>
      <c r="D57" s="23" t="s">
        <v>288</v>
      </c>
      <c r="E57" s="73">
        <f>'DOE25'!H79</f>
        <v>0</v>
      </c>
      <c r="F57" s="23" t="s">
        <v>288</v>
      </c>
      <c r="G57" s="23" t="s">
        <v>288</v>
      </c>
      <c r="H57" s="90">
        <f t="shared" si="3"/>
        <v>1430.34</v>
      </c>
      <c r="I57"/>
    </row>
    <row r="58" spans="1:9">
      <c r="A58" s="1" t="s">
        <v>166</v>
      </c>
      <c r="B58" s="6" t="s">
        <v>167</v>
      </c>
      <c r="C58" s="73">
        <f>'DOE25'!F94</f>
        <v>0</v>
      </c>
      <c r="D58" s="23" t="s">
        <v>288</v>
      </c>
      <c r="E58" s="73">
        <f>'DOE25'!H94</f>
        <v>0</v>
      </c>
      <c r="F58" s="23" t="s">
        <v>288</v>
      </c>
      <c r="G58" s="23" t="s">
        <v>288</v>
      </c>
      <c r="H58" s="90">
        <f t="shared" si="3"/>
        <v>0</v>
      </c>
      <c r="I58"/>
    </row>
    <row r="59" spans="1:9">
      <c r="A59" s="1" t="s">
        <v>168</v>
      </c>
      <c r="B59" s="6" t="s">
        <v>169</v>
      </c>
      <c r="C59" s="73">
        <f>'DOE25'!F96</f>
        <v>5510.51</v>
      </c>
      <c r="D59" s="73">
        <f>'DOE25'!G96</f>
        <v>0</v>
      </c>
      <c r="E59" s="73">
        <f>'DOE25'!H96</f>
        <v>0</v>
      </c>
      <c r="F59" s="73">
        <f>'DOE25'!I96</f>
        <v>0</v>
      </c>
      <c r="G59" s="73">
        <f>'DOE25'!J96</f>
        <v>13826.72</v>
      </c>
      <c r="H59" s="90">
        <f t="shared" si="3"/>
        <v>19337.23</v>
      </c>
      <c r="I59"/>
    </row>
    <row r="60" spans="1:9">
      <c r="A60" s="1" t="s">
        <v>170</v>
      </c>
      <c r="B60" s="22" t="s">
        <v>171</v>
      </c>
      <c r="C60" s="23" t="s">
        <v>288</v>
      </c>
      <c r="D60" s="73">
        <f>'DOE25'!G97</f>
        <v>4413.41</v>
      </c>
      <c r="E60" s="23" t="s">
        <v>288</v>
      </c>
      <c r="F60" s="23" t="s">
        <v>288</v>
      </c>
      <c r="G60" s="23" t="s">
        <v>288</v>
      </c>
      <c r="H60" s="90">
        <f t="shared" si="3"/>
        <v>4413.41</v>
      </c>
      <c r="I60"/>
    </row>
    <row r="61" spans="1:9" ht="12" thickBot="1">
      <c r="A61" s="1" t="s">
        <v>172</v>
      </c>
      <c r="B61" s="22" t="s">
        <v>173</v>
      </c>
      <c r="C61" s="73">
        <f>SUM('DOE25'!F98:F110)</f>
        <v>4569.42</v>
      </c>
      <c r="D61" s="73">
        <f>SUM('DOE25'!G98:G110)</f>
        <v>0</v>
      </c>
      <c r="E61" s="73">
        <f>SUM('DOE25'!H98:H110)</f>
        <v>0</v>
      </c>
      <c r="F61" s="73">
        <f>SUM('DOE25'!I98:I110)</f>
        <v>0</v>
      </c>
      <c r="G61" s="73">
        <f>SUM('DOE25'!J98:J110)</f>
        <v>0</v>
      </c>
      <c r="H61" s="90">
        <f t="shared" si="3"/>
        <v>4569.42</v>
      </c>
      <c r="I61"/>
    </row>
    <row r="62" spans="1:9" ht="12.75" thickTop="1" thickBot="1">
      <c r="A62" s="28" t="s">
        <v>174</v>
      </c>
      <c r="B62" s="6"/>
      <c r="C62" s="93">
        <f>SUM(C57:C61)</f>
        <v>11510.27</v>
      </c>
      <c r="D62" s="93">
        <f>SUM(D57:D61)</f>
        <v>4413.41</v>
      </c>
      <c r="E62" s="93">
        <f>SUM(E57:E61)</f>
        <v>0</v>
      </c>
      <c r="F62" s="93">
        <f>SUM(F57:F61)</f>
        <v>0</v>
      </c>
      <c r="G62" s="93">
        <f>SUM(G57:G61)</f>
        <v>13826.72</v>
      </c>
      <c r="H62" s="90">
        <f t="shared" si="3"/>
        <v>29750.400000000001</v>
      </c>
      <c r="I62"/>
    </row>
    <row r="63" spans="1:9" ht="12" thickTop="1">
      <c r="A63" s="28" t="s">
        <v>175</v>
      </c>
      <c r="B63" s="6"/>
      <c r="C63" s="21">
        <f>C56+C62</f>
        <v>8353957.2699999996</v>
      </c>
      <c r="D63" s="21">
        <f>D56+D62</f>
        <v>4413.41</v>
      </c>
      <c r="E63" s="21">
        <f>E56+E62</f>
        <v>0</v>
      </c>
      <c r="F63" s="21">
        <f>F56+F62</f>
        <v>0</v>
      </c>
      <c r="G63" s="21">
        <f>G56+G62</f>
        <v>13826.72</v>
      </c>
      <c r="H63" s="90">
        <f t="shared" si="3"/>
        <v>8372197.3999999994</v>
      </c>
      <c r="I63"/>
    </row>
    <row r="64" spans="1:9">
      <c r="A64" s="28" t="s">
        <v>320</v>
      </c>
      <c r="B64" s="6"/>
      <c r="C64" s="23" t="s">
        <v>288</v>
      </c>
      <c r="D64" s="23" t="s">
        <v>288</v>
      </c>
      <c r="E64" s="23" t="s">
        <v>288</v>
      </c>
      <c r="F64" s="23" t="s">
        <v>288</v>
      </c>
      <c r="G64" s="23" t="s">
        <v>288</v>
      </c>
      <c r="H64" s="23" t="s">
        <v>288</v>
      </c>
      <c r="I64"/>
    </row>
    <row r="65" spans="1:9">
      <c r="A65" s="28" t="s">
        <v>176</v>
      </c>
      <c r="B65" s="6"/>
      <c r="C65" s="23" t="s">
        <v>288</v>
      </c>
      <c r="D65" s="23" t="s">
        <v>288</v>
      </c>
      <c r="E65" s="23" t="s">
        <v>288</v>
      </c>
      <c r="F65" s="23" t="s">
        <v>288</v>
      </c>
      <c r="G65" s="23" t="s">
        <v>288</v>
      </c>
      <c r="H65" s="23" t="s">
        <v>288</v>
      </c>
      <c r="I65"/>
    </row>
    <row r="66" spans="1:9">
      <c r="A66" s="1" t="s">
        <v>834</v>
      </c>
      <c r="B66" s="6">
        <v>3111</v>
      </c>
      <c r="C66" s="73">
        <f>'DOE25'!F117</f>
        <v>1499891.4</v>
      </c>
      <c r="D66" s="23" t="s">
        <v>288</v>
      </c>
      <c r="E66" s="23" t="s">
        <v>288</v>
      </c>
      <c r="F66" s="23" t="s">
        <v>288</v>
      </c>
      <c r="G66" s="23" t="s">
        <v>288</v>
      </c>
      <c r="H66" s="90">
        <f t="shared" ref="H66:H81" si="4">SUM(C66:G66)</f>
        <v>1499891.4</v>
      </c>
      <c r="I66"/>
    </row>
    <row r="67" spans="1:9">
      <c r="A67" s="1" t="s">
        <v>770</v>
      </c>
      <c r="B67" s="6">
        <v>3112</v>
      </c>
      <c r="C67" s="73">
        <f>'DOE25'!F118</f>
        <v>982585</v>
      </c>
      <c r="D67" s="23"/>
      <c r="E67" s="23"/>
      <c r="F67" s="23"/>
      <c r="G67" s="23"/>
      <c r="H67" s="90">
        <f t="shared" si="4"/>
        <v>982585</v>
      </c>
      <c r="I67"/>
    </row>
    <row r="68" spans="1:9">
      <c r="A68" s="1" t="s">
        <v>873</v>
      </c>
      <c r="B68" s="6">
        <v>3119</v>
      </c>
      <c r="C68" s="23" t="str">
        <f>'DOE25'!F119</f>
        <v>............</v>
      </c>
      <c r="D68" s="23" t="s">
        <v>288</v>
      </c>
      <c r="E68" s="23" t="s">
        <v>288</v>
      </c>
      <c r="F68" s="23" t="s">
        <v>288</v>
      </c>
      <c r="G68" s="23" t="s">
        <v>288</v>
      </c>
      <c r="H68" s="23" t="s">
        <v>288</v>
      </c>
      <c r="I68"/>
    </row>
    <row r="69" spans="1:9" ht="12" thickBot="1">
      <c r="A69" s="1" t="s">
        <v>251</v>
      </c>
      <c r="B69" s="6" t="s">
        <v>177</v>
      </c>
      <c r="C69" s="73">
        <f>'DOE25'!F120</f>
        <v>3990.42</v>
      </c>
      <c r="D69" s="73">
        <f>'DOE25'!G120</f>
        <v>0</v>
      </c>
      <c r="E69" s="73">
        <f>'DOE25'!H120</f>
        <v>0</v>
      </c>
      <c r="F69" s="73">
        <f>'DOE25'!I120</f>
        <v>0</v>
      </c>
      <c r="G69" s="73">
        <f>'DOE25'!J120</f>
        <v>0</v>
      </c>
      <c r="H69" s="90">
        <f t="shared" si="4"/>
        <v>3990.42</v>
      </c>
      <c r="I69"/>
    </row>
    <row r="70" spans="1:9" ht="12" thickTop="1">
      <c r="A70" s="28" t="s">
        <v>252</v>
      </c>
      <c r="B70" s="2"/>
      <c r="C70" s="97">
        <f>SUM(C66:C69)</f>
        <v>2486466.8199999998</v>
      </c>
      <c r="D70" s="97">
        <f>D69</f>
        <v>0</v>
      </c>
      <c r="E70" s="97">
        <f>E69</f>
        <v>0</v>
      </c>
      <c r="F70" s="97">
        <f>F69</f>
        <v>0</v>
      </c>
      <c r="G70" s="97">
        <f>G69</f>
        <v>0</v>
      </c>
      <c r="H70" s="90">
        <f t="shared" si="4"/>
        <v>2486466.8199999998</v>
      </c>
      <c r="I70"/>
    </row>
    <row r="71" spans="1:9">
      <c r="A71" s="28" t="s">
        <v>178</v>
      </c>
      <c r="B71" s="2"/>
      <c r="C71" s="23" t="s">
        <v>288</v>
      </c>
      <c r="D71" s="23" t="s">
        <v>288</v>
      </c>
      <c r="E71" s="23" t="s">
        <v>288</v>
      </c>
      <c r="F71" s="23" t="s">
        <v>288</v>
      </c>
      <c r="G71" s="23" t="s">
        <v>288</v>
      </c>
      <c r="H71" s="23" t="s">
        <v>288</v>
      </c>
      <c r="I71"/>
    </row>
    <row r="72" spans="1:9">
      <c r="A72" s="1" t="s">
        <v>253</v>
      </c>
      <c r="B72" s="6">
        <v>3210</v>
      </c>
      <c r="C72" s="73">
        <f>'DOE25'!F123</f>
        <v>0</v>
      </c>
      <c r="D72" s="23" t="s">
        <v>288</v>
      </c>
      <c r="E72" s="23" t="s">
        <v>288</v>
      </c>
      <c r="F72" s="73">
        <f>'DOE25'!I123</f>
        <v>0</v>
      </c>
      <c r="G72" s="23" t="s">
        <v>288</v>
      </c>
      <c r="H72" s="90">
        <f t="shared" si="4"/>
        <v>0</v>
      </c>
      <c r="I72"/>
    </row>
    <row r="73" spans="1:9">
      <c r="A73" s="1" t="s">
        <v>254</v>
      </c>
      <c r="B73" s="6">
        <v>3215</v>
      </c>
      <c r="C73" s="73">
        <f>'DOE25'!F124</f>
        <v>0</v>
      </c>
      <c r="D73" s="23" t="s">
        <v>288</v>
      </c>
      <c r="E73" s="23" t="s">
        <v>288</v>
      </c>
      <c r="F73" s="73">
        <f>'DOE25'!I124</f>
        <v>0</v>
      </c>
      <c r="G73" s="23" t="s">
        <v>288</v>
      </c>
      <c r="H73" s="90">
        <f t="shared" si="4"/>
        <v>0</v>
      </c>
      <c r="I73"/>
    </row>
    <row r="74" spans="1:9">
      <c r="A74" s="1" t="s">
        <v>255</v>
      </c>
      <c r="B74" s="6">
        <v>3220</v>
      </c>
      <c r="C74" s="73">
        <f>'DOE25'!F125</f>
        <v>0</v>
      </c>
      <c r="D74" s="23"/>
      <c r="E74" s="23"/>
      <c r="F74" s="23"/>
      <c r="G74" s="23"/>
      <c r="H74" s="90">
        <f t="shared" si="4"/>
        <v>0</v>
      </c>
      <c r="I74"/>
    </row>
    <row r="75" spans="1:9">
      <c r="A75" s="1" t="s">
        <v>256</v>
      </c>
      <c r="B75" s="6">
        <v>3230</v>
      </c>
      <c r="C75" s="73">
        <f>'DOE25'!F126</f>
        <v>57588.51</v>
      </c>
      <c r="D75" s="23" t="s">
        <v>288</v>
      </c>
      <c r="E75" s="23" t="s">
        <v>288</v>
      </c>
      <c r="F75" s="23" t="s">
        <v>288</v>
      </c>
      <c r="G75" s="23" t="s">
        <v>288</v>
      </c>
      <c r="H75" s="90">
        <f t="shared" si="4"/>
        <v>57588.51</v>
      </c>
      <c r="I75"/>
    </row>
    <row r="76" spans="1:9">
      <c r="A76" s="1" t="s">
        <v>257</v>
      </c>
      <c r="B76" s="6" t="s">
        <v>179</v>
      </c>
      <c r="C76" s="73">
        <f>SUM('DOE25'!F127:F130)</f>
        <v>0</v>
      </c>
      <c r="D76" s="23" t="s">
        <v>288</v>
      </c>
      <c r="E76" s="73">
        <f>SUM('DOE25'!H127:H130)</f>
        <v>0</v>
      </c>
      <c r="F76" s="73">
        <f>SUM('DOE25'!I127:I130)</f>
        <v>0</v>
      </c>
      <c r="G76" s="23" t="s">
        <v>288</v>
      </c>
      <c r="H76" s="90">
        <f t="shared" si="4"/>
        <v>0</v>
      </c>
      <c r="I76"/>
    </row>
    <row r="77" spans="1:9" ht="12" thickBot="1">
      <c r="A77" s="1" t="s">
        <v>258</v>
      </c>
      <c r="B77" s="6" t="s">
        <v>180</v>
      </c>
      <c r="C77" s="73">
        <f>SUM('DOE25'!F131:F135)</f>
        <v>0</v>
      </c>
      <c r="D77" s="73">
        <f>SUM('DOE25'!G131:G135)</f>
        <v>2722.44</v>
      </c>
      <c r="E77" s="73">
        <f>SUM('DOE25'!H131:H135)</f>
        <v>0</v>
      </c>
      <c r="F77" s="73">
        <f>SUM('DOE25'!I131:I135)</f>
        <v>0</v>
      </c>
      <c r="G77" s="73">
        <f>SUM('DOE25'!J131:J135)</f>
        <v>0</v>
      </c>
      <c r="H77" s="90">
        <f t="shared" si="4"/>
        <v>2722.44</v>
      </c>
      <c r="I77"/>
    </row>
    <row r="78" spans="1:9" ht="12.75" thickTop="1" thickBot="1">
      <c r="A78" s="28" t="s">
        <v>259</v>
      </c>
      <c r="B78" s="6"/>
      <c r="C78" s="93">
        <f>SUM(C72:C77)</f>
        <v>57588.51</v>
      </c>
      <c r="D78" s="93">
        <f>SUM(D72:D77)</f>
        <v>2722.44</v>
      </c>
      <c r="E78" s="93">
        <f>SUM(E72:E77)</f>
        <v>0</v>
      </c>
      <c r="F78" s="93">
        <f>SUM(F72:F77)</f>
        <v>0</v>
      </c>
      <c r="G78" s="93">
        <f>SUM(G72:G77)</f>
        <v>0</v>
      </c>
      <c r="H78" s="90">
        <f t="shared" si="4"/>
        <v>60310.950000000004</v>
      </c>
      <c r="I78"/>
    </row>
    <row r="79" spans="1:9" ht="12" thickTop="1">
      <c r="A79" s="1" t="s">
        <v>260</v>
      </c>
      <c r="B79" s="6">
        <v>3700</v>
      </c>
      <c r="C79" s="73">
        <f>'DOE25'!F137</f>
        <v>0</v>
      </c>
      <c r="D79" s="73">
        <f>'DOE25'!G137</f>
        <v>0</v>
      </c>
      <c r="E79" s="73">
        <f>'DOE25'!H137</f>
        <v>0</v>
      </c>
      <c r="F79" s="23" t="s">
        <v>288</v>
      </c>
      <c r="G79" s="23" t="s">
        <v>288</v>
      </c>
      <c r="H79" s="90">
        <f t="shared" si="4"/>
        <v>0</v>
      </c>
      <c r="I79"/>
    </row>
    <row r="80" spans="1:9" ht="12" thickBot="1">
      <c r="A80" s="1" t="s">
        <v>886</v>
      </c>
      <c r="B80" s="6">
        <v>3800</v>
      </c>
      <c r="C80" s="73">
        <f>'DOE25'!F138</f>
        <v>0</v>
      </c>
      <c r="D80" s="23" t="s">
        <v>288</v>
      </c>
      <c r="E80" s="73">
        <f>'DOE25'!H138</f>
        <v>0</v>
      </c>
      <c r="F80" s="23" t="s">
        <v>288</v>
      </c>
      <c r="G80" s="23" t="s">
        <v>288</v>
      </c>
      <c r="H80" s="90">
        <f t="shared" si="4"/>
        <v>0</v>
      </c>
      <c r="I80"/>
    </row>
    <row r="81" spans="1:9" ht="12.75" thickTop="1" thickBot="1">
      <c r="A81" s="28" t="s">
        <v>744</v>
      </c>
      <c r="B81" s="2"/>
      <c r="C81" s="93">
        <f>SUM(C79:C80)+C78+C70</f>
        <v>2544055.3299999996</v>
      </c>
      <c r="D81" s="93">
        <f>SUM(D79:D80)+D78+D70</f>
        <v>2722.44</v>
      </c>
      <c r="E81" s="93">
        <f>SUM(E79:E80)+E78+E70</f>
        <v>0</v>
      </c>
      <c r="F81" s="93">
        <f>SUM(F79:F80)+F78+F70</f>
        <v>0</v>
      </c>
      <c r="G81" s="93">
        <f>SUM(G79:G80)+G78+G70</f>
        <v>0</v>
      </c>
      <c r="H81" s="93">
        <f t="shared" si="4"/>
        <v>2546777.7699999996</v>
      </c>
      <c r="I81"/>
    </row>
    <row r="82" spans="1:9" ht="12" thickTop="1">
      <c r="B82" s="3"/>
      <c r="C82" s="16" t="s">
        <v>280</v>
      </c>
      <c r="D82" s="16" t="s">
        <v>281</v>
      </c>
      <c r="E82" s="16" t="s">
        <v>282</v>
      </c>
      <c r="F82" s="16" t="s">
        <v>283</v>
      </c>
      <c r="G82" s="16" t="s">
        <v>306</v>
      </c>
      <c r="H82" s="16"/>
      <c r="I82"/>
    </row>
    <row r="83" spans="1:9">
      <c r="A83" s="1" t="s">
        <v>319</v>
      </c>
      <c r="B83" s="3"/>
      <c r="C83" s="23" t="s">
        <v>288</v>
      </c>
      <c r="D83" s="23" t="s">
        <v>288</v>
      </c>
      <c r="E83" s="23" t="s">
        <v>288</v>
      </c>
      <c r="F83" s="23" t="s">
        <v>288</v>
      </c>
      <c r="G83" s="23" t="s">
        <v>288</v>
      </c>
      <c r="H83" s="23" t="s">
        <v>288</v>
      </c>
      <c r="I83"/>
    </row>
    <row r="84" spans="1:9">
      <c r="A84" s="33" t="s">
        <v>181</v>
      </c>
      <c r="B84" s="3"/>
      <c r="C84" s="23" t="s">
        <v>288</v>
      </c>
      <c r="D84" s="23" t="s">
        <v>288</v>
      </c>
      <c r="E84" s="23" t="s">
        <v>288</v>
      </c>
      <c r="F84" s="23" t="s">
        <v>288</v>
      </c>
      <c r="G84" s="23" t="s">
        <v>288</v>
      </c>
      <c r="H84" s="23" t="s">
        <v>288</v>
      </c>
      <c r="I84"/>
    </row>
    <row r="85" spans="1:9">
      <c r="A85" t="s">
        <v>745</v>
      </c>
      <c r="B85" s="31" t="s">
        <v>182</v>
      </c>
      <c r="C85" s="73">
        <f>'DOE25'!F147</f>
        <v>0</v>
      </c>
      <c r="D85" s="73">
        <f>'DOE25'!G147</f>
        <v>0</v>
      </c>
      <c r="E85" s="73">
        <f>'DOE25'!H147</f>
        <v>30502</v>
      </c>
      <c r="F85" s="73">
        <f>'DOE25'!I147</f>
        <v>0</v>
      </c>
      <c r="G85" s="23" t="s">
        <v>288</v>
      </c>
      <c r="H85" s="90">
        <f t="shared" ref="H85:H104" si="5">SUM(C85:G85)</f>
        <v>30502</v>
      </c>
      <c r="I85"/>
    </row>
    <row r="86" spans="1:9">
      <c r="A86" s="32" t="s">
        <v>178</v>
      </c>
      <c r="B86" s="31"/>
      <c r="C86" s="23" t="s">
        <v>288</v>
      </c>
      <c r="D86" s="23" t="s">
        <v>288</v>
      </c>
      <c r="E86" s="23" t="s">
        <v>288</v>
      </c>
      <c r="F86" s="23" t="s">
        <v>288</v>
      </c>
      <c r="G86" s="23" t="s">
        <v>288</v>
      </c>
      <c r="H86" s="23" t="s">
        <v>288</v>
      </c>
    </row>
    <row r="87" spans="1:9">
      <c r="A87" t="s">
        <v>746</v>
      </c>
      <c r="B87" s="31" t="s">
        <v>183</v>
      </c>
      <c r="C87" s="73">
        <f>SUM('DOE25'!F149:F152)</f>
        <v>0</v>
      </c>
      <c r="D87" s="23" t="s">
        <v>288</v>
      </c>
      <c r="E87" s="73">
        <f>SUM('DOE25'!H149:H152)</f>
        <v>0</v>
      </c>
      <c r="F87" s="73">
        <f>SUM('DOE25'!I149:I152)</f>
        <v>0</v>
      </c>
      <c r="G87" s="23" t="s">
        <v>288</v>
      </c>
      <c r="H87" s="90">
        <f t="shared" si="5"/>
        <v>0</v>
      </c>
    </row>
    <row r="88" spans="1:9">
      <c r="A88" s="217" t="s">
        <v>747</v>
      </c>
      <c r="B88" s="231" t="s">
        <v>184</v>
      </c>
      <c r="C88" s="253">
        <f>SUM('DOE25'!F153:F162)</f>
        <v>32433.81</v>
      </c>
      <c r="D88" s="253">
        <f>SUM('DOE25'!G153:G162)</f>
        <v>238834.32</v>
      </c>
      <c r="E88" s="253">
        <f>SUM('DOE25'!H153:H162)</f>
        <v>198898.49</v>
      </c>
      <c r="F88" s="253">
        <f>SUM('DOE25'!I153:I162)</f>
        <v>0</v>
      </c>
      <c r="G88" s="23" t="s">
        <v>288</v>
      </c>
      <c r="H88" s="90">
        <f t="shared" si="5"/>
        <v>470166.62</v>
      </c>
    </row>
    <row r="89" spans="1:9">
      <c r="A89" t="s">
        <v>748</v>
      </c>
      <c r="B89" s="31" t="s">
        <v>185</v>
      </c>
      <c r="C89" s="73">
        <f>'DOE25'!F164+'DOE25'!F167+'DOE25'!F169</f>
        <v>0</v>
      </c>
      <c r="D89" s="73">
        <f>'DOE25'!G164+'DOE25'!G169</f>
        <v>0</v>
      </c>
      <c r="E89" s="73">
        <f>'DOE25'!H164+'DOE25'!H169</f>
        <v>64729.47</v>
      </c>
      <c r="F89" s="73">
        <f>'DOE25'!I164</f>
        <v>0</v>
      </c>
      <c r="G89" s="23" t="s">
        <v>288</v>
      </c>
      <c r="H89" s="90">
        <f t="shared" si="5"/>
        <v>64729.47</v>
      </c>
    </row>
    <row r="90" spans="1:9" ht="12" thickBot="1">
      <c r="A90" t="s">
        <v>749</v>
      </c>
      <c r="B90" s="31">
        <v>4810</v>
      </c>
      <c r="C90" s="73">
        <f>'DOE25'!F166</f>
        <v>0</v>
      </c>
      <c r="D90" s="23" t="s">
        <v>288</v>
      </c>
      <c r="E90" s="23" t="s">
        <v>288</v>
      </c>
      <c r="F90" s="23" t="s">
        <v>288</v>
      </c>
      <c r="G90" s="23" t="s">
        <v>288</v>
      </c>
      <c r="H90" s="90">
        <f t="shared" si="5"/>
        <v>0</v>
      </c>
    </row>
    <row r="91" spans="1:9" ht="12.75" thickTop="1" thickBot="1">
      <c r="A91" s="32" t="s">
        <v>750</v>
      </c>
      <c r="C91" s="94">
        <f>SUM(C85:C90)</f>
        <v>32433.81</v>
      </c>
      <c r="D91" s="94">
        <f>SUM(D85:D90)</f>
        <v>238834.32</v>
      </c>
      <c r="E91" s="94">
        <f>SUM(E85:E90)</f>
        <v>294129.95999999996</v>
      </c>
      <c r="F91" s="94">
        <f>SUM(F85:F90)</f>
        <v>0</v>
      </c>
      <c r="G91" s="23" t="s">
        <v>288</v>
      </c>
      <c r="H91" s="90">
        <f t="shared" si="5"/>
        <v>565398.09</v>
      </c>
    </row>
    <row r="92" spans="1:9" ht="12" thickTop="1">
      <c r="A92" s="32" t="s">
        <v>186</v>
      </c>
      <c r="C92" s="23" t="s">
        <v>288</v>
      </c>
      <c r="D92" s="23" t="s">
        <v>288</v>
      </c>
      <c r="E92" s="23" t="s">
        <v>288</v>
      </c>
      <c r="F92" s="23" t="s">
        <v>288</v>
      </c>
      <c r="G92" s="23" t="s">
        <v>288</v>
      </c>
      <c r="H92" s="23" t="s">
        <v>288</v>
      </c>
    </row>
    <row r="93" spans="1:9">
      <c r="A93" t="s">
        <v>751</v>
      </c>
      <c r="B93" s="31" t="s">
        <v>187</v>
      </c>
      <c r="C93" s="73">
        <f>SUM('DOE25'!F174:F176)</f>
        <v>0</v>
      </c>
      <c r="D93" s="23" t="s">
        <v>288</v>
      </c>
      <c r="E93" s="23" t="s">
        <v>288</v>
      </c>
      <c r="F93" s="73">
        <f>SUM('DOE25'!I174:I176)</f>
        <v>0</v>
      </c>
      <c r="G93" s="23" t="s">
        <v>288</v>
      </c>
      <c r="H93" s="90">
        <f t="shared" si="5"/>
        <v>0</v>
      </c>
    </row>
    <row r="94" spans="1:9">
      <c r="A94" t="s">
        <v>752</v>
      </c>
      <c r="B94" s="31">
        <v>5140</v>
      </c>
      <c r="C94" s="73">
        <f>'DOE25'!F177</f>
        <v>0</v>
      </c>
      <c r="D94" s="23" t="s">
        <v>288</v>
      </c>
      <c r="E94" s="23" t="s">
        <v>288</v>
      </c>
      <c r="F94" s="73">
        <f>'DOE25'!I177</f>
        <v>0</v>
      </c>
      <c r="G94" s="23" t="s">
        <v>288</v>
      </c>
      <c r="H94" s="90">
        <f t="shared" si="5"/>
        <v>0</v>
      </c>
    </row>
    <row r="95" spans="1:9">
      <c r="A95" s="32" t="s">
        <v>331</v>
      </c>
      <c r="B95" s="31"/>
      <c r="C95" s="23" t="s">
        <v>288</v>
      </c>
      <c r="D95" s="23" t="s">
        <v>288</v>
      </c>
      <c r="E95" s="23" t="s">
        <v>288</v>
      </c>
      <c r="F95" s="23" t="s">
        <v>288</v>
      </c>
      <c r="G95" s="23" t="s">
        <v>288</v>
      </c>
      <c r="H95" s="23" t="s">
        <v>288</v>
      </c>
    </row>
    <row r="96" spans="1:9">
      <c r="A96" t="s">
        <v>753</v>
      </c>
      <c r="B96" s="31">
        <v>5210</v>
      </c>
      <c r="C96" s="23" t="s">
        <v>288</v>
      </c>
      <c r="D96" s="73">
        <f>'DOE25'!G180</f>
        <v>45000</v>
      </c>
      <c r="E96" s="73">
        <f>'DOE25'!H180</f>
        <v>0</v>
      </c>
      <c r="F96" s="73">
        <f>'DOE25'!I180</f>
        <v>0</v>
      </c>
      <c r="G96" s="73">
        <f>'DOE25'!J180</f>
        <v>38619</v>
      </c>
      <c r="H96" s="90">
        <f t="shared" si="5"/>
        <v>83619</v>
      </c>
    </row>
    <row r="97" spans="1:8">
      <c r="A97" t="s">
        <v>754</v>
      </c>
      <c r="B97" s="31" t="s">
        <v>188</v>
      </c>
      <c r="C97" s="73">
        <f>SUM('DOE25'!F181:F182)</f>
        <v>6264</v>
      </c>
      <c r="D97" s="73">
        <f>SUM('DOE25'!G181:G182)</f>
        <v>0</v>
      </c>
      <c r="E97" s="73">
        <f>SUM('DOE25'!H181:H182)</f>
        <v>0</v>
      </c>
      <c r="F97" s="73">
        <f>SUM('DOE25'!I181:I182)</f>
        <v>0</v>
      </c>
      <c r="G97" s="73">
        <f>SUM('DOE25'!J181:J182)</f>
        <v>0</v>
      </c>
      <c r="H97" s="90">
        <f t="shared" si="5"/>
        <v>6264</v>
      </c>
    </row>
    <row r="98" spans="1:8">
      <c r="A98" t="s">
        <v>755</v>
      </c>
      <c r="B98" s="31" t="s">
        <v>189</v>
      </c>
      <c r="C98" s="73">
        <f>'DOE25'!F183</f>
        <v>0</v>
      </c>
      <c r="D98" s="73">
        <f>'DOE25'!G183</f>
        <v>0</v>
      </c>
      <c r="E98" s="73">
        <f>'DOE25'!H183</f>
        <v>0</v>
      </c>
      <c r="F98" s="23" t="s">
        <v>288</v>
      </c>
      <c r="G98" s="73">
        <f>'DOE25'!J183</f>
        <v>0</v>
      </c>
      <c r="H98" s="90">
        <f t="shared" si="5"/>
        <v>0</v>
      </c>
    </row>
    <row r="99" spans="1:8">
      <c r="A99" t="s">
        <v>756</v>
      </c>
      <c r="B99" s="31">
        <v>5251</v>
      </c>
      <c r="C99" s="73">
        <f>'DOE25'!F186</f>
        <v>0</v>
      </c>
      <c r="D99" s="73">
        <f>'DOE25'!G186</f>
        <v>0</v>
      </c>
      <c r="E99" s="73">
        <f>'DOE25'!H186</f>
        <v>0</v>
      </c>
      <c r="F99" s="73">
        <f>'DOE25'!I186</f>
        <v>0</v>
      </c>
      <c r="G99" s="23" t="s">
        <v>288</v>
      </c>
      <c r="H99" s="90">
        <f t="shared" si="5"/>
        <v>0</v>
      </c>
    </row>
    <row r="100" spans="1:8">
      <c r="A100" t="s">
        <v>757</v>
      </c>
      <c r="B100" s="31" t="s">
        <v>190</v>
      </c>
      <c r="C100" s="73">
        <f>SUM('DOE25'!F187:F188)</f>
        <v>0</v>
      </c>
      <c r="D100" s="73">
        <f>SUM('DOE25'!G187:G188)</f>
        <v>0</v>
      </c>
      <c r="E100" s="73">
        <f>SUM('DOE25'!H187:H188)</f>
        <v>0</v>
      </c>
      <c r="F100" s="73">
        <f>SUM('DOE25'!I187:I188)</f>
        <v>0</v>
      </c>
      <c r="G100" s="23" t="s">
        <v>288</v>
      </c>
      <c r="H100" s="90">
        <f t="shared" si="5"/>
        <v>0</v>
      </c>
    </row>
    <row r="101" spans="1:8">
      <c r="A101" t="s">
        <v>758</v>
      </c>
      <c r="B101" s="31" t="s">
        <v>191</v>
      </c>
      <c r="C101" s="73">
        <f>'DOE25'!F190</f>
        <v>0</v>
      </c>
      <c r="D101" s="73">
        <f>'DOE25'!G190</f>
        <v>0</v>
      </c>
      <c r="E101" s="73">
        <f>'DOE25'!H190</f>
        <v>0</v>
      </c>
      <c r="F101" s="73">
        <f>'DOE25'!I190</f>
        <v>0</v>
      </c>
      <c r="G101" s="23" t="s">
        <v>288</v>
      </c>
      <c r="H101" s="90">
        <f t="shared" si="5"/>
        <v>0</v>
      </c>
    </row>
    <row r="102" spans="1:8" ht="12" thickBot="1">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c r="A103" s="32" t="s">
        <v>760</v>
      </c>
      <c r="C103" s="68">
        <f>SUM(C93:C102)</f>
        <v>6264</v>
      </c>
      <c r="D103" s="68">
        <f>SUM(D93:D102)</f>
        <v>45000</v>
      </c>
      <c r="E103" s="68">
        <f>SUM(E93:E102)</f>
        <v>0</v>
      </c>
      <c r="F103" s="68">
        <f>SUM(F93:F102)</f>
        <v>0</v>
      </c>
      <c r="G103" s="68">
        <f>SUM(G93:G102)</f>
        <v>38619</v>
      </c>
      <c r="H103" s="68">
        <f t="shared" si="5"/>
        <v>89883</v>
      </c>
    </row>
    <row r="104" spans="1:8" ht="12.75" thickTop="1" thickBot="1">
      <c r="A104" s="32" t="s">
        <v>761</v>
      </c>
      <c r="C104" s="68">
        <f>C63+C81+C91+C103</f>
        <v>10936710.41</v>
      </c>
      <c r="D104" s="68">
        <f>D63+D81+D91+D103</f>
        <v>290970.17000000004</v>
      </c>
      <c r="E104" s="68">
        <f>E63+E81+E91+E103</f>
        <v>294129.95999999996</v>
      </c>
      <c r="F104" s="68">
        <f>F63+F81+F91+F103</f>
        <v>0</v>
      </c>
      <c r="G104" s="68">
        <f>G63+G81+G103</f>
        <v>52445.72</v>
      </c>
      <c r="H104" s="68">
        <f t="shared" si="5"/>
        <v>11574256.26</v>
      </c>
    </row>
    <row r="105" spans="1:8" ht="12" thickTop="1"/>
    <row r="106" spans="1:8">
      <c r="B106" s="3"/>
      <c r="C106" s="16" t="s">
        <v>280</v>
      </c>
      <c r="D106" s="16" t="s">
        <v>281</v>
      </c>
      <c r="E106" s="16" t="s">
        <v>193</v>
      </c>
      <c r="F106" s="16" t="s">
        <v>283</v>
      </c>
      <c r="G106" s="16" t="s">
        <v>284</v>
      </c>
    </row>
    <row r="107" spans="1:8">
      <c r="A107" s="28" t="s">
        <v>194</v>
      </c>
      <c r="B107" s="3"/>
      <c r="C107" s="23" t="s">
        <v>288</v>
      </c>
      <c r="D107" s="23" t="s">
        <v>288</v>
      </c>
      <c r="E107" s="23" t="s">
        <v>288</v>
      </c>
      <c r="F107" s="23" t="s">
        <v>288</v>
      </c>
      <c r="G107" s="23" t="s">
        <v>288</v>
      </c>
      <c r="H107" s="23" t="s">
        <v>288</v>
      </c>
    </row>
    <row r="108" spans="1:8">
      <c r="A108" s="33" t="s">
        <v>195</v>
      </c>
      <c r="B108" s="3"/>
      <c r="C108" s="23" t="s">
        <v>288</v>
      </c>
      <c r="D108" s="23" t="s">
        <v>288</v>
      </c>
      <c r="E108" s="23" t="s">
        <v>288</v>
      </c>
      <c r="F108" s="23" t="s">
        <v>288</v>
      </c>
      <c r="G108" s="23" t="s">
        <v>288</v>
      </c>
      <c r="H108" s="23" t="s">
        <v>288</v>
      </c>
    </row>
    <row r="109" spans="1:8">
      <c r="A109" t="s">
        <v>196</v>
      </c>
      <c r="B109" s="31" t="s">
        <v>197</v>
      </c>
      <c r="C109" s="73">
        <f>('DOE25'!L198)+('DOE25'!L216)+('DOE25'!L234)</f>
        <v>7041531.120000001</v>
      </c>
      <c r="D109" s="23" t="s">
        <v>288</v>
      </c>
      <c r="E109" s="73">
        <f>('DOE25'!L277)+('DOE25'!L296)+('DOE25'!L315)</f>
        <v>142129.10999999999</v>
      </c>
      <c r="F109" s="23" t="s">
        <v>288</v>
      </c>
      <c r="G109" s="23" t="s">
        <v>288</v>
      </c>
      <c r="H109" s="90">
        <f t="shared" ref="H109:H115" si="6">SUM(C109:G109)</f>
        <v>7183660.2300000014</v>
      </c>
    </row>
    <row r="110" spans="1:8">
      <c r="A110" t="s">
        <v>198</v>
      </c>
      <c r="B110" s="31" t="s">
        <v>199</v>
      </c>
      <c r="C110" s="73">
        <f>('DOE25'!L199)+('DOE25'!L217)+('DOE25'!L235)</f>
        <v>705645.44000000006</v>
      </c>
      <c r="D110" s="23" t="s">
        <v>288</v>
      </c>
      <c r="E110" s="73">
        <f>('DOE25'!L278)+('DOE25'!L297)+('DOE25'!L316)</f>
        <v>88941.75999999998</v>
      </c>
      <c r="F110" s="23" t="s">
        <v>288</v>
      </c>
      <c r="G110" s="23" t="s">
        <v>288</v>
      </c>
      <c r="H110" s="90">
        <f t="shared" si="6"/>
        <v>794587.20000000007</v>
      </c>
    </row>
    <row r="111" spans="1:8">
      <c r="A111" t="s">
        <v>200</v>
      </c>
      <c r="B111" s="31" t="s">
        <v>165</v>
      </c>
      <c r="C111" s="73">
        <f>('DOE25'!L200)+('DOE25'!L218)+('DOE25'!L236)</f>
        <v>0</v>
      </c>
      <c r="D111" s="23" t="s">
        <v>288</v>
      </c>
      <c r="E111" s="73">
        <f>('DOE25'!L279)+('DOE25'!L298)+('DOE25'!L317)</f>
        <v>0</v>
      </c>
      <c r="F111" s="23" t="s">
        <v>288</v>
      </c>
      <c r="G111" s="23" t="s">
        <v>288</v>
      </c>
      <c r="H111" s="90">
        <f t="shared" si="6"/>
        <v>0</v>
      </c>
    </row>
    <row r="112" spans="1:8">
      <c r="A112" t="s">
        <v>201</v>
      </c>
      <c r="B112" s="31" t="s">
        <v>167</v>
      </c>
      <c r="C112" s="73">
        <f>('DOE25'!L201)+('DOE25'!L219)+('DOE25'!L237)</f>
        <v>86753.5</v>
      </c>
      <c r="D112" s="23" t="s">
        <v>288</v>
      </c>
      <c r="E112" s="73">
        <f>+('DOE25'!L280)+('DOE25'!L299)+('DOE25'!L318)</f>
        <v>0</v>
      </c>
      <c r="F112" s="23" t="s">
        <v>288</v>
      </c>
      <c r="G112" s="23" t="s">
        <v>288</v>
      </c>
      <c r="H112" s="90">
        <f t="shared" si="6"/>
        <v>86753.5</v>
      </c>
    </row>
    <row r="113" spans="1:8">
      <c r="A113" t="s">
        <v>202</v>
      </c>
      <c r="B113" s="31" t="s">
        <v>169</v>
      </c>
      <c r="C113" s="73">
        <f>'DOE25'!L251</f>
        <v>0</v>
      </c>
      <c r="D113" s="23" t="s">
        <v>288</v>
      </c>
      <c r="E113" s="73">
        <f>+'DOE25'!L333</f>
        <v>0</v>
      </c>
      <c r="F113" s="23" t="s">
        <v>288</v>
      </c>
      <c r="G113" s="23" t="s">
        <v>288</v>
      </c>
      <c r="H113" s="90">
        <f t="shared" si="6"/>
        <v>0</v>
      </c>
    </row>
    <row r="114" spans="1:8" ht="12" thickBot="1">
      <c r="A114" t="s">
        <v>203</v>
      </c>
      <c r="B114" s="31" t="s">
        <v>204</v>
      </c>
      <c r="C114" s="73">
        <f>SUM('DOE25'!L252:L254)</f>
        <v>0</v>
      </c>
      <c r="D114" s="23" t="s">
        <v>288</v>
      </c>
      <c r="E114" s="73">
        <f>+ SUM('DOE25'!L334:L336)</f>
        <v>0</v>
      </c>
      <c r="F114" s="23" t="s">
        <v>288</v>
      </c>
      <c r="G114" s="23" t="s">
        <v>288</v>
      </c>
      <c r="H114" s="90">
        <f t="shared" si="6"/>
        <v>0</v>
      </c>
    </row>
    <row r="115" spans="1:8" ht="12.75" thickTop="1" thickBot="1">
      <c r="A115" s="32" t="s">
        <v>205</v>
      </c>
      <c r="C115" s="68">
        <f>SUM(C109:C114)</f>
        <v>7833930.0600000015</v>
      </c>
      <c r="D115" s="68">
        <f>SUM(D109:D114)</f>
        <v>0</v>
      </c>
      <c r="E115" s="68">
        <f>SUM(E109:E114)</f>
        <v>231070.86999999997</v>
      </c>
      <c r="F115" s="68">
        <f>SUM(F109:F114)</f>
        <v>0</v>
      </c>
      <c r="G115" s="68">
        <f>SUM(G109:G114)</f>
        <v>0</v>
      </c>
      <c r="H115" s="68">
        <f t="shared" si="6"/>
        <v>8065000.9300000016</v>
      </c>
    </row>
    <row r="116" spans="1:8" ht="12" thickTop="1">
      <c r="C116" s="23" t="s">
        <v>288</v>
      </c>
      <c r="D116" s="23" t="s">
        <v>288</v>
      </c>
      <c r="E116" s="23" t="s">
        <v>288</v>
      </c>
      <c r="F116" s="23" t="s">
        <v>288</v>
      </c>
      <c r="G116" s="23" t="s">
        <v>288</v>
      </c>
      <c r="H116" s="23" t="s">
        <v>288</v>
      </c>
    </row>
    <row r="117" spans="1:8">
      <c r="A117" s="32" t="s">
        <v>342</v>
      </c>
      <c r="C117" s="23" t="s">
        <v>288</v>
      </c>
      <c r="D117" s="23" t="s">
        <v>288</v>
      </c>
      <c r="E117" s="23" t="s">
        <v>288</v>
      </c>
      <c r="F117" s="23" t="s">
        <v>288</v>
      </c>
      <c r="G117" s="23" t="s">
        <v>288</v>
      </c>
      <c r="H117" s="23" t="s">
        <v>288</v>
      </c>
    </row>
    <row r="118" spans="1:8">
      <c r="A118" t="s">
        <v>206</v>
      </c>
      <c r="B118" s="31" t="s">
        <v>207</v>
      </c>
      <c r="C118" s="73">
        <f>('DOE25'!L203)+('DOE25'!L221)+('DOE25'!L239)</f>
        <v>600960.13</v>
      </c>
      <c r="D118" s="23" t="s">
        <v>288</v>
      </c>
      <c r="E118" s="73">
        <f>+('DOE25'!L282)+('DOE25'!L301)+('DOE25'!L320)</f>
        <v>38438.51</v>
      </c>
      <c r="F118" s="23" t="s">
        <v>288</v>
      </c>
      <c r="G118" s="23" t="s">
        <v>288</v>
      </c>
      <c r="H118" s="90">
        <f t="shared" ref="H118:H145" si="7">SUM(C118:G118)</f>
        <v>639398.64</v>
      </c>
    </row>
    <row r="119" spans="1:8">
      <c r="A119" t="s">
        <v>208</v>
      </c>
      <c r="B119" s="31" t="s">
        <v>209</v>
      </c>
      <c r="C119" s="73">
        <f>('DOE25'!L204)+('DOE25'!L222)+('DOE25'!L240)</f>
        <v>355638.44</v>
      </c>
      <c r="D119" s="23" t="s">
        <v>288</v>
      </c>
      <c r="E119" s="73">
        <f>+('DOE25'!L283)+('DOE25'!L302)+('DOE25'!L321)</f>
        <v>24154.58</v>
      </c>
      <c r="F119" s="23" t="s">
        <v>288</v>
      </c>
      <c r="G119" s="23" t="s">
        <v>288</v>
      </c>
      <c r="H119" s="90">
        <f t="shared" si="7"/>
        <v>379793.02</v>
      </c>
    </row>
    <row r="120" spans="1:8">
      <c r="A120" t="s">
        <v>210</v>
      </c>
      <c r="B120" s="31" t="s">
        <v>211</v>
      </c>
      <c r="C120" s="73">
        <f>('DOE25'!L205)+('DOE25'!L223)+('DOE25'!L241)</f>
        <v>469548.04999999993</v>
      </c>
      <c r="D120" s="23" t="s">
        <v>288</v>
      </c>
      <c r="E120" s="73">
        <f>+('DOE25'!L284)+('DOE25'!L303)+('DOE25'!L322)</f>
        <v>0</v>
      </c>
      <c r="F120" s="23" t="s">
        <v>288</v>
      </c>
      <c r="G120" s="23" t="s">
        <v>288</v>
      </c>
      <c r="H120" s="90">
        <f t="shared" si="7"/>
        <v>469548.04999999993</v>
      </c>
    </row>
    <row r="121" spans="1:8">
      <c r="A121" t="s">
        <v>212</v>
      </c>
      <c r="B121" s="31" t="s">
        <v>213</v>
      </c>
      <c r="C121" s="73">
        <f>('DOE25'!L206)+('DOE25'!L224)+('DOE25'!L242)</f>
        <v>388795.94</v>
      </c>
      <c r="D121" s="23" t="s">
        <v>288</v>
      </c>
      <c r="E121" s="73">
        <f>+('DOE25'!L285)+('DOE25'!L304)+('DOE25'!L323)</f>
        <v>0</v>
      </c>
      <c r="F121" s="23" t="s">
        <v>288</v>
      </c>
      <c r="G121" s="23" t="s">
        <v>288</v>
      </c>
      <c r="H121" s="90">
        <f t="shared" si="7"/>
        <v>388795.94</v>
      </c>
    </row>
    <row r="122" spans="1:8">
      <c r="A122" t="s">
        <v>214</v>
      </c>
      <c r="B122" s="31" t="s">
        <v>215</v>
      </c>
      <c r="C122" s="73">
        <f>('DOE25'!L207)+('DOE25'!L225)+('DOE25'!L243)</f>
        <v>193908.58</v>
      </c>
      <c r="D122" s="23" t="s">
        <v>288</v>
      </c>
      <c r="E122" s="73">
        <f>+('DOE25'!L286)+('DOE25'!L305)+('DOE25'!L324)</f>
        <v>466</v>
      </c>
      <c r="F122" s="23" t="s">
        <v>288</v>
      </c>
      <c r="G122" s="23" t="s">
        <v>288</v>
      </c>
      <c r="H122" s="90">
        <f t="shared" si="7"/>
        <v>194374.58</v>
      </c>
    </row>
    <row r="123" spans="1:8">
      <c r="A123" t="s">
        <v>216</v>
      </c>
      <c r="B123" s="31" t="s">
        <v>217</v>
      </c>
      <c r="C123" s="73">
        <f>('DOE25'!L208)+('DOE25'!L226)+('DOE25'!L244)</f>
        <v>602166.84000000008</v>
      </c>
      <c r="D123" s="23" t="s">
        <v>288</v>
      </c>
      <c r="E123" s="73">
        <f>+('DOE25'!L287)+('DOE25'!L306)+('DOE25'!L325)</f>
        <v>0</v>
      </c>
      <c r="F123" s="23" t="s">
        <v>288</v>
      </c>
      <c r="G123" s="23" t="s">
        <v>288</v>
      </c>
      <c r="H123" s="90">
        <f t="shared" si="7"/>
        <v>602166.84000000008</v>
      </c>
    </row>
    <row r="124" spans="1:8">
      <c r="A124" t="s">
        <v>218</v>
      </c>
      <c r="B124" s="31" t="s">
        <v>219</v>
      </c>
      <c r="C124" s="73">
        <f>('DOE25'!L209)+('DOE25'!L227)+('DOE25'!L245+'DOE25'!L255)</f>
        <v>496113.48</v>
      </c>
      <c r="D124" s="23" t="s">
        <v>288</v>
      </c>
      <c r="E124" s="73">
        <f>+('DOE25'!L288)+('DOE25'!L307)+('DOE25'!L326)</f>
        <v>0</v>
      </c>
      <c r="F124" s="23" t="s">
        <v>288</v>
      </c>
      <c r="G124" s="23" t="s">
        <v>288</v>
      </c>
      <c r="H124" s="90">
        <f t="shared" si="7"/>
        <v>496113.48</v>
      </c>
    </row>
    <row r="125" spans="1:8">
      <c r="A125" t="s">
        <v>220</v>
      </c>
      <c r="B125" s="31" t="s">
        <v>221</v>
      </c>
      <c r="C125" s="73">
        <f>('DOE25'!L210)+('DOE25'!L228)+('DOE25'!L246)</f>
        <v>0</v>
      </c>
      <c r="D125" s="23" t="s">
        <v>288</v>
      </c>
      <c r="E125" s="73">
        <f>+('DOE25'!L289)+('DOE25'!L308)+('DOE25'!L327)</f>
        <v>0</v>
      </c>
      <c r="F125" s="23" t="s">
        <v>288</v>
      </c>
      <c r="G125" s="23" t="s">
        <v>288</v>
      </c>
      <c r="H125" s="90">
        <f t="shared" si="7"/>
        <v>0</v>
      </c>
    </row>
    <row r="126" spans="1:8">
      <c r="A126" t="s">
        <v>222</v>
      </c>
      <c r="B126" s="31" t="s">
        <v>223</v>
      </c>
      <c r="C126" s="23" t="s">
        <v>288</v>
      </c>
      <c r="D126" s="23" t="s">
        <v>288</v>
      </c>
      <c r="E126" s="23" t="s">
        <v>288</v>
      </c>
      <c r="F126" s="23" t="s">
        <v>288</v>
      </c>
      <c r="G126" s="23" t="s">
        <v>288</v>
      </c>
      <c r="H126" s="23" t="s">
        <v>288</v>
      </c>
    </row>
    <row r="127" spans="1:8" ht="12" thickBot="1">
      <c r="A127" t="s">
        <v>224</v>
      </c>
      <c r="B127" s="31" t="s">
        <v>225</v>
      </c>
      <c r="C127" s="23" t="s">
        <v>288</v>
      </c>
      <c r="D127" s="73">
        <f>('DOE25'!L359)+('DOE25'!L360)+('DOE25'!L361)</f>
        <v>228991.77000000002</v>
      </c>
      <c r="E127" s="23" t="s">
        <v>288</v>
      </c>
      <c r="F127" s="23" t="s">
        <v>288</v>
      </c>
      <c r="G127" s="23" t="s">
        <v>288</v>
      </c>
      <c r="H127" s="90">
        <f t="shared" si="7"/>
        <v>228991.77000000002</v>
      </c>
    </row>
    <row r="128" spans="1:8" ht="12.75" thickTop="1" thickBot="1">
      <c r="A128" s="32" t="s">
        <v>226</v>
      </c>
      <c r="C128" s="68">
        <f>SUM(C118:C127)</f>
        <v>3107131.4600000004</v>
      </c>
      <c r="D128" s="68">
        <f>SUM(D118:D127)</f>
        <v>228991.77000000002</v>
      </c>
      <c r="E128" s="68">
        <f>SUM(E118:E127)</f>
        <v>63059.090000000004</v>
      </c>
      <c r="F128" s="68">
        <f>SUM(F118:F127)</f>
        <v>0</v>
      </c>
      <c r="G128" s="68">
        <f>SUM(G118:G127)</f>
        <v>0</v>
      </c>
      <c r="H128" s="68">
        <f t="shared" si="7"/>
        <v>3399182.3200000003</v>
      </c>
    </row>
    <row r="129" spans="1:8" ht="12" thickTop="1">
      <c r="A129" s="32" t="s">
        <v>362</v>
      </c>
      <c r="C129" s="23" t="s">
        <v>288</v>
      </c>
      <c r="D129" s="23" t="s">
        <v>288</v>
      </c>
      <c r="E129" s="23" t="s">
        <v>288</v>
      </c>
      <c r="F129" s="23" t="s">
        <v>288</v>
      </c>
      <c r="G129" s="23" t="s">
        <v>288</v>
      </c>
      <c r="H129" s="23" t="s">
        <v>288</v>
      </c>
    </row>
    <row r="130" spans="1:8">
      <c r="A130" t="s">
        <v>227</v>
      </c>
      <c r="B130" s="31" t="s">
        <v>228</v>
      </c>
      <c r="C130" s="73">
        <f>'DOE25'!L256</f>
        <v>0</v>
      </c>
      <c r="D130" s="23" t="s">
        <v>288</v>
      </c>
      <c r="E130" s="92">
        <f>'DOE25'!L337</f>
        <v>0</v>
      </c>
      <c r="F130" s="92">
        <f>SUM('DOE25'!L375:'DOE25'!L381)</f>
        <v>0</v>
      </c>
      <c r="G130" s="23" t="s">
        <v>288</v>
      </c>
      <c r="H130" s="90">
        <f t="shared" si="7"/>
        <v>0</v>
      </c>
    </row>
    <row r="131" spans="1:8">
      <c r="A131" t="s">
        <v>229</v>
      </c>
      <c r="B131" s="31">
        <v>5110</v>
      </c>
      <c r="C131" s="73">
        <f>'DOE25'!L261</f>
        <v>80000</v>
      </c>
      <c r="D131" s="23" t="s">
        <v>288</v>
      </c>
      <c r="E131" s="92">
        <f>'DOE25'!L342</f>
        <v>0</v>
      </c>
      <c r="F131" s="23" t="s">
        <v>288</v>
      </c>
      <c r="G131" s="23" t="s">
        <v>288</v>
      </c>
      <c r="H131" s="90">
        <f t="shared" si="7"/>
        <v>80000</v>
      </c>
    </row>
    <row r="132" spans="1:8">
      <c r="A132" t="s">
        <v>230</v>
      </c>
      <c r="B132" s="31">
        <v>5120</v>
      </c>
      <c r="C132" s="73">
        <f>'DOE25'!L262</f>
        <v>45930</v>
      </c>
      <c r="D132" s="23" t="s">
        <v>288</v>
      </c>
      <c r="E132" s="92">
        <f>'DOE25'!L343</f>
        <v>0</v>
      </c>
      <c r="F132" s="23" t="s">
        <v>288</v>
      </c>
      <c r="G132" s="23" t="s">
        <v>288</v>
      </c>
      <c r="H132" s="90">
        <f t="shared" si="7"/>
        <v>45930</v>
      </c>
    </row>
    <row r="133" spans="1:8">
      <c r="A133" s="32" t="s">
        <v>231</v>
      </c>
      <c r="C133" s="23" t="s">
        <v>288</v>
      </c>
      <c r="D133" s="23" t="s">
        <v>288</v>
      </c>
      <c r="E133" s="23" t="s">
        <v>288</v>
      </c>
      <c r="F133" s="23" t="s">
        <v>288</v>
      </c>
      <c r="G133" s="23" t="s">
        <v>288</v>
      </c>
      <c r="H133" s="23" t="s">
        <v>288</v>
      </c>
    </row>
    <row r="134" spans="1:8">
      <c r="A134" t="s">
        <v>232</v>
      </c>
      <c r="B134" s="31">
        <v>5210</v>
      </c>
      <c r="C134" s="23" t="s">
        <v>288</v>
      </c>
      <c r="D134" s="73">
        <f>'DOE25'!K362</f>
        <v>0</v>
      </c>
      <c r="E134" s="73">
        <f>'DOE25'!L345</f>
        <v>0</v>
      </c>
      <c r="F134" s="73">
        <f>'DOE25'!K382</f>
        <v>0</v>
      </c>
      <c r="G134" s="73">
        <f>'DOE25'!K435</f>
        <v>0</v>
      </c>
      <c r="H134" s="90">
        <f t="shared" si="7"/>
        <v>0</v>
      </c>
    </row>
    <row r="135" spans="1:8">
      <c r="A135" t="s">
        <v>233</v>
      </c>
      <c r="B135" s="31" t="s">
        <v>234</v>
      </c>
      <c r="C135" s="73">
        <f>'DOE25'!L264</f>
        <v>45000</v>
      </c>
      <c r="D135" s="23" t="s">
        <v>288</v>
      </c>
      <c r="E135" s="92">
        <f>'DOE25'!L346</f>
        <v>0</v>
      </c>
      <c r="F135" s="23" t="s">
        <v>288</v>
      </c>
      <c r="G135" s="23" t="s">
        <v>288</v>
      </c>
      <c r="H135" s="90">
        <f t="shared" si="7"/>
        <v>45000</v>
      </c>
    </row>
    <row r="136" spans="1:8">
      <c r="A136" t="s">
        <v>235</v>
      </c>
      <c r="B136" s="31" t="s">
        <v>236</v>
      </c>
      <c r="C136" s="73">
        <f>'DOE25'!L265</f>
        <v>0</v>
      </c>
      <c r="D136" s="23" t="s">
        <v>288</v>
      </c>
      <c r="E136" s="23" t="s">
        <v>288</v>
      </c>
      <c r="F136" s="23" t="s">
        <v>288</v>
      </c>
      <c r="G136" s="23" t="s">
        <v>288</v>
      </c>
      <c r="H136" s="90">
        <f t="shared" si="7"/>
        <v>0</v>
      </c>
    </row>
    <row r="137" spans="1:8">
      <c r="A137" t="s">
        <v>237</v>
      </c>
      <c r="B137" s="31" t="s">
        <v>189</v>
      </c>
      <c r="C137" s="73">
        <f>'DOE25'!L266</f>
        <v>0</v>
      </c>
      <c r="D137" s="23" t="s">
        <v>288</v>
      </c>
      <c r="E137" s="92">
        <f>'DOE25'!L347</f>
        <v>0</v>
      </c>
      <c r="F137" s="23" t="s">
        <v>288</v>
      </c>
      <c r="G137" s="23" t="s">
        <v>288</v>
      </c>
      <c r="H137" s="90">
        <f t="shared" si="7"/>
        <v>0</v>
      </c>
    </row>
    <row r="138" spans="1:8">
      <c r="A138" t="s">
        <v>238</v>
      </c>
      <c r="B138" s="31">
        <v>5251</v>
      </c>
      <c r="C138" s="73">
        <f>'DOE25'!L394</f>
        <v>12362.72</v>
      </c>
      <c r="D138" s="23" t="s">
        <v>288</v>
      </c>
      <c r="E138" s="23" t="s">
        <v>288</v>
      </c>
      <c r="F138" s="23" t="s">
        <v>288</v>
      </c>
      <c r="G138" s="23" t="s">
        <v>288</v>
      </c>
      <c r="H138" s="90">
        <f t="shared" si="7"/>
        <v>12362.72</v>
      </c>
    </row>
    <row r="139" spans="1:8">
      <c r="A139" t="s">
        <v>239</v>
      </c>
      <c r="B139" s="31">
        <v>5252</v>
      </c>
      <c r="C139" s="73">
        <f>'DOE25'!L402</f>
        <v>39919.960000000006</v>
      </c>
      <c r="D139" s="23" t="s">
        <v>288</v>
      </c>
      <c r="E139" s="23" t="s">
        <v>288</v>
      </c>
      <c r="F139" s="23" t="s">
        <v>288</v>
      </c>
      <c r="G139" s="23" t="s">
        <v>288</v>
      </c>
      <c r="H139" s="90">
        <f t="shared" si="7"/>
        <v>39919.960000000006</v>
      </c>
    </row>
    <row r="140" spans="1:8">
      <c r="A140" t="s">
        <v>240</v>
      </c>
      <c r="B140" s="31">
        <v>5253</v>
      </c>
      <c r="C140" s="73">
        <f>'DOE25'!L408</f>
        <v>163.04</v>
      </c>
      <c r="D140" s="23" t="s">
        <v>288</v>
      </c>
      <c r="E140" s="23" t="s">
        <v>288</v>
      </c>
      <c r="F140" s="23" t="s">
        <v>288</v>
      </c>
      <c r="G140" s="23" t="s">
        <v>288</v>
      </c>
      <c r="H140" s="90">
        <f t="shared" si="7"/>
        <v>163.04</v>
      </c>
    </row>
    <row r="141" spans="1:8">
      <c r="A141" t="s">
        <v>762</v>
      </c>
      <c r="B141" s="31">
        <v>5254</v>
      </c>
      <c r="C141" s="73">
        <f>('DOE25'!L267+'DOE25'!K348) - (C138+C139+C140)</f>
        <v>-13826.720000000008</v>
      </c>
      <c r="D141" s="23" t="s">
        <v>288</v>
      </c>
      <c r="E141" s="23" t="s">
        <v>288</v>
      </c>
      <c r="F141" s="23" t="s">
        <v>288</v>
      </c>
      <c r="G141" s="23" t="s">
        <v>288</v>
      </c>
      <c r="H141" s="90">
        <f t="shared" si="7"/>
        <v>-13826.720000000008</v>
      </c>
    </row>
    <row r="142" spans="1:8">
      <c r="A142" t="s">
        <v>241</v>
      </c>
      <c r="B142" s="31">
        <v>5310</v>
      </c>
      <c r="C142" s="92">
        <f>'DOE25'!L269</f>
        <v>3990.42</v>
      </c>
      <c r="D142" s="23" t="s">
        <v>288</v>
      </c>
      <c r="E142" s="92">
        <f>'DOE25'!L350</f>
        <v>0</v>
      </c>
      <c r="F142" s="23" t="s">
        <v>288</v>
      </c>
      <c r="G142" s="23" t="s">
        <v>288</v>
      </c>
      <c r="H142" s="90">
        <f t="shared" si="7"/>
        <v>3990.42</v>
      </c>
    </row>
    <row r="143" spans="1:8" ht="12" thickBot="1">
      <c r="A143" t="s">
        <v>242</v>
      </c>
      <c r="B143" s="31">
        <v>5390</v>
      </c>
      <c r="C143" s="92">
        <f>'DOE25'!L270</f>
        <v>0</v>
      </c>
      <c r="D143" s="23" t="s">
        <v>288</v>
      </c>
      <c r="E143" s="92">
        <f>'DOE25'!L351</f>
        <v>0</v>
      </c>
      <c r="F143" s="23" t="s">
        <v>288</v>
      </c>
      <c r="G143" s="23" t="s">
        <v>288</v>
      </c>
      <c r="H143" s="90">
        <f t="shared" si="7"/>
        <v>0</v>
      </c>
    </row>
    <row r="144" spans="1:8" ht="12" thickBot="1">
      <c r="A144" s="32" t="s">
        <v>243</v>
      </c>
      <c r="C144" s="98">
        <f>SUM(C130:C143)</f>
        <v>213539.42</v>
      </c>
      <c r="D144" s="98">
        <f>SUM(D130:D143)</f>
        <v>0</v>
      </c>
      <c r="E144" s="98">
        <f>SUM(E130:E143)</f>
        <v>0</v>
      </c>
      <c r="F144" s="98">
        <f>SUM(F130:F143)</f>
        <v>0</v>
      </c>
      <c r="G144" s="98">
        <f>SUM(G130:G143)</f>
        <v>0</v>
      </c>
      <c r="H144" s="98">
        <f t="shared" si="7"/>
        <v>213539.42</v>
      </c>
    </row>
    <row r="145" spans="1:9" ht="12.75" thickTop="1" thickBot="1">
      <c r="A145" s="32" t="s">
        <v>244</v>
      </c>
      <c r="C145" s="68">
        <f>(C115+C128+C144)</f>
        <v>11154600.940000001</v>
      </c>
      <c r="D145" s="68">
        <f>(D115+D128+D144)</f>
        <v>228991.77000000002</v>
      </c>
      <c r="E145" s="68">
        <f>(E115+E128+E144)</f>
        <v>294129.95999999996</v>
      </c>
      <c r="F145" s="68">
        <f>(F115+F128+F144)</f>
        <v>0</v>
      </c>
      <c r="G145" s="68">
        <f>(G115+G128+G144)</f>
        <v>0</v>
      </c>
      <c r="H145" s="68">
        <f t="shared" si="7"/>
        <v>11677722.670000002</v>
      </c>
    </row>
    <row r="146" spans="1:9" ht="12" thickTop="1">
      <c r="A146" s="32"/>
    </row>
    <row r="148" spans="1:9">
      <c r="A148" s="74" t="s">
        <v>245</v>
      </c>
      <c r="C148" s="22"/>
      <c r="D148" s="19"/>
      <c r="E148" s="19"/>
      <c r="F148" s="19"/>
      <c r="G148" s="19"/>
    </row>
    <row r="149" spans="1:9">
      <c r="A149" s="21" t="s">
        <v>20</v>
      </c>
      <c r="B149" s="31" t="s">
        <v>264</v>
      </c>
      <c r="C149" s="31" t="s">
        <v>265</v>
      </c>
      <c r="D149" s="31" t="s">
        <v>266</v>
      </c>
      <c r="E149" s="31" t="s">
        <v>267</v>
      </c>
      <c r="F149" s="31" t="s">
        <v>268</v>
      </c>
      <c r="G149" s="31" t="s">
        <v>269</v>
      </c>
      <c r="H149" s="19"/>
      <c r="I149" s="19"/>
    </row>
    <row r="150" spans="1:9">
      <c r="A150" s="74" t="s">
        <v>21</v>
      </c>
      <c r="B150" s="31" t="s">
        <v>22</v>
      </c>
      <c r="C150" s="31" t="s">
        <v>23</v>
      </c>
      <c r="D150" s="31" t="s">
        <v>24</v>
      </c>
      <c r="E150" s="31" t="s">
        <v>25</v>
      </c>
      <c r="F150" s="31" t="s">
        <v>26</v>
      </c>
      <c r="G150" s="31" t="s">
        <v>340</v>
      </c>
    </row>
    <row r="151" spans="1:9">
      <c r="A151" s="21" t="s">
        <v>27</v>
      </c>
      <c r="B151" s="110">
        <f>'DOE25'!F491</f>
        <v>13</v>
      </c>
      <c r="C151" s="110">
        <f>'DOE25'!G491</f>
        <v>0</v>
      </c>
      <c r="D151" s="110">
        <f>'DOE25'!H491</f>
        <v>0</v>
      </c>
      <c r="E151" s="110">
        <f>'DOE25'!I491</f>
        <v>0</v>
      </c>
      <c r="F151" s="110">
        <f>'DOE25'!J491</f>
        <v>0</v>
      </c>
      <c r="G151" s="23" t="s">
        <v>288</v>
      </c>
    </row>
    <row r="152" spans="1:9">
      <c r="A152" s="21" t="s">
        <v>28</v>
      </c>
      <c r="B152" s="109" t="str">
        <f>'DOE25'!F492</f>
        <v>08/19</v>
      </c>
      <c r="C152" s="109">
        <f>'DOE25'!G492</f>
        <v>0</v>
      </c>
      <c r="D152" s="109">
        <f>'DOE25'!H492</f>
        <v>0</v>
      </c>
      <c r="E152" s="109">
        <f>'DOE25'!I492</f>
        <v>0</v>
      </c>
      <c r="F152" s="109">
        <f>'DOE25'!J492</f>
        <v>0</v>
      </c>
      <c r="G152" s="23" t="s">
        <v>288</v>
      </c>
    </row>
    <row r="153" spans="1:9">
      <c r="A153" s="21" t="s">
        <v>29</v>
      </c>
      <c r="B153" s="109" t="str">
        <f>'DOE25'!F493</f>
        <v>08/34</v>
      </c>
      <c r="C153" s="109">
        <f>'DOE25'!G493</f>
        <v>0</v>
      </c>
      <c r="D153" s="109">
        <f>'DOE25'!H493</f>
        <v>0</v>
      </c>
      <c r="E153" s="109">
        <f>'DOE25'!I493</f>
        <v>0</v>
      </c>
      <c r="F153" s="109">
        <f>'DOE25'!J493</f>
        <v>0</v>
      </c>
      <c r="G153" s="23" t="s">
        <v>288</v>
      </c>
    </row>
    <row r="154" spans="1:9">
      <c r="A154" s="21" t="s">
        <v>30</v>
      </c>
      <c r="B154" s="19">
        <f>'DOE25'!F494</f>
        <v>1171400</v>
      </c>
      <c r="C154" s="19">
        <f>'DOE25'!G494</f>
        <v>0</v>
      </c>
      <c r="D154" s="19">
        <f>'DOE25'!H494</f>
        <v>0</v>
      </c>
      <c r="E154" s="19">
        <f>'DOE25'!I494</f>
        <v>0</v>
      </c>
      <c r="F154" s="19">
        <f>'DOE25'!J494</f>
        <v>0</v>
      </c>
      <c r="G154" s="23" t="s">
        <v>288</v>
      </c>
    </row>
    <row r="155" spans="1:9">
      <c r="A155" s="21" t="s">
        <v>31</v>
      </c>
      <c r="B155" s="19">
        <f>'DOE25'!F495</f>
        <v>5.0999999999999996</v>
      </c>
      <c r="C155" s="19">
        <f>'DOE25'!G495</f>
        <v>0</v>
      </c>
      <c r="D155" s="19">
        <f>'DOE25'!H495</f>
        <v>0</v>
      </c>
      <c r="E155" s="19">
        <f>'DOE25'!I495</f>
        <v>0</v>
      </c>
      <c r="F155" s="19">
        <f>'DOE25'!J495</f>
        <v>0</v>
      </c>
      <c r="G155" s="23" t="s">
        <v>288</v>
      </c>
    </row>
    <row r="156" spans="1:9">
      <c r="A156" s="21" t="s">
        <v>32</v>
      </c>
      <c r="B156" s="19">
        <f>'DOE25'!F496</f>
        <v>1015000</v>
      </c>
      <c r="C156" s="19">
        <f>'DOE25'!G496</f>
        <v>0</v>
      </c>
      <c r="D156" s="19">
        <f>'DOE25'!H496</f>
        <v>0</v>
      </c>
      <c r="E156" s="19">
        <f>'DOE25'!I496</f>
        <v>0</v>
      </c>
      <c r="F156" s="19">
        <f>'DOE25'!J496</f>
        <v>0</v>
      </c>
      <c r="G156" s="96">
        <f>SUM(B156:F156)</f>
        <v>1015000</v>
      </c>
    </row>
    <row r="157" spans="1:9">
      <c r="A157" s="21" t="s">
        <v>33</v>
      </c>
      <c r="B157" s="19">
        <f>'DOE25'!F497</f>
        <v>0</v>
      </c>
      <c r="C157" s="19">
        <f>'DOE25'!G497</f>
        <v>0</v>
      </c>
      <c r="D157" s="19">
        <f>'DOE25'!H497</f>
        <v>0</v>
      </c>
      <c r="E157" s="19">
        <f>'DOE25'!I497</f>
        <v>0</v>
      </c>
      <c r="F157" s="19">
        <f>'DOE25'!J497</f>
        <v>0</v>
      </c>
      <c r="G157" s="96">
        <f t="shared" ref="G157:G164" si="8">SUM(B157:F157)</f>
        <v>0</v>
      </c>
    </row>
    <row r="158" spans="1:9">
      <c r="A158" s="21" t="s">
        <v>34</v>
      </c>
      <c r="B158" s="19">
        <f>'DOE25'!F498</f>
        <v>0</v>
      </c>
      <c r="C158" s="19">
        <f>'DOE25'!G498</f>
        <v>0</v>
      </c>
      <c r="D158" s="19">
        <f>'DOE25'!H498</f>
        <v>0</v>
      </c>
      <c r="E158" s="19">
        <f>'DOE25'!I498</f>
        <v>0</v>
      </c>
      <c r="F158" s="19">
        <f>'DOE25'!J498</f>
        <v>0</v>
      </c>
      <c r="G158" s="96">
        <f t="shared" si="8"/>
        <v>0</v>
      </c>
    </row>
    <row r="159" spans="1:9">
      <c r="A159" s="21" t="s">
        <v>35</v>
      </c>
      <c r="B159" s="19">
        <f>'DOE25'!F499</f>
        <v>1015000</v>
      </c>
      <c r="C159" s="19">
        <f>'DOE25'!G499</f>
        <v>0</v>
      </c>
      <c r="D159" s="19">
        <f>'DOE25'!H499</f>
        <v>0</v>
      </c>
      <c r="E159" s="19">
        <f>'DOE25'!I499</f>
        <v>0</v>
      </c>
      <c r="F159" s="19">
        <f>'DOE25'!J499</f>
        <v>0</v>
      </c>
      <c r="G159" s="96">
        <f t="shared" si="8"/>
        <v>1015000</v>
      </c>
    </row>
    <row r="160" spans="1:9">
      <c r="A160" s="21" t="s">
        <v>36</v>
      </c>
      <c r="B160" s="19">
        <f>'DOE25'!F500</f>
        <v>246904</v>
      </c>
      <c r="C160" s="19">
        <f>'DOE25'!G500</f>
        <v>0</v>
      </c>
      <c r="D160" s="19">
        <f>'DOE25'!H500</f>
        <v>0</v>
      </c>
      <c r="E160" s="19">
        <f>'DOE25'!I500</f>
        <v>0</v>
      </c>
      <c r="F160" s="19">
        <f>'DOE25'!J500</f>
        <v>0</v>
      </c>
      <c r="G160" s="96">
        <f t="shared" si="8"/>
        <v>246904</v>
      </c>
    </row>
    <row r="161" spans="1:7">
      <c r="A161" s="21" t="s">
        <v>37</v>
      </c>
      <c r="B161" s="19">
        <f>'DOE25'!F501</f>
        <v>1261904</v>
      </c>
      <c r="C161" s="19">
        <f>'DOE25'!G501</f>
        <v>0</v>
      </c>
      <c r="D161" s="19">
        <f>'DOE25'!H501</f>
        <v>0</v>
      </c>
      <c r="E161" s="19">
        <f>'DOE25'!I501</f>
        <v>0</v>
      </c>
      <c r="F161" s="19">
        <f>'DOE25'!J501</f>
        <v>0</v>
      </c>
      <c r="G161" s="96">
        <f t="shared" si="8"/>
        <v>1261904</v>
      </c>
    </row>
    <row r="162" spans="1:7">
      <c r="A162" s="21" t="s">
        <v>38</v>
      </c>
      <c r="B162" s="19">
        <f>'DOE25'!F502</f>
        <v>80000</v>
      </c>
      <c r="C162" s="19">
        <f>'DOE25'!G502</f>
        <v>0</v>
      </c>
      <c r="D162" s="19">
        <f>'DOE25'!H502</f>
        <v>0</v>
      </c>
      <c r="E162" s="19">
        <f>'DOE25'!I502</f>
        <v>0</v>
      </c>
      <c r="F162" s="19">
        <f>'DOE25'!J502</f>
        <v>0</v>
      </c>
      <c r="G162" s="96">
        <f t="shared" si="8"/>
        <v>80000</v>
      </c>
    </row>
    <row r="163" spans="1:7">
      <c r="A163" s="21" t="s">
        <v>39</v>
      </c>
      <c r="B163" s="19">
        <f>'DOE25'!F503</f>
        <v>41850</v>
      </c>
      <c r="C163" s="19">
        <f>'DOE25'!G503</f>
        <v>0</v>
      </c>
      <c r="D163" s="19">
        <f>'DOE25'!H503</f>
        <v>0</v>
      </c>
      <c r="E163" s="19">
        <f>'DOE25'!I503</f>
        <v>0</v>
      </c>
      <c r="F163" s="19">
        <f>'DOE25'!J503</f>
        <v>0</v>
      </c>
      <c r="G163" s="96">
        <f t="shared" si="8"/>
        <v>41850</v>
      </c>
    </row>
    <row r="164" spans="1:7">
      <c r="A164" s="21" t="s">
        <v>246</v>
      </c>
      <c r="B164" s="19">
        <f>'DOE25'!F504</f>
        <v>121850</v>
      </c>
      <c r="C164" s="19">
        <f>'DOE25'!G504</f>
        <v>0</v>
      </c>
      <c r="D164" s="19">
        <f>'DOE25'!H504</f>
        <v>0</v>
      </c>
      <c r="E164" s="19">
        <f>'DOE25'!I504</f>
        <v>0</v>
      </c>
      <c r="F164" s="19">
        <f>'DOE25'!J504</f>
        <v>0</v>
      </c>
      <c r="G164" s="96">
        <f t="shared" si="8"/>
        <v>121850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0.75" bottom="0.75" header="0.3" footer="0.3"/>
  <pageSetup scale="93" fitToHeight="0" orientation="landscape" horizontalDpi="4294967295" verticalDpi="4294967295" r:id="rId1"/>
  <headerFooter alignWithMargins="0">
    <oddHeader>&amp;C&amp;A
2021-2022</oddHeader>
    <oddFooter>&amp;CPage &amp;P&amp;R&amp;D&amp;T</oddFooter>
  </headerFooter>
  <rowBreaks count="4" manualBreakCount="4">
    <brk id="52" max="16383" man="1"/>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22" zoomScaleNormal="100" workbookViewId="0">
      <selection activeCell="H13" sqref="H13"/>
    </sheetView>
  </sheetViews>
  <sheetFormatPr defaultRowHeight="11.25"/>
  <cols>
    <col min="1" max="1" width="14.33203125" customWidth="1"/>
    <col min="2" max="2" width="49" bestFit="1" customWidth="1"/>
    <col min="3" max="3" width="13.5" customWidth="1"/>
    <col min="4" max="4" width="10.33203125" customWidth="1"/>
  </cols>
  <sheetData>
    <row r="1" spans="1:4" ht="18">
      <c r="A1" s="318" t="s">
        <v>736</v>
      </c>
      <c r="B1" s="318"/>
      <c r="C1" s="318"/>
      <c r="D1" s="318"/>
    </row>
    <row r="2" spans="1:4">
      <c r="A2" s="136" t="s">
        <v>713</v>
      </c>
      <c r="B2" s="135" t="str">
        <f>'DOE25'!A2</f>
        <v>Gilmanton</v>
      </c>
    </row>
    <row r="3" spans="1:4">
      <c r="B3" s="137" t="s">
        <v>1799</v>
      </c>
    </row>
    <row r="4" spans="1:4">
      <c r="B4" t="s">
        <v>61</v>
      </c>
      <c r="C4" s="129">
        <f>IF('DOE25'!F666+'DOE25'!F671=0,0,ROUND('DOE25'!F673,0))</f>
        <v>19274</v>
      </c>
    </row>
    <row r="5" spans="1:4">
      <c r="B5" t="s">
        <v>700</v>
      </c>
      <c r="C5" s="129">
        <f>IF('DOE25'!G666+'DOE25'!G671=0,0,ROUND('DOE25'!G673,0))</f>
        <v>0</v>
      </c>
    </row>
    <row r="6" spans="1:4">
      <c r="B6" t="s">
        <v>62</v>
      </c>
      <c r="C6" s="129">
        <f>IF('DOE25'!H666+'DOE25'!H671=0,0,ROUND('DOE25'!H673,0))</f>
        <v>0</v>
      </c>
    </row>
    <row r="7" spans="1:4">
      <c r="B7" t="s">
        <v>701</v>
      </c>
      <c r="C7" s="129">
        <f>IF('DOE25'!I666+'DOE25'!I671=0,0,ROUND('DOE25'!I673,0))</f>
        <v>19274</v>
      </c>
    </row>
    <row r="9" spans="1:4">
      <c r="A9" s="136" t="s">
        <v>94</v>
      </c>
      <c r="B9" s="137" t="s">
        <v>1800</v>
      </c>
      <c r="C9" s="131" t="s">
        <v>720</v>
      </c>
      <c r="D9" s="131" t="s">
        <v>721</v>
      </c>
    </row>
    <row r="10" spans="1:4">
      <c r="A10">
        <v>1100</v>
      </c>
      <c r="B10" t="s">
        <v>702</v>
      </c>
      <c r="C10" s="129">
        <f>ROUND('DOE25'!L198+'DOE25'!L216+'DOE25'!L234+'DOE25'!L277+'DOE25'!L296+'DOE25'!L315,0)</f>
        <v>7183660</v>
      </c>
      <c r="D10" s="132">
        <f>ROUND((C10/$C$28)*100,1)</f>
        <v>62.4</v>
      </c>
    </row>
    <row r="11" spans="1:4">
      <c r="A11">
        <v>1200</v>
      </c>
      <c r="B11" t="s">
        <v>703</v>
      </c>
      <c r="C11" s="129">
        <f>ROUND('DOE25'!L199+'DOE25'!L217+'DOE25'!L235+'DOE25'!L278+'DOE25'!L297+'DOE25'!L316,0)</f>
        <v>794587</v>
      </c>
      <c r="D11" s="132">
        <f>ROUND((C11/$C$28)*100,1)</f>
        <v>6.9</v>
      </c>
    </row>
    <row r="12" spans="1:4">
      <c r="A12">
        <v>1300</v>
      </c>
      <c r="B12" t="s">
        <v>704</v>
      </c>
      <c r="C12" s="129">
        <f>ROUND('DOE25'!L200+'DOE25'!L218+'DOE25'!L236+'DOE25'!L279+'DOE25'!L298+'DOE25'!L317,0)</f>
        <v>0</v>
      </c>
      <c r="D12" s="132">
        <f>ROUND((C12/$C$28)*100,1)</f>
        <v>0</v>
      </c>
    </row>
    <row r="13" spans="1:4">
      <c r="A13">
        <v>1400</v>
      </c>
      <c r="B13" t="s">
        <v>705</v>
      </c>
      <c r="C13" s="129">
        <f>ROUND('DOE25'!L201+'DOE25'!L219+'DOE25'!L237+'DOE25'!L280+'DOE25'!L299+'DOE25'!L318,0)</f>
        <v>86754</v>
      </c>
      <c r="D13" s="132">
        <f>ROUND((C13/$C$28)*100,1)</f>
        <v>0.8</v>
      </c>
    </row>
    <row r="14" spans="1:4">
      <c r="D14" s="132"/>
    </row>
    <row r="15" spans="1:4">
      <c r="A15">
        <v>2100</v>
      </c>
      <c r="B15" t="s">
        <v>706</v>
      </c>
      <c r="C15" s="129">
        <f>ROUND('DOE25'!L203+'DOE25'!L221+'DOE25'!L239+'DOE25'!L282+'DOE25'!L301+'DOE25'!L320,0)</f>
        <v>639399</v>
      </c>
      <c r="D15" s="132">
        <f t="shared" ref="D15:D27" si="0">ROUND((C15/$C$28)*100,1)</f>
        <v>5.6</v>
      </c>
    </row>
    <row r="16" spans="1:4">
      <c r="A16">
        <v>2200</v>
      </c>
      <c r="B16" t="s">
        <v>707</v>
      </c>
      <c r="C16" s="129">
        <f>ROUND('DOE25'!L204+'DOE25'!L222+'DOE25'!L240+'DOE25'!L283+'DOE25'!L302+'DOE25'!L321,0)</f>
        <v>379793</v>
      </c>
      <c r="D16" s="132">
        <f t="shared" si="0"/>
        <v>3.3</v>
      </c>
    </row>
    <row r="17" spans="1:4">
      <c r="A17" s="133" t="s">
        <v>723</v>
      </c>
      <c r="B17" t="s">
        <v>738</v>
      </c>
      <c r="C17" s="129">
        <f>ROUND('DOE25'!L205+'DOE25'!L210+'DOE25'!L223+'DOE25'!L228+'DOE25'!L241+'DOE25'!L246+'DOE25'!L284+'DOE25'!L289+'DOE25'!L303+'DOE25'!L308+'DOE25'!L322+'DOE25'!L327,0)</f>
        <v>469548</v>
      </c>
      <c r="D17" s="132">
        <f t="shared" si="0"/>
        <v>4.0999999999999996</v>
      </c>
    </row>
    <row r="18" spans="1:4">
      <c r="A18">
        <v>2400</v>
      </c>
      <c r="B18" t="s">
        <v>711</v>
      </c>
      <c r="C18" s="129">
        <f>ROUND('DOE25'!L206+'DOE25'!L224+'DOE25'!L242+'DOE25'!L285+'DOE25'!L304+'DOE25'!L323,0)</f>
        <v>388796</v>
      </c>
      <c r="D18" s="132">
        <f t="shared" si="0"/>
        <v>3.4</v>
      </c>
    </row>
    <row r="19" spans="1:4">
      <c r="A19">
        <v>2500</v>
      </c>
      <c r="B19" t="s">
        <v>708</v>
      </c>
      <c r="C19" s="129">
        <f>ROUND('DOE25'!L207+'DOE25'!L225+'DOE25'!L243+'DOE25'!L286+'DOE25'!L305+'DOE25'!L324,0)</f>
        <v>194375</v>
      </c>
      <c r="D19" s="132">
        <f t="shared" si="0"/>
        <v>1.7</v>
      </c>
    </row>
    <row r="20" spans="1:4">
      <c r="A20">
        <v>2600</v>
      </c>
      <c r="B20" t="s">
        <v>709</v>
      </c>
      <c r="C20" s="129">
        <f>ROUND('DOE25'!L208+'DOE25'!L226+'DOE25'!L244+'DOE25'!L287+'DOE25'!L306+'DOE25'!L325,0)</f>
        <v>602167</v>
      </c>
      <c r="D20" s="132">
        <f t="shared" si="0"/>
        <v>5.2</v>
      </c>
    </row>
    <row r="21" spans="1:4">
      <c r="A21">
        <v>2700</v>
      </c>
      <c r="B21" t="s">
        <v>710</v>
      </c>
      <c r="C21" s="129">
        <f>ROUND('DOE25'!L209+'DOE25'!L227+'DOE25'!L245+'DOE25'!L288+'DOE25'!L307+'DOE25'!L326,0)</f>
        <v>496113</v>
      </c>
      <c r="D21" s="132">
        <f t="shared" si="0"/>
        <v>4.3</v>
      </c>
    </row>
    <row r="22" spans="1:4">
      <c r="A22">
        <v>2900</v>
      </c>
      <c r="B22" t="s">
        <v>712</v>
      </c>
      <c r="C22" s="129">
        <v>0</v>
      </c>
      <c r="D22" s="132">
        <f t="shared" si="0"/>
        <v>0</v>
      </c>
    </row>
    <row r="23" spans="1:4">
      <c r="A23">
        <v>1500</v>
      </c>
      <c r="B23" t="s">
        <v>714</v>
      </c>
      <c r="C23" s="129">
        <f>ROUND('DOE25'!L251+'DOE25'!L333,0)</f>
        <v>0</v>
      </c>
      <c r="D23" s="132">
        <f t="shared" si="0"/>
        <v>0</v>
      </c>
    </row>
    <row r="24" spans="1:4">
      <c r="A24" s="133" t="s">
        <v>722</v>
      </c>
      <c r="B24" t="s">
        <v>715</v>
      </c>
      <c r="C24" s="129">
        <f>ROUND('DOE25'!L252+'DOE25'!L253+'DOE25'!L254+'DOE25'!L255+'DOE25'!L334+'DOE25'!L335+'DOE25'!L336,0)</f>
        <v>0</v>
      </c>
      <c r="D24" s="132">
        <f t="shared" si="0"/>
        <v>0</v>
      </c>
    </row>
    <row r="25" spans="1:4">
      <c r="A25">
        <v>5120</v>
      </c>
      <c r="B25" t="s">
        <v>716</v>
      </c>
      <c r="C25" s="129">
        <f>ROUND('DOE25'!L262+'DOE25'!L343,0)</f>
        <v>45930</v>
      </c>
      <c r="D25" s="132">
        <f t="shared" si="0"/>
        <v>0.4</v>
      </c>
    </row>
    <row r="26" spans="1:4">
      <c r="A26" s="133" t="s">
        <v>717</v>
      </c>
      <c r="B26" t="s">
        <v>718</v>
      </c>
      <c r="C26" s="129">
        <f>'DOE25'!L269+'DOE25'!L270+'DOE25'!L350+'DOE25'!L351</f>
        <v>3990.42</v>
      </c>
      <c r="D26" s="132">
        <f t="shared" si="0"/>
        <v>0</v>
      </c>
    </row>
    <row r="27" spans="1:4">
      <c r="A27">
        <v>3100</v>
      </c>
      <c r="B27" t="s">
        <v>11</v>
      </c>
      <c r="C27" s="129">
        <f>ROUND('DOE25'!L363-'DOE25'!L362,0)-SUM('DOE25'!G97:G110)</f>
        <v>224578.59</v>
      </c>
      <c r="D27" s="132">
        <f t="shared" si="0"/>
        <v>2</v>
      </c>
    </row>
    <row r="28" spans="1:4">
      <c r="B28" s="136" t="s">
        <v>719</v>
      </c>
      <c r="C28" s="130">
        <f>SUM(C10:C27)</f>
        <v>11509691.01</v>
      </c>
      <c r="D28" s="134">
        <f>ROUND(SUM(D10:D27),0)</f>
        <v>100</v>
      </c>
    </row>
    <row r="29" spans="1:4">
      <c r="A29">
        <v>4000</v>
      </c>
      <c r="B29" t="s">
        <v>724</v>
      </c>
      <c r="C29" s="129">
        <f>ROUND('DOE25'!L256+'DOE25'!L337+'DOE25'!L375+'DOE25'!L376+'DOE25'!L377+'DOE25'!L378+'DOE25'!L379+'DOE25'!L380+'DOE25'!L381,0)</f>
        <v>0</v>
      </c>
    </row>
    <row r="30" spans="1:4">
      <c r="B30" s="136" t="s">
        <v>725</v>
      </c>
      <c r="C30" s="130">
        <f>SUM(C28:C29)</f>
        <v>11509691.01</v>
      </c>
    </row>
    <row r="31" spans="1:4">
      <c r="B31" s="32"/>
      <c r="C31" s="130"/>
    </row>
    <row r="32" spans="1:4">
      <c r="A32">
        <v>5100</v>
      </c>
      <c r="B32" s="32" t="s">
        <v>726</v>
      </c>
      <c r="C32" s="130">
        <f>ROUND('DOE25'!L261+'DOE25'!L342,0)</f>
        <v>80000</v>
      </c>
    </row>
    <row r="34" spans="1:4">
      <c r="A34" s="136" t="s">
        <v>94</v>
      </c>
      <c r="B34" s="137" t="s">
        <v>1801</v>
      </c>
      <c r="C34" s="131" t="s">
        <v>720</v>
      </c>
      <c r="D34" s="131" t="s">
        <v>721</v>
      </c>
    </row>
    <row r="35" spans="1:4">
      <c r="A35">
        <v>1100</v>
      </c>
      <c r="B35" s="71" t="s">
        <v>727</v>
      </c>
      <c r="C35" s="129">
        <f>ROUND('DOE25'!F60+'DOE25'!G60+'DOE25'!H60+'DOE25'!I60+'DOE25'!J60,0)</f>
        <v>8342447</v>
      </c>
      <c r="D35" s="132">
        <f t="shared" ref="D35:D40" si="1">ROUND((C35/$C$41)*100,1)</f>
        <v>72.7</v>
      </c>
    </row>
    <row r="36" spans="1:4">
      <c r="B36" s="71" t="s">
        <v>739</v>
      </c>
      <c r="C36" s="129">
        <f>SUM('DOE25'!F112:J112)-SUM('DOE25'!G97:G110)+('DOE25'!F175+'DOE25'!F176+'DOE25'!I175+'DOE25'!I176)-C35</f>
        <v>25336.989999999292</v>
      </c>
      <c r="D36" s="132">
        <f t="shared" si="1"/>
        <v>0.2</v>
      </c>
    </row>
    <row r="37" spans="1:4">
      <c r="A37" s="133" t="s">
        <v>835</v>
      </c>
      <c r="B37" s="71" t="s">
        <v>728</v>
      </c>
      <c r="C37" s="129">
        <f>ROUND('DOE25'!F117+'DOE25'!F118,0)</f>
        <v>2482476</v>
      </c>
      <c r="D37" s="132">
        <f t="shared" si="1"/>
        <v>21.6</v>
      </c>
    </row>
    <row r="38" spans="1:4">
      <c r="A38" s="133" t="s">
        <v>734</v>
      </c>
      <c r="B38" s="71" t="s">
        <v>729</v>
      </c>
      <c r="C38" s="129">
        <f>ROUND(SUM('DOE25'!F140:J140)-SUM('DOE25'!F117:F119),0)</f>
        <v>64301</v>
      </c>
      <c r="D38" s="132">
        <f t="shared" si="1"/>
        <v>0.6</v>
      </c>
    </row>
    <row r="39" spans="1:4">
      <c r="A39">
        <v>4000</v>
      </c>
      <c r="B39" s="71" t="s">
        <v>730</v>
      </c>
      <c r="C39" s="129">
        <f>ROUND('DOE25'!F170+'DOE25'!G170+'DOE25'!H170+'DOE25'!I170,0)</f>
        <v>565398</v>
      </c>
      <c r="D39" s="132">
        <f t="shared" si="1"/>
        <v>4.9000000000000004</v>
      </c>
    </row>
    <row r="40" spans="1:4">
      <c r="A40" s="133" t="s">
        <v>735</v>
      </c>
      <c r="B40" s="71" t="s">
        <v>731</v>
      </c>
      <c r="C40" s="129">
        <f>ROUND(SUM('DOE25'!F190:F192)+SUM('DOE25'!G190:G192)+SUM('DOE25'!H190:H192)+SUM('DOE25'!I190:I192),0)</f>
        <v>0</v>
      </c>
      <c r="D40" s="132">
        <f t="shared" si="1"/>
        <v>0</v>
      </c>
    </row>
    <row r="41" spans="1:4">
      <c r="B41" s="136" t="s">
        <v>732</v>
      </c>
      <c r="C41" s="130">
        <f>SUM(C35:C40)</f>
        <v>11479958.989999998</v>
      </c>
      <c r="D41" s="134">
        <f>SUM(D35:D40)</f>
        <v>100</v>
      </c>
    </row>
    <row r="42" spans="1:4">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5" sqref="A5"/>
    </sheetView>
  </sheetViews>
  <sheetFormatPr defaultRowHeight="11.25"/>
  <cols>
    <col min="1" max="1" width="10.33203125" customWidth="1"/>
    <col min="14" max="14" width="6.1640625" customWidth="1"/>
  </cols>
  <sheetData>
    <row r="1" spans="1:13" ht="16.5" thickTop="1">
      <c r="A1" s="326" t="s">
        <v>766</v>
      </c>
      <c r="B1" s="327"/>
      <c r="C1" s="327"/>
      <c r="D1" s="327"/>
      <c r="E1" s="327"/>
      <c r="F1" s="327"/>
      <c r="G1" s="327"/>
      <c r="H1" s="327"/>
      <c r="I1" s="327"/>
      <c r="J1" s="155"/>
      <c r="K1" s="155"/>
      <c r="L1" s="155"/>
      <c r="M1" s="156"/>
    </row>
    <row r="2" spans="1:13" ht="12.75">
      <c r="A2" s="331" t="s">
        <v>763</v>
      </c>
      <c r="B2" s="332"/>
      <c r="C2" s="332"/>
      <c r="D2" s="332"/>
      <c r="E2" s="332"/>
      <c r="F2" s="329" t="str">
        <f>'DOE25'!A2</f>
        <v>Gilmanton</v>
      </c>
      <c r="G2" s="330"/>
      <c r="H2" s="330"/>
      <c r="I2" s="330"/>
      <c r="M2" s="157"/>
    </row>
    <row r="3" spans="1:13">
      <c r="A3" s="158" t="s">
        <v>764</v>
      </c>
      <c r="B3" s="131" t="s">
        <v>765</v>
      </c>
      <c r="C3" s="311" t="s">
        <v>767</v>
      </c>
      <c r="D3" s="311"/>
      <c r="E3" s="311"/>
      <c r="F3" s="311"/>
      <c r="G3" s="311"/>
      <c r="H3" s="311"/>
      <c r="I3" s="311"/>
      <c r="J3" s="311"/>
      <c r="K3" s="311"/>
      <c r="L3" s="311"/>
      <c r="M3" s="328"/>
    </row>
    <row r="4" spans="1:13">
      <c r="A4" s="159"/>
      <c r="B4" s="150"/>
      <c r="C4" s="319"/>
      <c r="D4" s="319"/>
      <c r="E4" s="319"/>
      <c r="F4" s="319"/>
      <c r="G4" s="319"/>
      <c r="H4" s="319"/>
      <c r="I4" s="319"/>
      <c r="J4" s="319"/>
      <c r="K4" s="319"/>
      <c r="L4" s="319"/>
      <c r="M4" s="320"/>
    </row>
    <row r="5" spans="1:13">
      <c r="A5" s="159"/>
      <c r="B5" s="150"/>
      <c r="C5" s="319"/>
      <c r="D5" s="319"/>
      <c r="E5" s="319"/>
      <c r="F5" s="319"/>
      <c r="G5" s="319"/>
      <c r="H5" s="319"/>
      <c r="I5" s="319"/>
      <c r="J5" s="319"/>
      <c r="K5" s="319"/>
      <c r="L5" s="319"/>
      <c r="M5" s="320"/>
    </row>
    <row r="6" spans="1:13">
      <c r="A6" s="159"/>
      <c r="B6" s="150"/>
      <c r="C6" s="319"/>
      <c r="D6" s="319"/>
      <c r="E6" s="319"/>
      <c r="F6" s="319"/>
      <c r="G6" s="319"/>
      <c r="H6" s="319"/>
      <c r="I6" s="319"/>
      <c r="J6" s="319"/>
      <c r="K6" s="319"/>
      <c r="L6" s="319"/>
      <c r="M6" s="320"/>
    </row>
    <row r="7" spans="1:13">
      <c r="A7" s="159"/>
      <c r="B7" s="150"/>
      <c r="C7" s="319"/>
      <c r="D7" s="319"/>
      <c r="E7" s="319"/>
      <c r="F7" s="319"/>
      <c r="G7" s="319"/>
      <c r="H7" s="319"/>
      <c r="I7" s="319"/>
      <c r="J7" s="319"/>
      <c r="K7" s="319"/>
      <c r="L7" s="319"/>
      <c r="M7" s="320"/>
    </row>
    <row r="8" spans="1:13">
      <c r="A8" s="159"/>
      <c r="B8" s="150"/>
      <c r="C8" s="319"/>
      <c r="D8" s="319"/>
      <c r="E8" s="319"/>
      <c r="F8" s="319"/>
      <c r="G8" s="319"/>
      <c r="H8" s="319"/>
      <c r="I8" s="319"/>
      <c r="J8" s="319"/>
      <c r="K8" s="319"/>
      <c r="L8" s="319"/>
      <c r="M8" s="320"/>
    </row>
    <row r="9" spans="1:13">
      <c r="A9" s="159"/>
      <c r="B9" s="150"/>
      <c r="C9" s="319"/>
      <c r="D9" s="319"/>
      <c r="E9" s="319"/>
      <c r="F9" s="319"/>
      <c r="G9" s="319"/>
      <c r="H9" s="319"/>
      <c r="I9" s="319"/>
      <c r="J9" s="319"/>
      <c r="K9" s="319"/>
      <c r="L9" s="319"/>
      <c r="M9" s="320"/>
    </row>
    <row r="10" spans="1:13">
      <c r="A10" s="159"/>
      <c r="B10" s="150"/>
      <c r="C10" s="319"/>
      <c r="D10" s="319"/>
      <c r="E10" s="319"/>
      <c r="F10" s="319"/>
      <c r="G10" s="319"/>
      <c r="H10" s="319"/>
      <c r="I10" s="319"/>
      <c r="J10" s="319"/>
      <c r="K10" s="319"/>
      <c r="L10" s="319"/>
      <c r="M10" s="320"/>
    </row>
    <row r="11" spans="1:13">
      <c r="A11" s="159"/>
      <c r="B11" s="150"/>
      <c r="C11" s="319"/>
      <c r="D11" s="319"/>
      <c r="E11" s="319"/>
      <c r="F11" s="319"/>
      <c r="G11" s="319"/>
      <c r="H11" s="319"/>
      <c r="I11" s="319"/>
      <c r="J11" s="319"/>
      <c r="K11" s="319"/>
      <c r="L11" s="319"/>
      <c r="M11" s="320"/>
    </row>
    <row r="12" spans="1:13">
      <c r="A12" s="159"/>
      <c r="B12" s="150"/>
      <c r="C12" s="319"/>
      <c r="D12" s="319"/>
      <c r="E12" s="319"/>
      <c r="F12" s="319"/>
      <c r="G12" s="319"/>
      <c r="H12" s="319"/>
      <c r="I12" s="319"/>
      <c r="J12" s="319"/>
      <c r="K12" s="319"/>
      <c r="L12" s="319"/>
      <c r="M12" s="320"/>
    </row>
    <row r="13" spans="1:13">
      <c r="A13" s="159"/>
      <c r="B13" s="150"/>
      <c r="C13" s="319"/>
      <c r="D13" s="319"/>
      <c r="E13" s="319"/>
      <c r="F13" s="319"/>
      <c r="G13" s="319"/>
      <c r="H13" s="319"/>
      <c r="I13" s="319"/>
      <c r="J13" s="319"/>
      <c r="K13" s="319"/>
      <c r="L13" s="319"/>
      <c r="M13" s="320"/>
    </row>
    <row r="14" spans="1:13">
      <c r="A14" s="159"/>
      <c r="B14" s="150"/>
      <c r="C14" s="319"/>
      <c r="D14" s="319"/>
      <c r="E14" s="319"/>
      <c r="F14" s="319"/>
      <c r="G14" s="319"/>
      <c r="H14" s="319"/>
      <c r="I14" s="319"/>
      <c r="J14" s="319"/>
      <c r="K14" s="319"/>
      <c r="L14" s="319"/>
      <c r="M14" s="320"/>
    </row>
    <row r="15" spans="1:13">
      <c r="A15" s="159"/>
      <c r="B15" s="150"/>
      <c r="C15" s="319"/>
      <c r="D15" s="319"/>
      <c r="E15" s="319"/>
      <c r="F15" s="319"/>
      <c r="G15" s="319"/>
      <c r="H15" s="319"/>
      <c r="I15" s="319"/>
      <c r="J15" s="319"/>
      <c r="K15" s="319"/>
      <c r="L15" s="319"/>
      <c r="M15" s="320"/>
    </row>
    <row r="16" spans="1:13">
      <c r="A16" s="159"/>
      <c r="B16" s="150"/>
      <c r="C16" s="319"/>
      <c r="D16" s="319"/>
      <c r="E16" s="319"/>
      <c r="F16" s="319"/>
      <c r="G16" s="319"/>
      <c r="H16" s="319"/>
      <c r="I16" s="319"/>
      <c r="J16" s="319"/>
      <c r="K16" s="319"/>
      <c r="L16" s="319"/>
      <c r="M16" s="320"/>
    </row>
    <row r="17" spans="1:256">
      <c r="A17" s="159"/>
      <c r="B17" s="150"/>
      <c r="C17" s="319"/>
      <c r="D17" s="319"/>
      <c r="E17" s="319"/>
      <c r="F17" s="319"/>
      <c r="G17" s="319"/>
      <c r="H17" s="319"/>
      <c r="I17" s="319"/>
      <c r="J17" s="319"/>
      <c r="K17" s="319"/>
      <c r="L17" s="319"/>
      <c r="M17" s="320"/>
    </row>
    <row r="18" spans="1:256">
      <c r="A18" s="159"/>
      <c r="B18" s="150"/>
      <c r="C18" s="319"/>
      <c r="D18" s="319"/>
      <c r="E18" s="319"/>
      <c r="F18" s="319"/>
      <c r="G18" s="319"/>
      <c r="H18" s="319"/>
      <c r="I18" s="319"/>
      <c r="J18" s="319"/>
      <c r="K18" s="319"/>
      <c r="L18" s="319"/>
      <c r="M18" s="320"/>
    </row>
    <row r="19" spans="1:256">
      <c r="A19" s="159"/>
      <c r="B19" s="150"/>
      <c r="C19" s="319"/>
      <c r="D19" s="319"/>
      <c r="E19" s="319"/>
      <c r="F19" s="319"/>
      <c r="G19" s="319"/>
      <c r="H19" s="319"/>
      <c r="I19" s="319"/>
      <c r="J19" s="319"/>
      <c r="K19" s="319"/>
      <c r="L19" s="319"/>
      <c r="M19" s="320"/>
    </row>
    <row r="20" spans="1:256">
      <c r="A20" s="159"/>
      <c r="B20" s="150"/>
      <c r="C20" s="319"/>
      <c r="D20" s="319"/>
      <c r="E20" s="319"/>
      <c r="F20" s="319"/>
      <c r="G20" s="319"/>
      <c r="H20" s="319"/>
      <c r="I20" s="319"/>
      <c r="J20" s="319"/>
      <c r="K20" s="319"/>
      <c r="L20" s="319"/>
      <c r="M20" s="320"/>
    </row>
    <row r="21" spans="1:256">
      <c r="A21" s="159"/>
      <c r="B21" s="150"/>
      <c r="C21" s="319"/>
      <c r="D21" s="319"/>
      <c r="E21" s="319"/>
      <c r="F21" s="319"/>
      <c r="G21" s="319"/>
      <c r="H21" s="319"/>
      <c r="I21" s="319"/>
      <c r="J21" s="319"/>
      <c r="K21" s="319"/>
      <c r="L21" s="319"/>
      <c r="M21" s="320"/>
    </row>
    <row r="22" spans="1:256">
      <c r="A22" s="159"/>
      <c r="B22" s="150"/>
      <c r="C22" s="319"/>
      <c r="D22" s="319"/>
      <c r="E22" s="319"/>
      <c r="F22" s="319"/>
      <c r="G22" s="319"/>
      <c r="H22" s="319"/>
      <c r="I22" s="319"/>
      <c r="J22" s="319"/>
      <c r="K22" s="319"/>
      <c r="L22" s="319"/>
      <c r="M22" s="320"/>
    </row>
    <row r="23" spans="1:256">
      <c r="A23" s="159"/>
      <c r="B23" s="150"/>
      <c r="C23" s="319"/>
      <c r="D23" s="319"/>
      <c r="E23" s="319"/>
      <c r="F23" s="319"/>
      <c r="G23" s="319"/>
      <c r="H23" s="319"/>
      <c r="I23" s="319"/>
      <c r="J23" s="319"/>
      <c r="K23" s="319"/>
      <c r="L23" s="319"/>
      <c r="M23" s="320"/>
    </row>
    <row r="24" spans="1:256">
      <c r="A24" s="159"/>
      <c r="B24" s="150"/>
      <c r="C24" s="319"/>
      <c r="D24" s="319"/>
      <c r="E24" s="319"/>
      <c r="F24" s="319"/>
      <c r="G24" s="319"/>
      <c r="H24" s="319"/>
      <c r="I24" s="319"/>
      <c r="J24" s="319"/>
      <c r="K24" s="319"/>
      <c r="L24" s="319"/>
      <c r="M24" s="320"/>
    </row>
    <row r="25" spans="1:256">
      <c r="A25" s="159"/>
      <c r="B25" s="150"/>
      <c r="C25" s="319"/>
      <c r="D25" s="319"/>
      <c r="E25" s="319"/>
      <c r="F25" s="319"/>
      <c r="G25" s="319"/>
      <c r="H25" s="319"/>
      <c r="I25" s="319"/>
      <c r="J25" s="319"/>
      <c r="K25" s="319"/>
      <c r="L25" s="319"/>
      <c r="M25" s="320"/>
    </row>
    <row r="26" spans="1:256">
      <c r="A26" s="159"/>
      <c r="B26" s="150"/>
      <c r="C26" s="319"/>
      <c r="D26" s="319"/>
      <c r="E26" s="319"/>
      <c r="F26" s="319"/>
      <c r="G26" s="319"/>
      <c r="H26" s="319"/>
      <c r="I26" s="319"/>
      <c r="J26" s="319"/>
      <c r="K26" s="319"/>
      <c r="L26" s="319"/>
      <c r="M26" s="320"/>
    </row>
    <row r="27" spans="1:256">
      <c r="A27" s="159"/>
      <c r="B27" s="150"/>
      <c r="C27" s="319"/>
      <c r="D27" s="319"/>
      <c r="E27" s="319"/>
      <c r="F27" s="319"/>
      <c r="G27" s="319"/>
      <c r="H27" s="319"/>
      <c r="I27" s="319"/>
      <c r="J27" s="319"/>
      <c r="K27" s="319"/>
      <c r="L27" s="319"/>
      <c r="M27" s="320"/>
    </row>
    <row r="28" spans="1:256">
      <c r="A28" s="159"/>
      <c r="B28" s="150"/>
      <c r="C28" s="319"/>
      <c r="D28" s="319"/>
      <c r="E28" s="319"/>
      <c r="F28" s="319"/>
      <c r="G28" s="319"/>
      <c r="H28" s="319"/>
      <c r="I28" s="319"/>
      <c r="J28" s="319"/>
      <c r="K28" s="319"/>
      <c r="L28" s="319"/>
      <c r="M28" s="320"/>
    </row>
    <row r="29" spans="1:256">
      <c r="A29" s="159"/>
      <c r="B29" s="150"/>
      <c r="C29" s="319"/>
      <c r="D29" s="319"/>
      <c r="E29" s="319"/>
      <c r="F29" s="319"/>
      <c r="G29" s="319"/>
      <c r="H29" s="319"/>
      <c r="I29" s="319"/>
      <c r="J29" s="319"/>
      <c r="K29" s="319"/>
      <c r="L29" s="319"/>
      <c r="M29" s="320"/>
      <c r="N29" s="153"/>
      <c r="O29" s="153"/>
      <c r="P29" s="324"/>
      <c r="Q29" s="324"/>
      <c r="R29" s="324"/>
      <c r="S29" s="324"/>
      <c r="T29" s="324"/>
      <c r="U29" s="324"/>
      <c r="V29" s="324"/>
      <c r="W29" s="324"/>
      <c r="X29" s="324"/>
      <c r="Y29" s="324"/>
      <c r="Z29" s="324"/>
      <c r="AA29" s="150"/>
      <c r="AB29" s="150"/>
      <c r="AC29" s="319"/>
      <c r="AD29" s="319"/>
      <c r="AE29" s="319"/>
      <c r="AF29" s="319"/>
      <c r="AG29" s="319"/>
      <c r="AH29" s="319"/>
      <c r="AI29" s="319"/>
      <c r="AJ29" s="319"/>
      <c r="AK29" s="319"/>
      <c r="AL29" s="319"/>
      <c r="AM29" s="319"/>
      <c r="AN29" s="150"/>
      <c r="AO29" s="150"/>
      <c r="AP29" s="319"/>
      <c r="AQ29" s="319"/>
      <c r="AR29" s="319"/>
      <c r="AS29" s="319"/>
      <c r="AT29" s="319"/>
      <c r="AU29" s="319"/>
      <c r="AV29" s="319"/>
      <c r="AW29" s="319"/>
      <c r="AX29" s="319"/>
      <c r="AY29" s="319"/>
      <c r="AZ29" s="319"/>
      <c r="BA29" s="150"/>
      <c r="BB29" s="150"/>
      <c r="BC29" s="319"/>
      <c r="BD29" s="319"/>
      <c r="BE29" s="319"/>
      <c r="BF29" s="319"/>
      <c r="BG29" s="319"/>
      <c r="BH29" s="319"/>
      <c r="BI29" s="319"/>
      <c r="BJ29" s="319"/>
      <c r="BK29" s="319"/>
      <c r="BL29" s="319"/>
      <c r="BM29" s="319"/>
      <c r="BN29" s="150"/>
      <c r="BO29" s="150"/>
      <c r="BP29" s="319"/>
      <c r="BQ29" s="319"/>
      <c r="BR29" s="319"/>
      <c r="BS29" s="319"/>
      <c r="BT29" s="319"/>
      <c r="BU29" s="319"/>
      <c r="BV29" s="319"/>
      <c r="BW29" s="319"/>
      <c r="BX29" s="319"/>
      <c r="BY29" s="319"/>
      <c r="BZ29" s="319"/>
      <c r="CA29" s="150"/>
      <c r="CB29" s="150"/>
      <c r="CC29" s="319"/>
      <c r="CD29" s="319"/>
      <c r="CE29" s="319"/>
      <c r="CF29" s="319"/>
      <c r="CG29" s="319"/>
      <c r="CH29" s="319"/>
      <c r="CI29" s="319"/>
      <c r="CJ29" s="319"/>
      <c r="CK29" s="319"/>
      <c r="CL29" s="319"/>
      <c r="CM29" s="319"/>
      <c r="CN29" s="150"/>
      <c r="CO29" s="150"/>
      <c r="CP29" s="319"/>
      <c r="CQ29" s="319"/>
      <c r="CR29" s="319"/>
      <c r="CS29" s="319"/>
      <c r="CT29" s="319"/>
      <c r="CU29" s="319"/>
      <c r="CV29" s="319"/>
      <c r="CW29" s="319"/>
      <c r="CX29" s="319"/>
      <c r="CY29" s="319"/>
      <c r="CZ29" s="319"/>
      <c r="DA29" s="150"/>
      <c r="DB29" s="150"/>
      <c r="DC29" s="319"/>
      <c r="DD29" s="319"/>
      <c r="DE29" s="319"/>
      <c r="DF29" s="319"/>
      <c r="DG29" s="319"/>
      <c r="DH29" s="319"/>
      <c r="DI29" s="319"/>
      <c r="DJ29" s="319"/>
      <c r="DK29" s="319"/>
      <c r="DL29" s="319"/>
      <c r="DM29" s="319"/>
      <c r="DN29" s="150"/>
      <c r="DO29" s="150"/>
      <c r="DP29" s="319"/>
      <c r="DQ29" s="319"/>
      <c r="DR29" s="319"/>
      <c r="DS29" s="319"/>
      <c r="DT29" s="319"/>
      <c r="DU29" s="319"/>
      <c r="DV29" s="319"/>
      <c r="DW29" s="319"/>
      <c r="DX29" s="319"/>
      <c r="DY29" s="319"/>
      <c r="DZ29" s="319"/>
      <c r="EA29" s="150"/>
      <c r="EB29" s="150"/>
      <c r="EC29" s="319"/>
      <c r="ED29" s="319"/>
      <c r="EE29" s="319"/>
      <c r="EF29" s="319"/>
      <c r="EG29" s="319"/>
      <c r="EH29" s="319"/>
      <c r="EI29" s="319"/>
      <c r="EJ29" s="319"/>
      <c r="EK29" s="319"/>
      <c r="EL29" s="319"/>
      <c r="EM29" s="319"/>
      <c r="EN29" s="150"/>
      <c r="EO29" s="150"/>
      <c r="EP29" s="319"/>
      <c r="EQ29" s="319"/>
      <c r="ER29" s="319"/>
      <c r="ES29" s="319"/>
      <c r="ET29" s="319"/>
      <c r="EU29" s="319"/>
      <c r="EV29" s="319"/>
      <c r="EW29" s="319"/>
      <c r="EX29" s="319"/>
      <c r="EY29" s="319"/>
      <c r="EZ29" s="319"/>
      <c r="FA29" s="150"/>
      <c r="FB29" s="150"/>
      <c r="FC29" s="319"/>
      <c r="FD29" s="319"/>
      <c r="FE29" s="319"/>
      <c r="FF29" s="319"/>
      <c r="FG29" s="319"/>
      <c r="FH29" s="319"/>
      <c r="FI29" s="319"/>
      <c r="FJ29" s="319"/>
      <c r="FK29" s="319"/>
      <c r="FL29" s="319"/>
      <c r="FM29" s="319"/>
      <c r="FN29" s="150"/>
      <c r="FO29" s="150"/>
      <c r="FP29" s="319"/>
      <c r="FQ29" s="319"/>
      <c r="FR29" s="319"/>
      <c r="FS29" s="319"/>
      <c r="FT29" s="319"/>
      <c r="FU29" s="319"/>
      <c r="FV29" s="319"/>
      <c r="FW29" s="319"/>
      <c r="FX29" s="319"/>
      <c r="FY29" s="319"/>
      <c r="FZ29" s="319"/>
      <c r="GA29" s="150"/>
      <c r="GB29" s="150"/>
      <c r="GC29" s="319"/>
      <c r="GD29" s="319"/>
      <c r="GE29" s="319"/>
      <c r="GF29" s="319"/>
      <c r="GG29" s="319"/>
      <c r="GH29" s="319"/>
      <c r="GI29" s="319"/>
      <c r="GJ29" s="319"/>
      <c r="GK29" s="319"/>
      <c r="GL29" s="319"/>
      <c r="GM29" s="319"/>
      <c r="GN29" s="150"/>
      <c r="GO29" s="150"/>
      <c r="GP29" s="319"/>
      <c r="GQ29" s="319"/>
      <c r="GR29" s="319"/>
      <c r="GS29" s="319"/>
      <c r="GT29" s="319"/>
      <c r="GU29" s="319"/>
      <c r="GV29" s="319"/>
      <c r="GW29" s="319"/>
      <c r="GX29" s="319"/>
      <c r="GY29" s="319"/>
      <c r="GZ29" s="319"/>
      <c r="HA29" s="150"/>
      <c r="HB29" s="150"/>
      <c r="HC29" s="319"/>
      <c r="HD29" s="319"/>
      <c r="HE29" s="319"/>
      <c r="HF29" s="319"/>
      <c r="HG29" s="319"/>
      <c r="HH29" s="319"/>
      <c r="HI29" s="319"/>
      <c r="HJ29" s="319"/>
      <c r="HK29" s="319"/>
      <c r="HL29" s="319"/>
      <c r="HM29" s="319"/>
      <c r="HN29" s="150"/>
      <c r="HO29" s="150"/>
      <c r="HP29" s="319"/>
      <c r="HQ29" s="319"/>
      <c r="HR29" s="319"/>
      <c r="HS29" s="319"/>
      <c r="HT29" s="319"/>
      <c r="HU29" s="319"/>
      <c r="HV29" s="319"/>
      <c r="HW29" s="319"/>
      <c r="HX29" s="319"/>
      <c r="HY29" s="319"/>
      <c r="HZ29" s="319"/>
      <c r="IA29" s="150"/>
      <c r="IB29" s="150"/>
      <c r="IC29" s="319"/>
      <c r="ID29" s="319"/>
      <c r="IE29" s="319"/>
      <c r="IF29" s="319"/>
      <c r="IG29" s="319"/>
      <c r="IH29" s="319"/>
      <c r="II29" s="319"/>
      <c r="IJ29" s="319"/>
      <c r="IK29" s="319"/>
      <c r="IL29" s="319"/>
      <c r="IM29" s="319"/>
      <c r="IN29" s="150"/>
      <c r="IO29" s="150"/>
      <c r="IP29" s="319"/>
      <c r="IQ29" s="319"/>
      <c r="IR29" s="319"/>
      <c r="IS29" s="319"/>
      <c r="IT29" s="319"/>
      <c r="IU29" s="319"/>
      <c r="IV29" s="319"/>
    </row>
    <row r="30" spans="1:256">
      <c r="A30" s="159"/>
      <c r="B30" s="150"/>
      <c r="C30" s="319"/>
      <c r="D30" s="319"/>
      <c r="E30" s="319"/>
      <c r="F30" s="319"/>
      <c r="G30" s="319"/>
      <c r="H30" s="319"/>
      <c r="I30" s="319"/>
      <c r="J30" s="319"/>
      <c r="K30" s="319"/>
      <c r="L30" s="319"/>
      <c r="M30" s="320"/>
      <c r="N30" s="153"/>
      <c r="O30" s="153"/>
      <c r="P30" s="324"/>
      <c r="Q30" s="324"/>
      <c r="R30" s="324"/>
      <c r="S30" s="324"/>
      <c r="T30" s="324"/>
      <c r="U30" s="324"/>
      <c r="V30" s="324"/>
      <c r="W30" s="324"/>
      <c r="X30" s="324"/>
      <c r="Y30" s="324"/>
      <c r="Z30" s="324"/>
      <c r="AA30" s="150"/>
      <c r="AB30" s="150"/>
      <c r="AC30" s="319"/>
      <c r="AD30" s="319"/>
      <c r="AE30" s="319"/>
      <c r="AF30" s="319"/>
      <c r="AG30" s="319"/>
      <c r="AH30" s="319"/>
      <c r="AI30" s="319"/>
      <c r="AJ30" s="319"/>
      <c r="AK30" s="319"/>
      <c r="AL30" s="319"/>
      <c r="AM30" s="319"/>
      <c r="AN30" s="150"/>
      <c r="AO30" s="150"/>
      <c r="AP30" s="319"/>
      <c r="AQ30" s="319"/>
      <c r="AR30" s="319"/>
      <c r="AS30" s="319"/>
      <c r="AT30" s="319"/>
      <c r="AU30" s="319"/>
      <c r="AV30" s="319"/>
      <c r="AW30" s="319"/>
      <c r="AX30" s="319"/>
      <c r="AY30" s="319"/>
      <c r="AZ30" s="319"/>
      <c r="BA30" s="150"/>
      <c r="BB30" s="150"/>
      <c r="BC30" s="319"/>
      <c r="BD30" s="319"/>
      <c r="BE30" s="319"/>
      <c r="BF30" s="319"/>
      <c r="BG30" s="319"/>
      <c r="BH30" s="319"/>
      <c r="BI30" s="319"/>
      <c r="BJ30" s="319"/>
      <c r="BK30" s="319"/>
      <c r="BL30" s="319"/>
      <c r="BM30" s="319"/>
      <c r="BN30" s="150"/>
      <c r="BO30" s="150"/>
      <c r="BP30" s="319"/>
      <c r="BQ30" s="319"/>
      <c r="BR30" s="319"/>
      <c r="BS30" s="319"/>
      <c r="BT30" s="319"/>
      <c r="BU30" s="319"/>
      <c r="BV30" s="319"/>
      <c r="BW30" s="319"/>
      <c r="BX30" s="319"/>
      <c r="BY30" s="319"/>
      <c r="BZ30" s="319"/>
      <c r="CA30" s="150"/>
      <c r="CB30" s="150"/>
      <c r="CC30" s="319"/>
      <c r="CD30" s="319"/>
      <c r="CE30" s="319"/>
      <c r="CF30" s="319"/>
      <c r="CG30" s="319"/>
      <c r="CH30" s="319"/>
      <c r="CI30" s="319"/>
      <c r="CJ30" s="319"/>
      <c r="CK30" s="319"/>
      <c r="CL30" s="319"/>
      <c r="CM30" s="319"/>
      <c r="CN30" s="150"/>
      <c r="CO30" s="150"/>
      <c r="CP30" s="319"/>
      <c r="CQ30" s="319"/>
      <c r="CR30" s="319"/>
      <c r="CS30" s="319"/>
      <c r="CT30" s="319"/>
      <c r="CU30" s="319"/>
      <c r="CV30" s="319"/>
      <c r="CW30" s="319"/>
      <c r="CX30" s="319"/>
      <c r="CY30" s="319"/>
      <c r="CZ30" s="319"/>
      <c r="DA30" s="150"/>
      <c r="DB30" s="150"/>
      <c r="DC30" s="319"/>
      <c r="DD30" s="319"/>
      <c r="DE30" s="319"/>
      <c r="DF30" s="319"/>
      <c r="DG30" s="319"/>
      <c r="DH30" s="319"/>
      <c r="DI30" s="319"/>
      <c r="DJ30" s="319"/>
      <c r="DK30" s="319"/>
      <c r="DL30" s="319"/>
      <c r="DM30" s="319"/>
      <c r="DN30" s="150"/>
      <c r="DO30" s="150"/>
      <c r="DP30" s="319"/>
      <c r="DQ30" s="319"/>
      <c r="DR30" s="319"/>
      <c r="DS30" s="319"/>
      <c r="DT30" s="319"/>
      <c r="DU30" s="319"/>
      <c r="DV30" s="319"/>
      <c r="DW30" s="319"/>
      <c r="DX30" s="319"/>
      <c r="DY30" s="319"/>
      <c r="DZ30" s="319"/>
      <c r="EA30" s="150"/>
      <c r="EB30" s="150"/>
      <c r="EC30" s="319"/>
      <c r="ED30" s="319"/>
      <c r="EE30" s="319"/>
      <c r="EF30" s="319"/>
      <c r="EG30" s="319"/>
      <c r="EH30" s="319"/>
      <c r="EI30" s="319"/>
      <c r="EJ30" s="319"/>
      <c r="EK30" s="319"/>
      <c r="EL30" s="319"/>
      <c r="EM30" s="319"/>
      <c r="EN30" s="150"/>
      <c r="EO30" s="150"/>
      <c r="EP30" s="319"/>
      <c r="EQ30" s="319"/>
      <c r="ER30" s="319"/>
      <c r="ES30" s="319"/>
      <c r="ET30" s="319"/>
      <c r="EU30" s="319"/>
      <c r="EV30" s="319"/>
      <c r="EW30" s="319"/>
      <c r="EX30" s="319"/>
      <c r="EY30" s="319"/>
      <c r="EZ30" s="319"/>
      <c r="FA30" s="150"/>
      <c r="FB30" s="150"/>
      <c r="FC30" s="319"/>
      <c r="FD30" s="319"/>
      <c r="FE30" s="319"/>
      <c r="FF30" s="319"/>
      <c r="FG30" s="319"/>
      <c r="FH30" s="319"/>
      <c r="FI30" s="319"/>
      <c r="FJ30" s="319"/>
      <c r="FK30" s="319"/>
      <c r="FL30" s="319"/>
      <c r="FM30" s="319"/>
      <c r="FN30" s="150"/>
      <c r="FO30" s="150"/>
      <c r="FP30" s="319"/>
      <c r="FQ30" s="319"/>
      <c r="FR30" s="319"/>
      <c r="FS30" s="319"/>
      <c r="FT30" s="319"/>
      <c r="FU30" s="319"/>
      <c r="FV30" s="319"/>
      <c r="FW30" s="319"/>
      <c r="FX30" s="319"/>
      <c r="FY30" s="319"/>
      <c r="FZ30" s="319"/>
      <c r="GA30" s="150"/>
      <c r="GB30" s="150"/>
      <c r="GC30" s="319"/>
      <c r="GD30" s="319"/>
      <c r="GE30" s="319"/>
      <c r="GF30" s="319"/>
      <c r="GG30" s="319"/>
      <c r="GH30" s="319"/>
      <c r="GI30" s="319"/>
      <c r="GJ30" s="319"/>
      <c r="GK30" s="319"/>
      <c r="GL30" s="319"/>
      <c r="GM30" s="319"/>
      <c r="GN30" s="150"/>
      <c r="GO30" s="150"/>
      <c r="GP30" s="319"/>
      <c r="GQ30" s="319"/>
      <c r="GR30" s="319"/>
      <c r="GS30" s="319"/>
      <c r="GT30" s="319"/>
      <c r="GU30" s="319"/>
      <c r="GV30" s="319"/>
      <c r="GW30" s="319"/>
      <c r="GX30" s="319"/>
      <c r="GY30" s="319"/>
      <c r="GZ30" s="319"/>
      <c r="HA30" s="150"/>
      <c r="HB30" s="150"/>
      <c r="HC30" s="319"/>
      <c r="HD30" s="319"/>
      <c r="HE30" s="319"/>
      <c r="HF30" s="319"/>
      <c r="HG30" s="319"/>
      <c r="HH30" s="319"/>
      <c r="HI30" s="319"/>
      <c r="HJ30" s="319"/>
      <c r="HK30" s="319"/>
      <c r="HL30" s="319"/>
      <c r="HM30" s="319"/>
      <c r="HN30" s="150"/>
      <c r="HO30" s="150"/>
      <c r="HP30" s="319"/>
      <c r="HQ30" s="319"/>
      <c r="HR30" s="319"/>
      <c r="HS30" s="319"/>
      <c r="HT30" s="319"/>
      <c r="HU30" s="319"/>
      <c r="HV30" s="319"/>
      <c r="HW30" s="319"/>
      <c r="HX30" s="319"/>
      <c r="HY30" s="319"/>
      <c r="HZ30" s="319"/>
      <c r="IA30" s="150"/>
      <c r="IB30" s="150"/>
      <c r="IC30" s="319"/>
      <c r="ID30" s="319"/>
      <c r="IE30" s="319"/>
      <c r="IF30" s="319"/>
      <c r="IG30" s="319"/>
      <c r="IH30" s="319"/>
      <c r="II30" s="319"/>
      <c r="IJ30" s="319"/>
      <c r="IK30" s="319"/>
      <c r="IL30" s="319"/>
      <c r="IM30" s="319"/>
      <c r="IN30" s="150"/>
      <c r="IO30" s="150"/>
      <c r="IP30" s="319"/>
      <c r="IQ30" s="319"/>
      <c r="IR30" s="319"/>
      <c r="IS30" s="319"/>
      <c r="IT30" s="319"/>
      <c r="IU30" s="319"/>
      <c r="IV30" s="319"/>
    </row>
    <row r="31" spans="1:256">
      <c r="A31" s="159"/>
      <c r="B31" s="150"/>
      <c r="C31" s="319"/>
      <c r="D31" s="319"/>
      <c r="E31" s="319"/>
      <c r="F31" s="319"/>
      <c r="G31" s="319"/>
      <c r="H31" s="319"/>
      <c r="I31" s="319"/>
      <c r="J31" s="319"/>
      <c r="K31" s="319"/>
      <c r="L31" s="319"/>
      <c r="M31" s="320"/>
      <c r="N31" s="153"/>
      <c r="O31" s="153"/>
      <c r="P31" s="324"/>
      <c r="Q31" s="324"/>
      <c r="R31" s="324"/>
      <c r="S31" s="324"/>
      <c r="T31" s="324"/>
      <c r="U31" s="324"/>
      <c r="V31" s="324"/>
      <c r="W31" s="324"/>
      <c r="X31" s="324"/>
      <c r="Y31" s="324"/>
      <c r="Z31" s="324"/>
      <c r="AA31" s="150"/>
      <c r="AB31" s="150"/>
      <c r="AC31" s="319"/>
      <c r="AD31" s="319"/>
      <c r="AE31" s="319"/>
      <c r="AF31" s="319"/>
      <c r="AG31" s="319"/>
      <c r="AH31" s="319"/>
      <c r="AI31" s="319"/>
      <c r="AJ31" s="319"/>
      <c r="AK31" s="319"/>
      <c r="AL31" s="319"/>
      <c r="AM31" s="319"/>
      <c r="AN31" s="150"/>
      <c r="AO31" s="150"/>
      <c r="AP31" s="319"/>
      <c r="AQ31" s="319"/>
      <c r="AR31" s="319"/>
      <c r="AS31" s="319"/>
      <c r="AT31" s="319"/>
      <c r="AU31" s="319"/>
      <c r="AV31" s="319"/>
      <c r="AW31" s="319"/>
      <c r="AX31" s="319"/>
      <c r="AY31" s="319"/>
      <c r="AZ31" s="319"/>
      <c r="BA31" s="150"/>
      <c r="BB31" s="150"/>
      <c r="BC31" s="319"/>
      <c r="BD31" s="319"/>
      <c r="BE31" s="319"/>
      <c r="BF31" s="319"/>
      <c r="BG31" s="319"/>
      <c r="BH31" s="319"/>
      <c r="BI31" s="319"/>
      <c r="BJ31" s="319"/>
      <c r="BK31" s="319"/>
      <c r="BL31" s="319"/>
      <c r="BM31" s="319"/>
      <c r="BN31" s="150"/>
      <c r="BO31" s="150"/>
      <c r="BP31" s="319"/>
      <c r="BQ31" s="319"/>
      <c r="BR31" s="319"/>
      <c r="BS31" s="319"/>
      <c r="BT31" s="319"/>
      <c r="BU31" s="319"/>
      <c r="BV31" s="319"/>
      <c r="BW31" s="319"/>
      <c r="BX31" s="319"/>
      <c r="BY31" s="319"/>
      <c r="BZ31" s="319"/>
      <c r="CA31" s="150"/>
      <c r="CB31" s="150"/>
      <c r="CC31" s="319"/>
      <c r="CD31" s="319"/>
      <c r="CE31" s="319"/>
      <c r="CF31" s="319"/>
      <c r="CG31" s="319"/>
      <c r="CH31" s="319"/>
      <c r="CI31" s="319"/>
      <c r="CJ31" s="319"/>
      <c r="CK31" s="319"/>
      <c r="CL31" s="319"/>
      <c r="CM31" s="319"/>
      <c r="CN31" s="150"/>
      <c r="CO31" s="150"/>
      <c r="CP31" s="319"/>
      <c r="CQ31" s="319"/>
      <c r="CR31" s="319"/>
      <c r="CS31" s="319"/>
      <c r="CT31" s="319"/>
      <c r="CU31" s="319"/>
      <c r="CV31" s="319"/>
      <c r="CW31" s="319"/>
      <c r="CX31" s="319"/>
      <c r="CY31" s="319"/>
      <c r="CZ31" s="319"/>
      <c r="DA31" s="150"/>
      <c r="DB31" s="150"/>
      <c r="DC31" s="319"/>
      <c r="DD31" s="319"/>
      <c r="DE31" s="319"/>
      <c r="DF31" s="319"/>
      <c r="DG31" s="319"/>
      <c r="DH31" s="319"/>
      <c r="DI31" s="319"/>
      <c r="DJ31" s="319"/>
      <c r="DK31" s="319"/>
      <c r="DL31" s="319"/>
      <c r="DM31" s="319"/>
      <c r="DN31" s="150"/>
      <c r="DO31" s="150"/>
      <c r="DP31" s="319"/>
      <c r="DQ31" s="319"/>
      <c r="DR31" s="319"/>
      <c r="DS31" s="319"/>
      <c r="DT31" s="319"/>
      <c r="DU31" s="319"/>
      <c r="DV31" s="319"/>
      <c r="DW31" s="319"/>
      <c r="DX31" s="319"/>
      <c r="DY31" s="319"/>
      <c r="DZ31" s="319"/>
      <c r="EA31" s="150"/>
      <c r="EB31" s="150"/>
      <c r="EC31" s="319"/>
      <c r="ED31" s="319"/>
      <c r="EE31" s="319"/>
      <c r="EF31" s="319"/>
      <c r="EG31" s="319"/>
      <c r="EH31" s="319"/>
      <c r="EI31" s="319"/>
      <c r="EJ31" s="319"/>
      <c r="EK31" s="319"/>
      <c r="EL31" s="319"/>
      <c r="EM31" s="319"/>
      <c r="EN31" s="150"/>
      <c r="EO31" s="150"/>
      <c r="EP31" s="319"/>
      <c r="EQ31" s="319"/>
      <c r="ER31" s="319"/>
      <c r="ES31" s="319"/>
      <c r="ET31" s="319"/>
      <c r="EU31" s="319"/>
      <c r="EV31" s="319"/>
      <c r="EW31" s="319"/>
      <c r="EX31" s="319"/>
      <c r="EY31" s="319"/>
      <c r="EZ31" s="319"/>
      <c r="FA31" s="150"/>
      <c r="FB31" s="150"/>
      <c r="FC31" s="319"/>
      <c r="FD31" s="319"/>
      <c r="FE31" s="319"/>
      <c r="FF31" s="319"/>
      <c r="FG31" s="319"/>
      <c r="FH31" s="319"/>
      <c r="FI31" s="319"/>
      <c r="FJ31" s="319"/>
      <c r="FK31" s="319"/>
      <c r="FL31" s="319"/>
      <c r="FM31" s="319"/>
      <c r="FN31" s="150"/>
      <c r="FO31" s="150"/>
      <c r="FP31" s="319"/>
      <c r="FQ31" s="319"/>
      <c r="FR31" s="319"/>
      <c r="FS31" s="319"/>
      <c r="FT31" s="319"/>
      <c r="FU31" s="319"/>
      <c r="FV31" s="319"/>
      <c r="FW31" s="319"/>
      <c r="FX31" s="319"/>
      <c r="FY31" s="319"/>
      <c r="FZ31" s="319"/>
      <c r="GA31" s="150"/>
      <c r="GB31" s="150"/>
      <c r="GC31" s="319"/>
      <c r="GD31" s="319"/>
      <c r="GE31" s="319"/>
      <c r="GF31" s="319"/>
      <c r="GG31" s="319"/>
      <c r="GH31" s="319"/>
      <c r="GI31" s="319"/>
      <c r="GJ31" s="319"/>
      <c r="GK31" s="319"/>
      <c r="GL31" s="319"/>
      <c r="GM31" s="319"/>
      <c r="GN31" s="150"/>
      <c r="GO31" s="150"/>
      <c r="GP31" s="319"/>
      <c r="GQ31" s="319"/>
      <c r="GR31" s="319"/>
      <c r="GS31" s="319"/>
      <c r="GT31" s="319"/>
      <c r="GU31" s="319"/>
      <c r="GV31" s="319"/>
      <c r="GW31" s="319"/>
      <c r="GX31" s="319"/>
      <c r="GY31" s="319"/>
      <c r="GZ31" s="319"/>
      <c r="HA31" s="150"/>
      <c r="HB31" s="150"/>
      <c r="HC31" s="319"/>
      <c r="HD31" s="319"/>
      <c r="HE31" s="319"/>
      <c r="HF31" s="319"/>
      <c r="HG31" s="319"/>
      <c r="HH31" s="319"/>
      <c r="HI31" s="319"/>
      <c r="HJ31" s="319"/>
      <c r="HK31" s="319"/>
      <c r="HL31" s="319"/>
      <c r="HM31" s="319"/>
      <c r="HN31" s="150"/>
      <c r="HO31" s="150"/>
      <c r="HP31" s="319"/>
      <c r="HQ31" s="319"/>
      <c r="HR31" s="319"/>
      <c r="HS31" s="319"/>
      <c r="HT31" s="319"/>
      <c r="HU31" s="319"/>
      <c r="HV31" s="319"/>
      <c r="HW31" s="319"/>
      <c r="HX31" s="319"/>
      <c r="HY31" s="319"/>
      <c r="HZ31" s="319"/>
      <c r="IA31" s="150"/>
      <c r="IB31" s="150"/>
      <c r="IC31" s="319"/>
      <c r="ID31" s="319"/>
      <c r="IE31" s="319"/>
      <c r="IF31" s="319"/>
      <c r="IG31" s="319"/>
      <c r="IH31" s="319"/>
      <c r="II31" s="319"/>
      <c r="IJ31" s="319"/>
      <c r="IK31" s="319"/>
      <c r="IL31" s="319"/>
      <c r="IM31" s="319"/>
      <c r="IN31" s="150"/>
      <c r="IO31" s="150"/>
      <c r="IP31" s="319"/>
      <c r="IQ31" s="319"/>
      <c r="IR31" s="319"/>
      <c r="IS31" s="319"/>
      <c r="IT31" s="319"/>
      <c r="IU31" s="319"/>
      <c r="IV31" s="319"/>
    </row>
    <row r="32" spans="1:256">
      <c r="A32" s="159"/>
      <c r="B32" s="150"/>
      <c r="C32" s="319"/>
      <c r="D32" s="319"/>
      <c r="E32" s="319"/>
      <c r="F32" s="319"/>
      <c r="G32" s="319"/>
      <c r="H32" s="319"/>
      <c r="I32" s="319"/>
      <c r="J32" s="319"/>
      <c r="K32" s="319"/>
      <c r="L32" s="319"/>
      <c r="M32" s="320"/>
      <c r="N32" s="153"/>
      <c r="O32" s="153"/>
      <c r="P32" s="324"/>
      <c r="Q32" s="324"/>
      <c r="R32" s="324"/>
      <c r="S32" s="324"/>
      <c r="T32" s="324"/>
      <c r="U32" s="324"/>
      <c r="V32" s="324"/>
      <c r="W32" s="324"/>
      <c r="X32" s="324"/>
      <c r="Y32" s="324"/>
      <c r="Z32" s="325"/>
      <c r="AA32" s="159"/>
      <c r="AB32" s="150"/>
      <c r="AC32" s="319"/>
      <c r="AD32" s="319"/>
      <c r="AE32" s="319"/>
      <c r="AF32" s="319"/>
      <c r="AG32" s="319"/>
      <c r="AH32" s="319"/>
      <c r="AI32" s="319"/>
      <c r="AJ32" s="319"/>
      <c r="AK32" s="319"/>
      <c r="AL32" s="319"/>
      <c r="AM32" s="320"/>
      <c r="AN32" s="159"/>
      <c r="AO32" s="150"/>
      <c r="AP32" s="319"/>
      <c r="AQ32" s="319"/>
      <c r="AR32" s="319"/>
      <c r="AS32" s="319"/>
      <c r="AT32" s="319"/>
      <c r="AU32" s="319"/>
      <c r="AV32" s="319"/>
      <c r="AW32" s="319"/>
      <c r="AX32" s="319"/>
      <c r="AY32" s="319"/>
      <c r="AZ32" s="320"/>
      <c r="BA32" s="159"/>
      <c r="BB32" s="150"/>
      <c r="BC32" s="319"/>
      <c r="BD32" s="319"/>
      <c r="BE32" s="319"/>
      <c r="BF32" s="319"/>
      <c r="BG32" s="319"/>
      <c r="BH32" s="319"/>
      <c r="BI32" s="319"/>
      <c r="BJ32" s="319"/>
      <c r="BK32" s="319"/>
      <c r="BL32" s="319"/>
      <c r="BM32" s="320"/>
      <c r="BN32" s="159"/>
      <c r="BO32" s="150"/>
      <c r="BP32" s="319"/>
      <c r="BQ32" s="319"/>
      <c r="BR32" s="319"/>
      <c r="BS32" s="319"/>
      <c r="BT32" s="319"/>
      <c r="BU32" s="319"/>
      <c r="BV32" s="319"/>
      <c r="BW32" s="319"/>
      <c r="BX32" s="319"/>
      <c r="BY32" s="319"/>
      <c r="BZ32" s="320"/>
      <c r="CA32" s="159"/>
      <c r="CB32" s="150"/>
      <c r="CC32" s="319"/>
      <c r="CD32" s="319"/>
      <c r="CE32" s="319"/>
      <c r="CF32" s="319"/>
      <c r="CG32" s="319"/>
      <c r="CH32" s="319"/>
      <c r="CI32" s="319"/>
      <c r="CJ32" s="319"/>
      <c r="CK32" s="319"/>
      <c r="CL32" s="319"/>
      <c r="CM32" s="320"/>
      <c r="CN32" s="159"/>
      <c r="CO32" s="150"/>
      <c r="CP32" s="319"/>
      <c r="CQ32" s="319"/>
      <c r="CR32" s="319"/>
      <c r="CS32" s="319"/>
      <c r="CT32" s="319"/>
      <c r="CU32" s="319"/>
      <c r="CV32" s="319"/>
      <c r="CW32" s="319"/>
      <c r="CX32" s="319"/>
      <c r="CY32" s="319"/>
      <c r="CZ32" s="320"/>
      <c r="DA32" s="159"/>
      <c r="DB32" s="150"/>
      <c r="DC32" s="319"/>
      <c r="DD32" s="319"/>
      <c r="DE32" s="319"/>
      <c r="DF32" s="319"/>
      <c r="DG32" s="319"/>
      <c r="DH32" s="319"/>
      <c r="DI32" s="319"/>
      <c r="DJ32" s="319"/>
      <c r="DK32" s="319"/>
      <c r="DL32" s="319"/>
      <c r="DM32" s="320"/>
      <c r="DN32" s="159"/>
      <c r="DO32" s="150"/>
      <c r="DP32" s="319"/>
      <c r="DQ32" s="319"/>
      <c r="DR32" s="319"/>
      <c r="DS32" s="319"/>
      <c r="DT32" s="319"/>
      <c r="DU32" s="319"/>
      <c r="DV32" s="319"/>
      <c r="DW32" s="319"/>
      <c r="DX32" s="319"/>
      <c r="DY32" s="319"/>
      <c r="DZ32" s="320"/>
      <c r="EA32" s="159"/>
      <c r="EB32" s="150"/>
      <c r="EC32" s="319"/>
      <c r="ED32" s="319"/>
      <c r="EE32" s="319"/>
      <c r="EF32" s="319"/>
      <c r="EG32" s="319"/>
      <c r="EH32" s="319"/>
      <c r="EI32" s="319"/>
      <c r="EJ32" s="319"/>
      <c r="EK32" s="319"/>
      <c r="EL32" s="319"/>
      <c r="EM32" s="320"/>
      <c r="EN32" s="159"/>
      <c r="EO32" s="150"/>
      <c r="EP32" s="319"/>
      <c r="EQ32" s="319"/>
      <c r="ER32" s="319"/>
      <c r="ES32" s="319"/>
      <c r="ET32" s="319"/>
      <c r="EU32" s="319"/>
      <c r="EV32" s="319"/>
      <c r="EW32" s="319"/>
      <c r="EX32" s="319"/>
      <c r="EY32" s="319"/>
      <c r="EZ32" s="320"/>
      <c r="FA32" s="159"/>
      <c r="FB32" s="150"/>
      <c r="FC32" s="319"/>
      <c r="FD32" s="319"/>
      <c r="FE32" s="319"/>
      <c r="FF32" s="319"/>
      <c r="FG32" s="319"/>
      <c r="FH32" s="319"/>
      <c r="FI32" s="319"/>
      <c r="FJ32" s="319"/>
      <c r="FK32" s="319"/>
      <c r="FL32" s="319"/>
      <c r="FM32" s="320"/>
      <c r="FN32" s="159"/>
      <c r="FO32" s="150"/>
      <c r="FP32" s="319"/>
      <c r="FQ32" s="319"/>
      <c r="FR32" s="319"/>
      <c r="FS32" s="319"/>
      <c r="FT32" s="319"/>
      <c r="FU32" s="319"/>
      <c r="FV32" s="319"/>
      <c r="FW32" s="319"/>
      <c r="FX32" s="319"/>
      <c r="FY32" s="319"/>
      <c r="FZ32" s="320"/>
      <c r="GA32" s="159"/>
      <c r="GB32" s="150"/>
      <c r="GC32" s="319"/>
      <c r="GD32" s="319"/>
      <c r="GE32" s="319"/>
      <c r="GF32" s="319"/>
      <c r="GG32" s="319"/>
      <c r="GH32" s="319"/>
      <c r="GI32" s="319"/>
      <c r="GJ32" s="319"/>
      <c r="GK32" s="319"/>
      <c r="GL32" s="319"/>
      <c r="GM32" s="320"/>
      <c r="GN32" s="159"/>
      <c r="GO32" s="150"/>
      <c r="GP32" s="319"/>
      <c r="GQ32" s="319"/>
      <c r="GR32" s="319"/>
      <c r="GS32" s="319"/>
      <c r="GT32" s="319"/>
      <c r="GU32" s="319"/>
      <c r="GV32" s="319"/>
      <c r="GW32" s="319"/>
      <c r="GX32" s="319"/>
      <c r="GY32" s="319"/>
      <c r="GZ32" s="320"/>
      <c r="HA32" s="159"/>
      <c r="HB32" s="150"/>
      <c r="HC32" s="319"/>
      <c r="HD32" s="319"/>
      <c r="HE32" s="319"/>
      <c r="HF32" s="319"/>
      <c r="HG32" s="319"/>
      <c r="HH32" s="319"/>
      <c r="HI32" s="319"/>
      <c r="HJ32" s="319"/>
      <c r="HK32" s="319"/>
      <c r="HL32" s="319"/>
      <c r="HM32" s="320"/>
      <c r="HN32" s="159"/>
      <c r="HO32" s="150"/>
      <c r="HP32" s="319"/>
      <c r="HQ32" s="319"/>
      <c r="HR32" s="319"/>
      <c r="HS32" s="319"/>
      <c r="HT32" s="319"/>
      <c r="HU32" s="319"/>
      <c r="HV32" s="319"/>
      <c r="HW32" s="319"/>
      <c r="HX32" s="319"/>
      <c r="HY32" s="319"/>
      <c r="HZ32" s="320"/>
      <c r="IA32" s="159"/>
      <c r="IB32" s="150"/>
      <c r="IC32" s="319"/>
      <c r="ID32" s="319"/>
      <c r="IE32" s="319"/>
      <c r="IF32" s="319"/>
      <c r="IG32" s="319"/>
      <c r="IH32" s="319"/>
      <c r="II32" s="319"/>
      <c r="IJ32" s="319"/>
      <c r="IK32" s="319"/>
      <c r="IL32" s="319"/>
      <c r="IM32" s="320"/>
      <c r="IN32" s="159"/>
      <c r="IO32" s="150"/>
      <c r="IP32" s="319"/>
      <c r="IQ32" s="319"/>
      <c r="IR32" s="319"/>
      <c r="IS32" s="319"/>
      <c r="IT32" s="319"/>
      <c r="IU32" s="319"/>
      <c r="IV32" s="319"/>
    </row>
    <row r="33" spans="1:256">
      <c r="A33" s="159"/>
      <c r="B33" s="150"/>
      <c r="C33" s="319"/>
      <c r="D33" s="319"/>
      <c r="E33" s="319"/>
      <c r="F33" s="319"/>
      <c r="G33" s="319"/>
      <c r="H33" s="319"/>
      <c r="I33" s="319"/>
      <c r="J33" s="319"/>
      <c r="K33" s="319"/>
      <c r="L33" s="319"/>
      <c r="M33" s="32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c r="A34" s="159"/>
      <c r="B34" s="150"/>
      <c r="C34" s="319"/>
      <c r="D34" s="319"/>
      <c r="E34" s="319"/>
      <c r="F34" s="319"/>
      <c r="G34" s="319"/>
      <c r="H34" s="319"/>
      <c r="I34" s="319"/>
      <c r="J34" s="319"/>
      <c r="K34" s="319"/>
      <c r="L34" s="319"/>
      <c r="M34" s="32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c r="A35" s="159"/>
      <c r="B35" s="150"/>
      <c r="C35" s="319"/>
      <c r="D35" s="319"/>
      <c r="E35" s="319"/>
      <c r="F35" s="319"/>
      <c r="G35" s="319"/>
      <c r="H35" s="319"/>
      <c r="I35" s="319"/>
      <c r="J35" s="319"/>
      <c r="K35" s="319"/>
      <c r="L35" s="319"/>
      <c r="M35" s="32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c r="A36" s="159"/>
      <c r="B36" s="150"/>
      <c r="C36" s="319"/>
      <c r="D36" s="319"/>
      <c r="E36" s="319"/>
      <c r="F36" s="319"/>
      <c r="G36" s="319"/>
      <c r="H36" s="319"/>
      <c r="I36" s="319"/>
      <c r="J36" s="319"/>
      <c r="K36" s="319"/>
      <c r="L36" s="319"/>
      <c r="M36" s="32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c r="A37" s="159"/>
      <c r="B37" s="150"/>
      <c r="C37" s="319"/>
      <c r="D37" s="319"/>
      <c r="E37" s="319"/>
      <c r="F37" s="319"/>
      <c r="G37" s="319"/>
      <c r="H37" s="319"/>
      <c r="I37" s="319"/>
      <c r="J37" s="319"/>
      <c r="K37" s="319"/>
      <c r="L37" s="319"/>
      <c r="M37" s="32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c r="A38" s="159"/>
      <c r="B38" s="150"/>
      <c r="C38" s="319"/>
      <c r="D38" s="319"/>
      <c r="E38" s="319"/>
      <c r="F38" s="319"/>
      <c r="G38" s="319"/>
      <c r="H38" s="319"/>
      <c r="I38" s="319"/>
      <c r="J38" s="319"/>
      <c r="K38" s="319"/>
      <c r="L38" s="319"/>
      <c r="M38" s="320"/>
      <c r="N38" s="153"/>
      <c r="O38" s="153"/>
      <c r="P38" s="324"/>
      <c r="Q38" s="324"/>
      <c r="R38" s="324"/>
      <c r="S38" s="324"/>
      <c r="T38" s="324"/>
      <c r="U38" s="324"/>
      <c r="V38" s="324"/>
      <c r="W38" s="324"/>
      <c r="X38" s="324"/>
      <c r="Y38" s="324"/>
      <c r="Z38" s="324"/>
      <c r="AA38" s="150"/>
      <c r="AB38" s="150"/>
      <c r="AC38" s="319"/>
      <c r="AD38" s="319"/>
      <c r="AE38" s="319"/>
      <c r="AF38" s="319"/>
      <c r="AG38" s="319"/>
      <c r="AH38" s="319"/>
      <c r="AI38" s="319"/>
      <c r="AJ38" s="319"/>
      <c r="AK38" s="319"/>
      <c r="AL38" s="319"/>
      <c r="AM38" s="319"/>
      <c r="AN38" s="150"/>
      <c r="AO38" s="150"/>
      <c r="AP38" s="319"/>
      <c r="AQ38" s="319"/>
      <c r="AR38" s="319"/>
      <c r="AS38" s="319"/>
      <c r="AT38" s="319"/>
      <c r="AU38" s="319"/>
      <c r="AV38" s="319"/>
      <c r="AW38" s="319"/>
      <c r="AX38" s="319"/>
      <c r="AY38" s="319"/>
      <c r="AZ38" s="319"/>
      <c r="BA38" s="150"/>
      <c r="BB38" s="150"/>
      <c r="BC38" s="319"/>
      <c r="BD38" s="319"/>
      <c r="BE38" s="319"/>
      <c r="BF38" s="319"/>
      <c r="BG38" s="319"/>
      <c r="BH38" s="319"/>
      <c r="BI38" s="319"/>
      <c r="BJ38" s="319"/>
      <c r="BK38" s="319"/>
      <c r="BL38" s="319"/>
      <c r="BM38" s="319"/>
      <c r="BN38" s="150"/>
      <c r="BO38" s="150"/>
      <c r="BP38" s="319"/>
      <c r="BQ38" s="319"/>
      <c r="BR38" s="319"/>
      <c r="BS38" s="319"/>
      <c r="BT38" s="319"/>
      <c r="BU38" s="319"/>
      <c r="BV38" s="319"/>
      <c r="BW38" s="319"/>
      <c r="BX38" s="319"/>
      <c r="BY38" s="319"/>
      <c r="BZ38" s="319"/>
      <c r="CA38" s="150"/>
      <c r="CB38" s="150"/>
      <c r="CC38" s="319"/>
      <c r="CD38" s="319"/>
      <c r="CE38" s="319"/>
      <c r="CF38" s="319"/>
      <c r="CG38" s="319"/>
      <c r="CH38" s="319"/>
      <c r="CI38" s="319"/>
      <c r="CJ38" s="319"/>
      <c r="CK38" s="319"/>
      <c r="CL38" s="319"/>
      <c r="CM38" s="319"/>
      <c r="CN38" s="150"/>
      <c r="CO38" s="150"/>
      <c r="CP38" s="319"/>
      <c r="CQ38" s="319"/>
      <c r="CR38" s="319"/>
      <c r="CS38" s="319"/>
      <c r="CT38" s="319"/>
      <c r="CU38" s="319"/>
      <c r="CV38" s="319"/>
      <c r="CW38" s="319"/>
      <c r="CX38" s="319"/>
      <c r="CY38" s="319"/>
      <c r="CZ38" s="319"/>
      <c r="DA38" s="150"/>
      <c r="DB38" s="150"/>
      <c r="DC38" s="319"/>
      <c r="DD38" s="319"/>
      <c r="DE38" s="319"/>
      <c r="DF38" s="319"/>
      <c r="DG38" s="319"/>
      <c r="DH38" s="319"/>
      <c r="DI38" s="319"/>
      <c r="DJ38" s="319"/>
      <c r="DK38" s="319"/>
      <c r="DL38" s="319"/>
      <c r="DM38" s="319"/>
      <c r="DN38" s="150"/>
      <c r="DO38" s="150"/>
      <c r="DP38" s="319"/>
      <c r="DQ38" s="319"/>
      <c r="DR38" s="319"/>
      <c r="DS38" s="319"/>
      <c r="DT38" s="319"/>
      <c r="DU38" s="319"/>
      <c r="DV38" s="319"/>
      <c r="DW38" s="319"/>
      <c r="DX38" s="319"/>
      <c r="DY38" s="319"/>
      <c r="DZ38" s="319"/>
      <c r="EA38" s="150"/>
      <c r="EB38" s="150"/>
      <c r="EC38" s="319"/>
      <c r="ED38" s="319"/>
      <c r="EE38" s="319"/>
      <c r="EF38" s="319"/>
      <c r="EG38" s="319"/>
      <c r="EH38" s="319"/>
      <c r="EI38" s="319"/>
      <c r="EJ38" s="319"/>
      <c r="EK38" s="319"/>
      <c r="EL38" s="319"/>
      <c r="EM38" s="319"/>
      <c r="EN38" s="150"/>
      <c r="EO38" s="150"/>
      <c r="EP38" s="319"/>
      <c r="EQ38" s="319"/>
      <c r="ER38" s="319"/>
      <c r="ES38" s="319"/>
      <c r="ET38" s="319"/>
      <c r="EU38" s="319"/>
      <c r="EV38" s="319"/>
      <c r="EW38" s="319"/>
      <c r="EX38" s="319"/>
      <c r="EY38" s="319"/>
      <c r="EZ38" s="319"/>
      <c r="FA38" s="150"/>
      <c r="FB38" s="150"/>
      <c r="FC38" s="319"/>
      <c r="FD38" s="319"/>
      <c r="FE38" s="319"/>
      <c r="FF38" s="319"/>
      <c r="FG38" s="319"/>
      <c r="FH38" s="319"/>
      <c r="FI38" s="319"/>
      <c r="FJ38" s="319"/>
      <c r="FK38" s="319"/>
      <c r="FL38" s="319"/>
      <c r="FM38" s="319"/>
      <c r="FN38" s="150"/>
      <c r="FO38" s="150"/>
      <c r="FP38" s="319"/>
      <c r="FQ38" s="319"/>
      <c r="FR38" s="319"/>
      <c r="FS38" s="319"/>
      <c r="FT38" s="319"/>
      <c r="FU38" s="319"/>
      <c r="FV38" s="319"/>
      <c r="FW38" s="319"/>
      <c r="FX38" s="319"/>
      <c r="FY38" s="319"/>
      <c r="FZ38" s="319"/>
      <c r="GA38" s="150"/>
      <c r="GB38" s="150"/>
      <c r="GC38" s="319"/>
      <c r="GD38" s="319"/>
      <c r="GE38" s="319"/>
      <c r="GF38" s="319"/>
      <c r="GG38" s="319"/>
      <c r="GH38" s="319"/>
      <c r="GI38" s="319"/>
      <c r="GJ38" s="319"/>
      <c r="GK38" s="319"/>
      <c r="GL38" s="319"/>
      <c r="GM38" s="319"/>
      <c r="GN38" s="150"/>
      <c r="GO38" s="150"/>
      <c r="GP38" s="319"/>
      <c r="GQ38" s="319"/>
      <c r="GR38" s="319"/>
      <c r="GS38" s="319"/>
      <c r="GT38" s="319"/>
      <c r="GU38" s="319"/>
      <c r="GV38" s="319"/>
      <c r="GW38" s="319"/>
      <c r="GX38" s="319"/>
      <c r="GY38" s="319"/>
      <c r="GZ38" s="319"/>
      <c r="HA38" s="150"/>
      <c r="HB38" s="150"/>
      <c r="HC38" s="319"/>
      <c r="HD38" s="319"/>
      <c r="HE38" s="319"/>
      <c r="HF38" s="319"/>
      <c r="HG38" s="319"/>
      <c r="HH38" s="319"/>
      <c r="HI38" s="319"/>
      <c r="HJ38" s="319"/>
      <c r="HK38" s="319"/>
      <c r="HL38" s="319"/>
      <c r="HM38" s="319"/>
      <c r="HN38" s="150"/>
      <c r="HO38" s="150"/>
      <c r="HP38" s="319"/>
      <c r="HQ38" s="319"/>
      <c r="HR38" s="319"/>
      <c r="HS38" s="319"/>
      <c r="HT38" s="319"/>
      <c r="HU38" s="319"/>
      <c r="HV38" s="319"/>
      <c r="HW38" s="319"/>
      <c r="HX38" s="319"/>
      <c r="HY38" s="319"/>
      <c r="HZ38" s="319"/>
      <c r="IA38" s="150"/>
      <c r="IB38" s="150"/>
      <c r="IC38" s="319"/>
      <c r="ID38" s="319"/>
      <c r="IE38" s="319"/>
      <c r="IF38" s="319"/>
      <c r="IG38" s="319"/>
      <c r="IH38" s="319"/>
      <c r="II38" s="319"/>
      <c r="IJ38" s="319"/>
      <c r="IK38" s="319"/>
      <c r="IL38" s="319"/>
      <c r="IM38" s="319"/>
      <c r="IN38" s="150"/>
      <c r="IO38" s="150"/>
      <c r="IP38" s="319"/>
      <c r="IQ38" s="319"/>
      <c r="IR38" s="319"/>
      <c r="IS38" s="319"/>
      <c r="IT38" s="319"/>
      <c r="IU38" s="319"/>
      <c r="IV38" s="319"/>
    </row>
    <row r="39" spans="1:256">
      <c r="A39" s="159"/>
      <c r="B39" s="150"/>
      <c r="C39" s="319"/>
      <c r="D39" s="319"/>
      <c r="E39" s="319"/>
      <c r="F39" s="319"/>
      <c r="G39" s="319"/>
      <c r="H39" s="319"/>
      <c r="I39" s="319"/>
      <c r="J39" s="319"/>
      <c r="K39" s="319"/>
      <c r="L39" s="319"/>
      <c r="M39" s="320"/>
      <c r="N39" s="153"/>
      <c r="O39" s="153"/>
      <c r="P39" s="324"/>
      <c r="Q39" s="324"/>
      <c r="R39" s="324"/>
      <c r="S39" s="324"/>
      <c r="T39" s="324"/>
      <c r="U39" s="324"/>
      <c r="V39" s="324"/>
      <c r="W39" s="324"/>
      <c r="X39" s="324"/>
      <c r="Y39" s="324"/>
      <c r="Z39" s="324"/>
      <c r="AA39" s="150"/>
      <c r="AB39" s="150"/>
      <c r="AC39" s="319"/>
      <c r="AD39" s="319"/>
      <c r="AE39" s="319"/>
      <c r="AF39" s="319"/>
      <c r="AG39" s="319"/>
      <c r="AH39" s="319"/>
      <c r="AI39" s="319"/>
      <c r="AJ39" s="319"/>
      <c r="AK39" s="319"/>
      <c r="AL39" s="319"/>
      <c r="AM39" s="319"/>
      <c r="AN39" s="150"/>
      <c r="AO39" s="150"/>
      <c r="AP39" s="319"/>
      <c r="AQ39" s="319"/>
      <c r="AR39" s="319"/>
      <c r="AS39" s="319"/>
      <c r="AT39" s="319"/>
      <c r="AU39" s="319"/>
      <c r="AV39" s="319"/>
      <c r="AW39" s="319"/>
      <c r="AX39" s="319"/>
      <c r="AY39" s="319"/>
      <c r="AZ39" s="319"/>
      <c r="BA39" s="150"/>
      <c r="BB39" s="150"/>
      <c r="BC39" s="319"/>
      <c r="BD39" s="319"/>
      <c r="BE39" s="319"/>
      <c r="BF39" s="319"/>
      <c r="BG39" s="319"/>
      <c r="BH39" s="319"/>
      <c r="BI39" s="319"/>
      <c r="BJ39" s="319"/>
      <c r="BK39" s="319"/>
      <c r="BL39" s="319"/>
      <c r="BM39" s="319"/>
      <c r="BN39" s="150"/>
      <c r="BO39" s="150"/>
      <c r="BP39" s="319"/>
      <c r="BQ39" s="319"/>
      <c r="BR39" s="319"/>
      <c r="BS39" s="319"/>
      <c r="BT39" s="319"/>
      <c r="BU39" s="319"/>
      <c r="BV39" s="319"/>
      <c r="BW39" s="319"/>
      <c r="BX39" s="319"/>
      <c r="BY39" s="319"/>
      <c r="BZ39" s="319"/>
      <c r="CA39" s="150"/>
      <c r="CB39" s="150"/>
      <c r="CC39" s="319"/>
      <c r="CD39" s="319"/>
      <c r="CE39" s="319"/>
      <c r="CF39" s="319"/>
      <c r="CG39" s="319"/>
      <c r="CH39" s="319"/>
      <c r="CI39" s="319"/>
      <c r="CJ39" s="319"/>
      <c r="CK39" s="319"/>
      <c r="CL39" s="319"/>
      <c r="CM39" s="319"/>
      <c r="CN39" s="150"/>
      <c r="CO39" s="150"/>
      <c r="CP39" s="319"/>
      <c r="CQ39" s="319"/>
      <c r="CR39" s="319"/>
      <c r="CS39" s="319"/>
      <c r="CT39" s="319"/>
      <c r="CU39" s="319"/>
      <c r="CV39" s="319"/>
      <c r="CW39" s="319"/>
      <c r="CX39" s="319"/>
      <c r="CY39" s="319"/>
      <c r="CZ39" s="319"/>
      <c r="DA39" s="150"/>
      <c r="DB39" s="150"/>
      <c r="DC39" s="319"/>
      <c r="DD39" s="319"/>
      <c r="DE39" s="319"/>
      <c r="DF39" s="319"/>
      <c r="DG39" s="319"/>
      <c r="DH39" s="319"/>
      <c r="DI39" s="319"/>
      <c r="DJ39" s="319"/>
      <c r="DK39" s="319"/>
      <c r="DL39" s="319"/>
      <c r="DM39" s="319"/>
      <c r="DN39" s="150"/>
      <c r="DO39" s="150"/>
      <c r="DP39" s="319"/>
      <c r="DQ39" s="319"/>
      <c r="DR39" s="319"/>
      <c r="DS39" s="319"/>
      <c r="DT39" s="319"/>
      <c r="DU39" s="319"/>
      <c r="DV39" s="319"/>
      <c r="DW39" s="319"/>
      <c r="DX39" s="319"/>
      <c r="DY39" s="319"/>
      <c r="DZ39" s="319"/>
      <c r="EA39" s="150"/>
      <c r="EB39" s="150"/>
      <c r="EC39" s="319"/>
      <c r="ED39" s="319"/>
      <c r="EE39" s="319"/>
      <c r="EF39" s="319"/>
      <c r="EG39" s="319"/>
      <c r="EH39" s="319"/>
      <c r="EI39" s="319"/>
      <c r="EJ39" s="319"/>
      <c r="EK39" s="319"/>
      <c r="EL39" s="319"/>
      <c r="EM39" s="319"/>
      <c r="EN39" s="150"/>
      <c r="EO39" s="150"/>
      <c r="EP39" s="319"/>
      <c r="EQ39" s="319"/>
      <c r="ER39" s="319"/>
      <c r="ES39" s="319"/>
      <c r="ET39" s="319"/>
      <c r="EU39" s="319"/>
      <c r="EV39" s="319"/>
      <c r="EW39" s="319"/>
      <c r="EX39" s="319"/>
      <c r="EY39" s="319"/>
      <c r="EZ39" s="319"/>
      <c r="FA39" s="150"/>
      <c r="FB39" s="150"/>
      <c r="FC39" s="319"/>
      <c r="FD39" s="319"/>
      <c r="FE39" s="319"/>
      <c r="FF39" s="319"/>
      <c r="FG39" s="319"/>
      <c r="FH39" s="319"/>
      <c r="FI39" s="319"/>
      <c r="FJ39" s="319"/>
      <c r="FK39" s="319"/>
      <c r="FL39" s="319"/>
      <c r="FM39" s="319"/>
      <c r="FN39" s="150"/>
      <c r="FO39" s="150"/>
      <c r="FP39" s="319"/>
      <c r="FQ39" s="319"/>
      <c r="FR39" s="319"/>
      <c r="FS39" s="319"/>
      <c r="FT39" s="319"/>
      <c r="FU39" s="319"/>
      <c r="FV39" s="319"/>
      <c r="FW39" s="319"/>
      <c r="FX39" s="319"/>
      <c r="FY39" s="319"/>
      <c r="FZ39" s="319"/>
      <c r="GA39" s="150"/>
      <c r="GB39" s="150"/>
      <c r="GC39" s="319"/>
      <c r="GD39" s="319"/>
      <c r="GE39" s="319"/>
      <c r="GF39" s="319"/>
      <c r="GG39" s="319"/>
      <c r="GH39" s="319"/>
      <c r="GI39" s="319"/>
      <c r="GJ39" s="319"/>
      <c r="GK39" s="319"/>
      <c r="GL39" s="319"/>
      <c r="GM39" s="319"/>
      <c r="GN39" s="150"/>
      <c r="GO39" s="150"/>
      <c r="GP39" s="319"/>
      <c r="GQ39" s="319"/>
      <c r="GR39" s="319"/>
      <c r="GS39" s="319"/>
      <c r="GT39" s="319"/>
      <c r="GU39" s="319"/>
      <c r="GV39" s="319"/>
      <c r="GW39" s="319"/>
      <c r="GX39" s="319"/>
      <c r="GY39" s="319"/>
      <c r="GZ39" s="319"/>
      <c r="HA39" s="150"/>
      <c r="HB39" s="150"/>
      <c r="HC39" s="319"/>
      <c r="HD39" s="319"/>
      <c r="HE39" s="319"/>
      <c r="HF39" s="319"/>
      <c r="HG39" s="319"/>
      <c r="HH39" s="319"/>
      <c r="HI39" s="319"/>
      <c r="HJ39" s="319"/>
      <c r="HK39" s="319"/>
      <c r="HL39" s="319"/>
      <c r="HM39" s="319"/>
      <c r="HN39" s="150"/>
      <c r="HO39" s="150"/>
      <c r="HP39" s="319"/>
      <c r="HQ39" s="319"/>
      <c r="HR39" s="319"/>
      <c r="HS39" s="319"/>
      <c r="HT39" s="319"/>
      <c r="HU39" s="319"/>
      <c r="HV39" s="319"/>
      <c r="HW39" s="319"/>
      <c r="HX39" s="319"/>
      <c r="HY39" s="319"/>
      <c r="HZ39" s="319"/>
      <c r="IA39" s="150"/>
      <c r="IB39" s="150"/>
      <c r="IC39" s="319"/>
      <c r="ID39" s="319"/>
      <c r="IE39" s="319"/>
      <c r="IF39" s="319"/>
      <c r="IG39" s="319"/>
      <c r="IH39" s="319"/>
      <c r="II39" s="319"/>
      <c r="IJ39" s="319"/>
      <c r="IK39" s="319"/>
      <c r="IL39" s="319"/>
      <c r="IM39" s="319"/>
      <c r="IN39" s="150"/>
      <c r="IO39" s="150"/>
      <c r="IP39" s="319"/>
      <c r="IQ39" s="319"/>
      <c r="IR39" s="319"/>
      <c r="IS39" s="319"/>
      <c r="IT39" s="319"/>
      <c r="IU39" s="319"/>
      <c r="IV39" s="319"/>
    </row>
    <row r="40" spans="1:256">
      <c r="A40" s="159"/>
      <c r="B40" s="150"/>
      <c r="C40" s="319"/>
      <c r="D40" s="319"/>
      <c r="E40" s="319"/>
      <c r="F40" s="319"/>
      <c r="G40" s="319"/>
      <c r="H40" s="319"/>
      <c r="I40" s="319"/>
      <c r="J40" s="319"/>
      <c r="K40" s="319"/>
      <c r="L40" s="319"/>
      <c r="M40" s="320"/>
      <c r="N40" s="153"/>
      <c r="O40" s="153"/>
      <c r="P40" s="324"/>
      <c r="Q40" s="324"/>
      <c r="R40" s="324"/>
      <c r="S40" s="324"/>
      <c r="T40" s="324"/>
      <c r="U40" s="324"/>
      <c r="V40" s="324"/>
      <c r="W40" s="324"/>
      <c r="X40" s="324"/>
      <c r="Y40" s="324"/>
      <c r="Z40" s="324"/>
      <c r="AA40" s="150"/>
      <c r="AB40" s="150"/>
      <c r="AC40" s="319"/>
      <c r="AD40" s="319"/>
      <c r="AE40" s="319"/>
      <c r="AF40" s="319"/>
      <c r="AG40" s="319"/>
      <c r="AH40" s="319"/>
      <c r="AI40" s="319"/>
      <c r="AJ40" s="319"/>
      <c r="AK40" s="319"/>
      <c r="AL40" s="319"/>
      <c r="AM40" s="319"/>
      <c r="AN40" s="150"/>
      <c r="AO40" s="150"/>
      <c r="AP40" s="319"/>
      <c r="AQ40" s="319"/>
      <c r="AR40" s="319"/>
      <c r="AS40" s="319"/>
      <c r="AT40" s="319"/>
      <c r="AU40" s="319"/>
      <c r="AV40" s="319"/>
      <c r="AW40" s="319"/>
      <c r="AX40" s="319"/>
      <c r="AY40" s="319"/>
      <c r="AZ40" s="319"/>
      <c r="BA40" s="150"/>
      <c r="BB40" s="150"/>
      <c r="BC40" s="319"/>
      <c r="BD40" s="319"/>
      <c r="BE40" s="319"/>
      <c r="BF40" s="319"/>
      <c r="BG40" s="319"/>
      <c r="BH40" s="319"/>
      <c r="BI40" s="319"/>
      <c r="BJ40" s="319"/>
      <c r="BK40" s="319"/>
      <c r="BL40" s="319"/>
      <c r="BM40" s="319"/>
      <c r="BN40" s="150"/>
      <c r="BO40" s="150"/>
      <c r="BP40" s="319"/>
      <c r="BQ40" s="319"/>
      <c r="BR40" s="319"/>
      <c r="BS40" s="319"/>
      <c r="BT40" s="319"/>
      <c r="BU40" s="319"/>
      <c r="BV40" s="319"/>
      <c r="BW40" s="319"/>
      <c r="BX40" s="319"/>
      <c r="BY40" s="319"/>
      <c r="BZ40" s="319"/>
      <c r="CA40" s="150"/>
      <c r="CB40" s="150"/>
      <c r="CC40" s="319"/>
      <c r="CD40" s="319"/>
      <c r="CE40" s="319"/>
      <c r="CF40" s="319"/>
      <c r="CG40" s="319"/>
      <c r="CH40" s="319"/>
      <c r="CI40" s="319"/>
      <c r="CJ40" s="319"/>
      <c r="CK40" s="319"/>
      <c r="CL40" s="319"/>
      <c r="CM40" s="319"/>
      <c r="CN40" s="150"/>
      <c r="CO40" s="150"/>
      <c r="CP40" s="319"/>
      <c r="CQ40" s="319"/>
      <c r="CR40" s="319"/>
      <c r="CS40" s="319"/>
      <c r="CT40" s="319"/>
      <c r="CU40" s="319"/>
      <c r="CV40" s="319"/>
      <c r="CW40" s="319"/>
      <c r="CX40" s="319"/>
      <c r="CY40" s="319"/>
      <c r="CZ40" s="319"/>
      <c r="DA40" s="150"/>
      <c r="DB40" s="150"/>
      <c r="DC40" s="319"/>
      <c r="DD40" s="319"/>
      <c r="DE40" s="319"/>
      <c r="DF40" s="319"/>
      <c r="DG40" s="319"/>
      <c r="DH40" s="319"/>
      <c r="DI40" s="319"/>
      <c r="DJ40" s="319"/>
      <c r="DK40" s="319"/>
      <c r="DL40" s="319"/>
      <c r="DM40" s="319"/>
      <c r="DN40" s="150"/>
      <c r="DO40" s="150"/>
      <c r="DP40" s="319"/>
      <c r="DQ40" s="319"/>
      <c r="DR40" s="319"/>
      <c r="DS40" s="319"/>
      <c r="DT40" s="319"/>
      <c r="DU40" s="319"/>
      <c r="DV40" s="319"/>
      <c r="DW40" s="319"/>
      <c r="DX40" s="319"/>
      <c r="DY40" s="319"/>
      <c r="DZ40" s="319"/>
      <c r="EA40" s="150"/>
      <c r="EB40" s="150"/>
      <c r="EC40" s="319"/>
      <c r="ED40" s="319"/>
      <c r="EE40" s="319"/>
      <c r="EF40" s="319"/>
      <c r="EG40" s="319"/>
      <c r="EH40" s="319"/>
      <c r="EI40" s="319"/>
      <c r="EJ40" s="319"/>
      <c r="EK40" s="319"/>
      <c r="EL40" s="319"/>
      <c r="EM40" s="319"/>
      <c r="EN40" s="150"/>
      <c r="EO40" s="150"/>
      <c r="EP40" s="319"/>
      <c r="EQ40" s="319"/>
      <c r="ER40" s="319"/>
      <c r="ES40" s="319"/>
      <c r="ET40" s="319"/>
      <c r="EU40" s="319"/>
      <c r="EV40" s="319"/>
      <c r="EW40" s="319"/>
      <c r="EX40" s="319"/>
      <c r="EY40" s="319"/>
      <c r="EZ40" s="319"/>
      <c r="FA40" s="150"/>
      <c r="FB40" s="150"/>
      <c r="FC40" s="319"/>
      <c r="FD40" s="319"/>
      <c r="FE40" s="319"/>
      <c r="FF40" s="319"/>
      <c r="FG40" s="319"/>
      <c r="FH40" s="319"/>
      <c r="FI40" s="319"/>
      <c r="FJ40" s="319"/>
      <c r="FK40" s="319"/>
      <c r="FL40" s="319"/>
      <c r="FM40" s="319"/>
      <c r="FN40" s="150"/>
      <c r="FO40" s="150"/>
      <c r="FP40" s="319"/>
      <c r="FQ40" s="319"/>
      <c r="FR40" s="319"/>
      <c r="FS40" s="319"/>
      <c r="FT40" s="319"/>
      <c r="FU40" s="319"/>
      <c r="FV40" s="319"/>
      <c r="FW40" s="319"/>
      <c r="FX40" s="319"/>
      <c r="FY40" s="319"/>
      <c r="FZ40" s="319"/>
      <c r="GA40" s="150"/>
      <c r="GB40" s="150"/>
      <c r="GC40" s="319"/>
      <c r="GD40" s="319"/>
      <c r="GE40" s="319"/>
      <c r="GF40" s="319"/>
      <c r="GG40" s="319"/>
      <c r="GH40" s="319"/>
      <c r="GI40" s="319"/>
      <c r="GJ40" s="319"/>
      <c r="GK40" s="319"/>
      <c r="GL40" s="319"/>
      <c r="GM40" s="319"/>
      <c r="GN40" s="150"/>
      <c r="GO40" s="150"/>
      <c r="GP40" s="319"/>
      <c r="GQ40" s="319"/>
      <c r="GR40" s="319"/>
      <c r="GS40" s="319"/>
      <c r="GT40" s="319"/>
      <c r="GU40" s="319"/>
      <c r="GV40" s="319"/>
      <c r="GW40" s="319"/>
      <c r="GX40" s="319"/>
      <c r="GY40" s="319"/>
      <c r="GZ40" s="319"/>
      <c r="HA40" s="150"/>
      <c r="HB40" s="150"/>
      <c r="HC40" s="319"/>
      <c r="HD40" s="319"/>
      <c r="HE40" s="319"/>
      <c r="HF40" s="319"/>
      <c r="HG40" s="319"/>
      <c r="HH40" s="319"/>
      <c r="HI40" s="319"/>
      <c r="HJ40" s="319"/>
      <c r="HK40" s="319"/>
      <c r="HL40" s="319"/>
      <c r="HM40" s="319"/>
      <c r="HN40" s="150"/>
      <c r="HO40" s="150"/>
      <c r="HP40" s="319"/>
      <c r="HQ40" s="319"/>
      <c r="HR40" s="319"/>
      <c r="HS40" s="319"/>
      <c r="HT40" s="319"/>
      <c r="HU40" s="319"/>
      <c r="HV40" s="319"/>
      <c r="HW40" s="319"/>
      <c r="HX40" s="319"/>
      <c r="HY40" s="319"/>
      <c r="HZ40" s="319"/>
      <c r="IA40" s="150"/>
      <c r="IB40" s="150"/>
      <c r="IC40" s="319"/>
      <c r="ID40" s="319"/>
      <c r="IE40" s="319"/>
      <c r="IF40" s="319"/>
      <c r="IG40" s="319"/>
      <c r="IH40" s="319"/>
      <c r="II40" s="319"/>
      <c r="IJ40" s="319"/>
      <c r="IK40" s="319"/>
      <c r="IL40" s="319"/>
      <c r="IM40" s="319"/>
      <c r="IN40" s="150"/>
      <c r="IO40" s="150"/>
      <c r="IP40" s="319"/>
      <c r="IQ40" s="319"/>
      <c r="IR40" s="319"/>
      <c r="IS40" s="319"/>
      <c r="IT40" s="319"/>
      <c r="IU40" s="319"/>
      <c r="IV40" s="319"/>
    </row>
    <row r="41" spans="1:256">
      <c r="A41" s="159"/>
      <c r="B41" s="150"/>
      <c r="C41" s="319"/>
      <c r="D41" s="319"/>
      <c r="E41" s="319"/>
      <c r="F41" s="319"/>
      <c r="G41" s="319"/>
      <c r="H41" s="319"/>
      <c r="I41" s="319"/>
      <c r="J41" s="319"/>
      <c r="K41" s="319"/>
      <c r="L41" s="319"/>
      <c r="M41" s="32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c r="A42" s="159"/>
      <c r="B42" s="150"/>
      <c r="C42" s="319"/>
      <c r="D42" s="319"/>
      <c r="E42" s="319"/>
      <c r="F42" s="319"/>
      <c r="G42" s="319"/>
      <c r="H42" s="319"/>
      <c r="I42" s="319"/>
      <c r="J42" s="319"/>
      <c r="K42" s="319"/>
      <c r="L42" s="319"/>
      <c r="M42" s="32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c r="A43" s="159"/>
      <c r="B43" s="150"/>
      <c r="C43" s="319"/>
      <c r="D43" s="319"/>
      <c r="E43" s="319"/>
      <c r="F43" s="319"/>
      <c r="G43" s="319"/>
      <c r="H43" s="319"/>
      <c r="I43" s="319"/>
      <c r="J43" s="319"/>
      <c r="K43" s="319"/>
      <c r="L43" s="319"/>
      <c r="M43" s="32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c r="A44" s="159"/>
      <c r="B44" s="150"/>
      <c r="C44" s="319"/>
      <c r="D44" s="319"/>
      <c r="E44" s="319"/>
      <c r="F44" s="319"/>
      <c r="G44" s="319"/>
      <c r="H44" s="319"/>
      <c r="I44" s="319"/>
      <c r="J44" s="319"/>
      <c r="K44" s="319"/>
      <c r="L44" s="319"/>
      <c r="M44" s="32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c r="A45" s="159"/>
      <c r="B45" s="150"/>
      <c r="C45" s="319"/>
      <c r="D45" s="319"/>
      <c r="E45" s="319"/>
      <c r="F45" s="319"/>
      <c r="G45" s="319"/>
      <c r="H45" s="319"/>
      <c r="I45" s="319"/>
      <c r="J45" s="319"/>
      <c r="K45" s="319"/>
      <c r="L45" s="319"/>
      <c r="M45" s="32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c r="A46" s="159"/>
      <c r="B46" s="150"/>
      <c r="C46" s="319"/>
      <c r="D46" s="319"/>
      <c r="E46" s="319"/>
      <c r="F46" s="319"/>
      <c r="G46" s="319"/>
      <c r="H46" s="319"/>
      <c r="I46" s="319"/>
      <c r="J46" s="319"/>
      <c r="K46" s="319"/>
      <c r="L46" s="319"/>
      <c r="M46" s="32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c r="A47" s="159"/>
      <c r="B47" s="150"/>
      <c r="C47" s="319"/>
      <c r="D47" s="319"/>
      <c r="E47" s="319"/>
      <c r="F47" s="319"/>
      <c r="G47" s="319"/>
      <c r="H47" s="319"/>
      <c r="I47" s="319"/>
      <c r="J47" s="319"/>
      <c r="K47" s="319"/>
      <c r="L47" s="319"/>
      <c r="M47" s="32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c r="A48" s="159"/>
      <c r="B48" s="150"/>
      <c r="C48" s="319"/>
      <c r="D48" s="319"/>
      <c r="E48" s="319"/>
      <c r="F48" s="319"/>
      <c r="G48" s="319"/>
      <c r="H48" s="319"/>
      <c r="I48" s="319"/>
      <c r="J48" s="319"/>
      <c r="K48" s="319"/>
      <c r="L48" s="319"/>
      <c r="M48" s="32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c r="A49" s="159"/>
      <c r="B49" s="150"/>
      <c r="C49" s="319"/>
      <c r="D49" s="319"/>
      <c r="E49" s="319"/>
      <c r="F49" s="319"/>
      <c r="G49" s="319"/>
      <c r="H49" s="319"/>
      <c r="I49" s="319"/>
      <c r="J49" s="319"/>
      <c r="K49" s="319"/>
      <c r="L49" s="319"/>
      <c r="M49" s="32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c r="A50" s="159"/>
      <c r="B50" s="150"/>
      <c r="C50" s="319"/>
      <c r="D50" s="319"/>
      <c r="E50" s="319"/>
      <c r="F50" s="319"/>
      <c r="G50" s="319"/>
      <c r="H50" s="319"/>
      <c r="I50" s="319"/>
      <c r="J50" s="319"/>
      <c r="K50" s="319"/>
      <c r="L50" s="319"/>
      <c r="M50" s="320"/>
    </row>
    <row r="51" spans="1:256">
      <c r="A51" s="159"/>
      <c r="B51" s="150"/>
      <c r="C51" s="319"/>
      <c r="D51" s="319"/>
      <c r="E51" s="319"/>
      <c r="F51" s="319"/>
      <c r="G51" s="319"/>
      <c r="H51" s="319"/>
      <c r="I51" s="319"/>
      <c r="J51" s="319"/>
      <c r="K51" s="319"/>
      <c r="L51" s="319"/>
      <c r="M51" s="320"/>
    </row>
    <row r="52" spans="1:256">
      <c r="A52" s="159"/>
      <c r="B52" s="150"/>
      <c r="C52" s="319"/>
      <c r="D52" s="319"/>
      <c r="E52" s="319"/>
      <c r="F52" s="319"/>
      <c r="G52" s="319"/>
      <c r="H52" s="319"/>
      <c r="I52" s="319"/>
      <c r="J52" s="319"/>
      <c r="K52" s="319"/>
      <c r="L52" s="319"/>
      <c r="M52" s="320"/>
    </row>
    <row r="53" spans="1:256">
      <c r="A53" s="159"/>
      <c r="B53" s="150"/>
      <c r="C53" s="319"/>
      <c r="D53" s="319"/>
      <c r="E53" s="319"/>
      <c r="F53" s="319"/>
      <c r="G53" s="319"/>
      <c r="H53" s="319"/>
      <c r="I53" s="319"/>
      <c r="J53" s="319"/>
      <c r="K53" s="319"/>
      <c r="L53" s="319"/>
      <c r="M53" s="320"/>
    </row>
    <row r="54" spans="1:256">
      <c r="A54" s="159"/>
      <c r="B54" s="150"/>
      <c r="C54" s="319"/>
      <c r="D54" s="319"/>
      <c r="E54" s="319"/>
      <c r="F54" s="319"/>
      <c r="G54" s="319"/>
      <c r="H54" s="319"/>
      <c r="I54" s="319"/>
      <c r="J54" s="319"/>
      <c r="K54" s="319"/>
      <c r="L54" s="319"/>
      <c r="M54" s="320"/>
    </row>
    <row r="55" spans="1:256">
      <c r="A55" s="159"/>
      <c r="B55" s="150"/>
      <c r="C55" s="319"/>
      <c r="D55" s="319"/>
      <c r="E55" s="319"/>
      <c r="F55" s="319"/>
      <c r="G55" s="319"/>
      <c r="H55" s="319"/>
      <c r="I55" s="319"/>
      <c r="J55" s="319"/>
      <c r="K55" s="319"/>
      <c r="L55" s="319"/>
      <c r="M55" s="320"/>
    </row>
    <row r="56" spans="1:256">
      <c r="A56" s="159"/>
      <c r="B56" s="150"/>
      <c r="C56" s="319"/>
      <c r="D56" s="319"/>
      <c r="E56" s="319"/>
      <c r="F56" s="319"/>
      <c r="G56" s="319"/>
      <c r="H56" s="319"/>
      <c r="I56" s="319"/>
      <c r="J56" s="319"/>
      <c r="K56" s="319"/>
      <c r="L56" s="319"/>
      <c r="M56" s="320"/>
    </row>
    <row r="57" spans="1:256">
      <c r="A57" s="159"/>
      <c r="B57" s="150"/>
      <c r="C57" s="319"/>
      <c r="D57" s="319"/>
      <c r="E57" s="319"/>
      <c r="F57" s="319"/>
      <c r="G57" s="319"/>
      <c r="H57" s="319"/>
      <c r="I57" s="319"/>
      <c r="J57" s="319"/>
      <c r="K57" s="319"/>
      <c r="L57" s="319"/>
      <c r="M57" s="320"/>
    </row>
    <row r="58" spans="1:256">
      <c r="A58" s="159"/>
      <c r="B58" s="150"/>
      <c r="C58" s="319"/>
      <c r="D58" s="319"/>
      <c r="E58" s="319"/>
      <c r="F58" s="319"/>
      <c r="G58" s="319"/>
      <c r="H58" s="319"/>
      <c r="I58" s="319"/>
      <c r="J58" s="319"/>
      <c r="K58" s="319"/>
      <c r="L58" s="319"/>
      <c r="M58" s="320"/>
    </row>
    <row r="59" spans="1:256">
      <c r="A59" s="159"/>
      <c r="B59" s="150"/>
      <c r="C59" s="319"/>
      <c r="D59" s="319"/>
      <c r="E59" s="319"/>
      <c r="F59" s="319"/>
      <c r="G59" s="319"/>
      <c r="H59" s="319"/>
      <c r="I59" s="319"/>
      <c r="J59" s="319"/>
      <c r="K59" s="319"/>
      <c r="L59" s="319"/>
      <c r="M59" s="320"/>
    </row>
    <row r="60" spans="1:256">
      <c r="A60" s="159"/>
      <c r="B60" s="150"/>
      <c r="C60" s="319"/>
      <c r="D60" s="319"/>
      <c r="E60" s="319"/>
      <c r="F60" s="319"/>
      <c r="G60" s="319"/>
      <c r="H60" s="319"/>
      <c r="I60" s="319"/>
      <c r="J60" s="319"/>
      <c r="K60" s="319"/>
      <c r="L60" s="319"/>
      <c r="M60" s="320"/>
    </row>
    <row r="61" spans="1:256">
      <c r="A61" s="159"/>
      <c r="B61" s="150"/>
      <c r="C61" s="319"/>
      <c r="D61" s="319"/>
      <c r="E61" s="319"/>
      <c r="F61" s="319"/>
      <c r="G61" s="319"/>
      <c r="H61" s="319"/>
      <c r="I61" s="319"/>
      <c r="J61" s="319"/>
      <c r="K61" s="319"/>
      <c r="L61" s="319"/>
      <c r="M61" s="320"/>
    </row>
    <row r="62" spans="1:256">
      <c r="A62" s="159"/>
      <c r="B62" s="150"/>
      <c r="C62" s="319"/>
      <c r="D62" s="319"/>
      <c r="E62" s="319"/>
      <c r="F62" s="319"/>
      <c r="G62" s="319"/>
      <c r="H62" s="319"/>
      <c r="I62" s="319"/>
      <c r="J62" s="319"/>
      <c r="K62" s="319"/>
      <c r="L62" s="319"/>
      <c r="M62" s="320"/>
    </row>
    <row r="63" spans="1:256">
      <c r="A63" s="159"/>
      <c r="B63" s="150"/>
      <c r="C63" s="319"/>
      <c r="D63" s="319"/>
      <c r="E63" s="319"/>
      <c r="F63" s="319"/>
      <c r="G63" s="319"/>
      <c r="H63" s="319"/>
      <c r="I63" s="319"/>
      <c r="J63" s="319"/>
      <c r="K63" s="319"/>
      <c r="L63" s="319"/>
      <c r="M63" s="320"/>
    </row>
    <row r="64" spans="1:256">
      <c r="A64" s="159"/>
      <c r="B64" s="150"/>
      <c r="C64" s="319"/>
      <c r="D64" s="319"/>
      <c r="E64" s="319"/>
      <c r="F64" s="319"/>
      <c r="G64" s="319"/>
      <c r="H64" s="319"/>
      <c r="I64" s="319"/>
      <c r="J64" s="319"/>
      <c r="K64" s="319"/>
      <c r="L64" s="319"/>
      <c r="M64" s="320"/>
    </row>
    <row r="65" spans="1:13">
      <c r="A65" s="159"/>
      <c r="B65" s="150"/>
      <c r="C65" s="319"/>
      <c r="D65" s="319"/>
      <c r="E65" s="319"/>
      <c r="F65" s="319"/>
      <c r="G65" s="319"/>
      <c r="H65" s="319"/>
      <c r="I65" s="319"/>
      <c r="J65" s="319"/>
      <c r="K65" s="319"/>
      <c r="L65" s="319"/>
      <c r="M65" s="320"/>
    </row>
    <row r="66" spans="1:13">
      <c r="A66" s="159"/>
      <c r="B66" s="150"/>
      <c r="C66" s="319"/>
      <c r="D66" s="319"/>
      <c r="E66" s="319"/>
      <c r="F66" s="319"/>
      <c r="G66" s="319"/>
      <c r="H66" s="319"/>
      <c r="I66" s="319"/>
      <c r="J66" s="319"/>
      <c r="K66" s="319"/>
      <c r="L66" s="319"/>
      <c r="M66" s="320"/>
    </row>
    <row r="67" spans="1:13">
      <c r="A67" s="159"/>
      <c r="B67" s="150"/>
      <c r="C67" s="319"/>
      <c r="D67" s="319"/>
      <c r="E67" s="319"/>
      <c r="F67" s="319"/>
      <c r="G67" s="319"/>
      <c r="H67" s="319"/>
      <c r="I67" s="319"/>
      <c r="J67" s="319"/>
      <c r="K67" s="319"/>
      <c r="L67" s="319"/>
      <c r="M67" s="320"/>
    </row>
    <row r="68" spans="1:13">
      <c r="A68" s="159"/>
      <c r="B68" s="150"/>
      <c r="C68" s="319"/>
      <c r="D68" s="319"/>
      <c r="E68" s="319"/>
      <c r="F68" s="319"/>
      <c r="G68" s="319"/>
      <c r="H68" s="319"/>
      <c r="I68" s="319"/>
      <c r="J68" s="319"/>
      <c r="K68" s="319"/>
      <c r="L68" s="319"/>
      <c r="M68" s="320"/>
    </row>
    <row r="69" spans="1:13">
      <c r="A69" s="159"/>
      <c r="B69" s="150"/>
      <c r="C69" s="319"/>
      <c r="D69" s="319"/>
      <c r="E69" s="319"/>
      <c r="F69" s="319"/>
      <c r="G69" s="319"/>
      <c r="H69" s="319"/>
      <c r="I69" s="319"/>
      <c r="J69" s="319"/>
      <c r="K69" s="319"/>
      <c r="L69" s="319"/>
      <c r="M69" s="320"/>
    </row>
    <row r="70" spans="1:13" ht="12" thickBot="1">
      <c r="A70" s="160"/>
      <c r="B70" s="161"/>
      <c r="C70" s="321"/>
      <c r="D70" s="321"/>
      <c r="E70" s="321"/>
      <c r="F70" s="321"/>
      <c r="G70" s="321"/>
      <c r="H70" s="321"/>
      <c r="I70" s="321"/>
      <c r="J70" s="321"/>
      <c r="K70" s="321"/>
      <c r="L70" s="321"/>
      <c r="M70" s="322"/>
    </row>
    <row r="71" spans="1:13" ht="12" thickTop="1">
      <c r="A71" s="151"/>
      <c r="B71" s="151"/>
      <c r="C71" s="152"/>
      <c r="D71" s="152"/>
      <c r="E71" s="152"/>
      <c r="F71" s="152"/>
      <c r="G71" s="152"/>
      <c r="H71" s="152"/>
      <c r="I71" s="152"/>
      <c r="J71" s="152"/>
      <c r="K71" s="152"/>
      <c r="L71" s="152"/>
    </row>
    <row r="72" spans="1:13" ht="12.75">
      <c r="A72" s="323" t="s">
        <v>832</v>
      </c>
      <c r="B72" s="323"/>
      <c r="C72" s="323"/>
      <c r="D72" s="323"/>
      <c r="E72" s="323"/>
    </row>
    <row r="73" spans="1:13">
      <c r="A73" s="131" t="s">
        <v>764</v>
      </c>
      <c r="B73" s="131" t="s">
        <v>765</v>
      </c>
      <c r="C73" s="305"/>
      <c r="D73" s="305"/>
      <c r="E73" s="305"/>
      <c r="F73" s="305"/>
      <c r="G73" s="305"/>
      <c r="H73" s="305"/>
      <c r="I73" s="305"/>
      <c r="J73" s="305"/>
      <c r="K73" s="305"/>
      <c r="L73" s="305"/>
      <c r="M73" s="305"/>
    </row>
    <row r="74" spans="1:13">
      <c r="A74" s="153"/>
      <c r="B74" s="153"/>
      <c r="C74" s="305"/>
      <c r="D74" s="305"/>
      <c r="E74" s="305"/>
      <c r="F74" s="305"/>
      <c r="G74" s="305"/>
      <c r="H74" s="305"/>
      <c r="I74" s="305"/>
      <c r="J74" s="305"/>
      <c r="K74" s="305"/>
      <c r="L74" s="305"/>
      <c r="M74" s="305"/>
    </row>
    <row r="75" spans="1:13">
      <c r="A75" s="153"/>
      <c r="B75" s="153"/>
      <c r="C75" s="305"/>
      <c r="D75" s="305"/>
      <c r="E75" s="305"/>
      <c r="F75" s="305"/>
      <c r="G75" s="305"/>
      <c r="H75" s="305"/>
      <c r="I75" s="305"/>
      <c r="J75" s="305"/>
      <c r="K75" s="305"/>
      <c r="L75" s="305"/>
      <c r="M75" s="305"/>
    </row>
    <row r="76" spans="1:13">
      <c r="A76" s="153"/>
      <c r="B76" s="153"/>
      <c r="C76" s="305"/>
      <c r="D76" s="305"/>
      <c r="E76" s="305"/>
      <c r="F76" s="305"/>
      <c r="G76" s="305"/>
      <c r="H76" s="305"/>
      <c r="I76" s="305"/>
      <c r="J76" s="305"/>
      <c r="K76" s="305"/>
      <c r="L76" s="305"/>
      <c r="M76" s="305"/>
    </row>
    <row r="77" spans="1:13">
      <c r="A77" s="153"/>
      <c r="B77" s="153"/>
      <c r="C77" s="305"/>
      <c r="D77" s="305"/>
      <c r="E77" s="305"/>
      <c r="F77" s="305"/>
      <c r="G77" s="305"/>
      <c r="H77" s="305"/>
      <c r="I77" s="305"/>
      <c r="J77" s="305"/>
      <c r="K77" s="305"/>
      <c r="L77" s="305"/>
      <c r="M77" s="305"/>
    </row>
    <row r="78" spans="1:13">
      <c r="A78" s="153"/>
      <c r="B78" s="153"/>
      <c r="C78" s="305"/>
      <c r="D78" s="305"/>
      <c r="E78" s="305"/>
      <c r="F78" s="305"/>
      <c r="G78" s="305"/>
      <c r="H78" s="305"/>
      <c r="I78" s="305"/>
      <c r="J78" s="305"/>
      <c r="K78" s="305"/>
      <c r="L78" s="305"/>
      <c r="M78" s="305"/>
    </row>
    <row r="79" spans="1:13">
      <c r="A79" s="153"/>
      <c r="B79" s="153"/>
      <c r="C79" s="305"/>
      <c r="D79" s="305"/>
      <c r="E79" s="305"/>
      <c r="F79" s="305"/>
      <c r="G79" s="305"/>
      <c r="H79" s="305"/>
      <c r="I79" s="305"/>
      <c r="J79" s="305"/>
      <c r="K79" s="305"/>
      <c r="L79" s="305"/>
      <c r="M79" s="305"/>
    </row>
    <row r="80" spans="1:13">
      <c r="A80" s="153"/>
      <c r="B80" s="153"/>
      <c r="C80" s="305"/>
      <c r="D80" s="305"/>
      <c r="E80" s="305"/>
      <c r="F80" s="305"/>
      <c r="G80" s="305"/>
      <c r="H80" s="305"/>
      <c r="I80" s="305"/>
      <c r="J80" s="305"/>
      <c r="K80" s="305"/>
      <c r="L80" s="305"/>
      <c r="M80" s="305"/>
    </row>
    <row r="81" spans="1:13">
      <c r="A81" s="153"/>
      <c r="B81" s="153"/>
      <c r="C81" s="305"/>
      <c r="D81" s="305"/>
      <c r="E81" s="305"/>
      <c r="F81" s="305"/>
      <c r="G81" s="305"/>
      <c r="H81" s="305"/>
      <c r="I81" s="305"/>
      <c r="J81" s="305"/>
      <c r="K81" s="305"/>
      <c r="L81" s="305"/>
      <c r="M81" s="305"/>
    </row>
    <row r="82" spans="1:13">
      <c r="A82" s="153"/>
      <c r="B82" s="153"/>
      <c r="C82" s="305"/>
      <c r="D82" s="305"/>
      <c r="E82" s="305"/>
      <c r="F82" s="305"/>
      <c r="G82" s="305"/>
      <c r="H82" s="305"/>
      <c r="I82" s="305"/>
      <c r="J82" s="305"/>
      <c r="K82" s="305"/>
      <c r="L82" s="305"/>
      <c r="M82" s="305"/>
    </row>
    <row r="83" spans="1:13">
      <c r="A83" s="153"/>
      <c r="B83" s="153"/>
      <c r="C83" s="305"/>
      <c r="D83" s="305"/>
      <c r="E83" s="305"/>
      <c r="F83" s="305"/>
      <c r="G83" s="305"/>
      <c r="H83" s="305"/>
      <c r="I83" s="305"/>
      <c r="J83" s="305"/>
      <c r="K83" s="305"/>
      <c r="L83" s="305"/>
      <c r="M83" s="305"/>
    </row>
    <row r="84" spans="1:13">
      <c r="A84" s="153"/>
      <c r="B84" s="153"/>
      <c r="C84" s="305"/>
      <c r="D84" s="305"/>
      <c r="E84" s="305"/>
      <c r="F84" s="305"/>
      <c r="G84" s="305"/>
      <c r="H84" s="305"/>
      <c r="I84" s="305"/>
      <c r="J84" s="305"/>
      <c r="K84" s="305"/>
      <c r="L84" s="305"/>
      <c r="M84" s="305"/>
    </row>
    <row r="85" spans="1:13">
      <c r="A85" s="153"/>
      <c r="B85" s="153"/>
      <c r="C85" s="305"/>
      <c r="D85" s="305"/>
      <c r="E85" s="305"/>
      <c r="F85" s="305"/>
      <c r="G85" s="305"/>
      <c r="H85" s="305"/>
      <c r="I85" s="305"/>
      <c r="J85" s="305"/>
      <c r="K85" s="305"/>
      <c r="L85" s="305"/>
      <c r="M85" s="305"/>
    </row>
    <row r="86" spans="1:13">
      <c r="A86" s="153"/>
      <c r="B86" s="153"/>
      <c r="C86" s="305"/>
      <c r="D86" s="305"/>
      <c r="E86" s="305"/>
      <c r="F86" s="305"/>
      <c r="G86" s="305"/>
      <c r="H86" s="305"/>
      <c r="I86" s="305"/>
      <c r="J86" s="305"/>
      <c r="K86" s="305"/>
      <c r="L86" s="305"/>
      <c r="M86" s="305"/>
    </row>
    <row r="87" spans="1:13">
      <c r="A87" s="153"/>
      <c r="B87" s="153"/>
      <c r="C87" s="305"/>
      <c r="D87" s="305"/>
      <c r="E87" s="305"/>
      <c r="F87" s="305"/>
      <c r="G87" s="305"/>
      <c r="H87" s="305"/>
      <c r="I87" s="305"/>
      <c r="J87" s="305"/>
      <c r="K87" s="305"/>
      <c r="L87" s="305"/>
      <c r="M87" s="305"/>
    </row>
    <row r="88" spans="1:13">
      <c r="A88" s="153"/>
      <c r="B88" s="153"/>
      <c r="C88" s="305"/>
      <c r="D88" s="305"/>
      <c r="E88" s="305"/>
      <c r="F88" s="305"/>
      <c r="G88" s="305"/>
      <c r="H88" s="305"/>
      <c r="I88" s="305"/>
      <c r="J88" s="305"/>
      <c r="K88" s="305"/>
      <c r="L88" s="305"/>
      <c r="M88" s="305"/>
    </row>
    <row r="89" spans="1:13">
      <c r="A89" s="153"/>
      <c r="B89" s="153"/>
      <c r="C89" s="305"/>
      <c r="D89" s="305"/>
      <c r="E89" s="305"/>
      <c r="F89" s="305"/>
      <c r="G89" s="305"/>
      <c r="H89" s="305"/>
      <c r="I89" s="305"/>
      <c r="J89" s="305"/>
      <c r="K89" s="305"/>
      <c r="L89" s="305"/>
      <c r="M89" s="305"/>
    </row>
    <row r="90" spans="1:13">
      <c r="A90" s="153"/>
      <c r="B90" s="153"/>
      <c r="C90" s="305"/>
      <c r="D90" s="305"/>
      <c r="E90" s="305"/>
      <c r="F90" s="305"/>
      <c r="G90" s="305"/>
      <c r="H90" s="305"/>
      <c r="I90" s="305"/>
      <c r="J90" s="305"/>
      <c r="K90" s="305"/>
      <c r="L90" s="305"/>
      <c r="M90" s="30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97</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c r="A100" s="284">
        <v>195</v>
      </c>
      <c r="B100" s="284" t="s">
        <v>1061</v>
      </c>
      <c r="C100" s="284" t="s">
        <v>1062</v>
      </c>
      <c r="D100" s="284">
        <v>21250</v>
      </c>
      <c r="E100" s="284" t="s">
        <v>61</v>
      </c>
      <c r="F100" s="284">
        <v>79</v>
      </c>
      <c r="G100" s="284" t="s">
        <v>1715</v>
      </c>
      <c r="H100" s="286">
        <f>ROWS($G$4:G100)</f>
        <v>97</v>
      </c>
      <c r="I100" s="286">
        <f>IF('School Level Expenditures'!$B$2=A100,'School Tables'!H100,"")</f>
        <v>97</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c r="A326" s="259"/>
      <c r="B326" s="259"/>
      <c r="C326" s="259"/>
      <c r="D326" s="259"/>
      <c r="E326" s="259"/>
      <c r="F326" s="217"/>
    </row>
    <row r="327" spans="1:11">
      <c r="A327" s="259"/>
      <c r="B327" s="259"/>
      <c r="C327" s="259"/>
      <c r="D327" s="259"/>
      <c r="E327" s="259"/>
      <c r="F327" s="217"/>
    </row>
    <row r="328" spans="1:11">
      <c r="A328" s="259"/>
      <c r="B328" s="259"/>
      <c r="C328" s="259"/>
      <c r="D328" s="259"/>
      <c r="E328" s="259"/>
      <c r="F328" s="217"/>
    </row>
    <row r="329" spans="1:11">
      <c r="A329" s="259"/>
      <c r="B329" s="259"/>
      <c r="C329" s="259"/>
      <c r="D329" s="259"/>
      <c r="E329" s="259"/>
      <c r="F329" s="217"/>
    </row>
    <row r="330" spans="1:11">
      <c r="A330" s="259"/>
      <c r="B330" s="259"/>
      <c r="C330" s="259"/>
      <c r="D330" s="259"/>
      <c r="E330" s="259"/>
      <c r="F330" s="217"/>
    </row>
    <row r="331" spans="1:11">
      <c r="A331" s="259"/>
      <c r="B331" s="259"/>
      <c r="C331" s="259"/>
      <c r="D331" s="259"/>
      <c r="E331" s="259"/>
      <c r="F331" s="217"/>
    </row>
    <row r="332" spans="1:11">
      <c r="A332" s="259"/>
      <c r="B332" s="259"/>
      <c r="C332" s="259"/>
      <c r="D332" s="259"/>
      <c r="E332" s="259"/>
      <c r="F332" s="217"/>
    </row>
    <row r="333" spans="1:11">
      <c r="A333" s="259"/>
      <c r="B333" s="259"/>
      <c r="C333" s="259"/>
      <c r="D333" s="259"/>
      <c r="E333" s="259"/>
      <c r="F333" s="217"/>
    </row>
    <row r="334" spans="1:11">
      <c r="A334" s="259"/>
      <c r="B334" s="259"/>
      <c r="C334" s="259"/>
      <c r="D334" s="259"/>
      <c r="E334" s="259"/>
      <c r="F334" s="217"/>
    </row>
    <row r="335" spans="1:11">
      <c r="A335" s="259"/>
      <c r="B335" s="259"/>
      <c r="C335" s="259"/>
      <c r="D335" s="259"/>
      <c r="E335" s="259"/>
      <c r="F335" s="217"/>
    </row>
    <row r="336" spans="1:11">
      <c r="A336" s="259"/>
      <c r="B336" s="259"/>
      <c r="C336" s="259"/>
      <c r="D336" s="259"/>
      <c r="E336" s="259"/>
      <c r="F336" s="217"/>
    </row>
    <row r="337" spans="1:6">
      <c r="A337" s="259"/>
      <c r="B337" s="259"/>
      <c r="C337" s="259"/>
      <c r="D337" s="259"/>
      <c r="E337" s="259"/>
      <c r="F337" s="217"/>
    </row>
    <row r="338" spans="1:6">
      <c r="A338" s="259"/>
      <c r="B338" s="259"/>
      <c r="C338" s="259"/>
      <c r="D338" s="259"/>
      <c r="E338" s="259"/>
      <c r="F338" s="217"/>
    </row>
    <row r="339" spans="1:6">
      <c r="A339" s="259"/>
      <c r="B339" s="259"/>
      <c r="C339" s="259"/>
      <c r="D339" s="259"/>
      <c r="E339" s="259"/>
      <c r="F339" s="217"/>
    </row>
    <row r="340" spans="1:6">
      <c r="A340" s="259"/>
      <c r="B340" s="259"/>
      <c r="C340" s="259"/>
      <c r="D340" s="259"/>
      <c r="E340" s="259"/>
      <c r="F340" s="217"/>
    </row>
    <row r="341" spans="1:6">
      <c r="A341" s="259"/>
      <c r="B341" s="259"/>
      <c r="C341" s="259"/>
      <c r="D341" s="259"/>
      <c r="E341" s="259"/>
      <c r="F341" s="217"/>
    </row>
    <row r="342" spans="1:6">
      <c r="A342" s="259"/>
      <c r="B342" s="259"/>
      <c r="C342" s="259"/>
      <c r="D342" s="259"/>
      <c r="E342" s="259"/>
      <c r="F342" s="217"/>
    </row>
    <row r="343" spans="1:6">
      <c r="A343" s="259"/>
      <c r="B343" s="259"/>
      <c r="C343" s="259"/>
      <c r="D343" s="259"/>
      <c r="E343" s="259"/>
      <c r="F343" s="217"/>
    </row>
    <row r="344" spans="1:6">
      <c r="A344" s="259"/>
      <c r="B344" s="259"/>
      <c r="C344" s="259"/>
      <c r="D344" s="259"/>
      <c r="E344" s="259"/>
      <c r="F344" s="217"/>
    </row>
    <row r="345" spans="1:6">
      <c r="A345" s="259"/>
      <c r="B345" s="259"/>
      <c r="C345" s="259"/>
      <c r="D345" s="259"/>
      <c r="E345" s="259"/>
      <c r="F345" s="217"/>
    </row>
    <row r="346" spans="1:6">
      <c r="A346" s="259"/>
      <c r="B346" s="259"/>
      <c r="C346" s="259"/>
      <c r="D346" s="259"/>
      <c r="E346" s="259"/>
      <c r="F346" s="217"/>
    </row>
    <row r="347" spans="1:6">
      <c r="A347" s="259"/>
      <c r="B347" s="259"/>
      <c r="C347" s="259"/>
      <c r="D347" s="259"/>
      <c r="E347" s="259"/>
      <c r="F347" s="217"/>
    </row>
    <row r="348" spans="1:6">
      <c r="A348" s="259"/>
      <c r="B348" s="259"/>
      <c r="C348" s="259"/>
      <c r="D348" s="259"/>
      <c r="E348" s="259"/>
      <c r="F348" s="217"/>
    </row>
    <row r="349" spans="1:6">
      <c r="A349" s="259"/>
      <c r="B349" s="259"/>
      <c r="C349" s="259"/>
      <c r="D349" s="259"/>
      <c r="E349" s="259"/>
      <c r="F349" s="217"/>
    </row>
    <row r="350" spans="1:6">
      <c r="A350" s="259"/>
      <c r="B350" s="259"/>
      <c r="C350" s="259"/>
      <c r="D350" s="259"/>
      <c r="E350" s="259"/>
      <c r="F350" s="217"/>
    </row>
    <row r="351" spans="1:6">
      <c r="A351" s="259"/>
      <c r="B351" s="259"/>
      <c r="C351" s="259"/>
      <c r="D351" s="259"/>
      <c r="E351" s="259"/>
      <c r="F351" s="217"/>
    </row>
    <row r="352" spans="1:6">
      <c r="A352" s="259"/>
      <c r="B352" s="259"/>
      <c r="C352" s="259"/>
      <c r="D352" s="259"/>
      <c r="E352" s="259"/>
      <c r="F352" s="217"/>
    </row>
    <row r="353" spans="1:6">
      <c r="A353" s="259"/>
      <c r="B353" s="259"/>
      <c r="C353" s="259"/>
      <c r="D353" s="259"/>
      <c r="E353" s="259"/>
      <c r="F353" s="217"/>
    </row>
    <row r="354" spans="1:6">
      <c r="A354" s="259"/>
      <c r="B354" s="259"/>
      <c r="C354" s="259"/>
      <c r="D354" s="259"/>
      <c r="E354" s="259"/>
      <c r="F354" s="217"/>
    </row>
    <row r="355" spans="1:6">
      <c r="A355" s="259"/>
      <c r="B355" s="259"/>
      <c r="C355" s="259"/>
      <c r="D355" s="259"/>
      <c r="E355" s="259"/>
      <c r="F355" s="217"/>
    </row>
    <row r="356" spans="1:6">
      <c r="A356" s="259"/>
      <c r="B356" s="259"/>
      <c r="C356" s="259"/>
      <c r="D356" s="259"/>
      <c r="E356" s="259"/>
      <c r="F356" s="217"/>
    </row>
    <row r="357" spans="1:6">
      <c r="A357" s="259"/>
      <c r="B357" s="259"/>
      <c r="C357" s="259"/>
      <c r="D357" s="259"/>
      <c r="E357" s="259"/>
      <c r="F357" s="217"/>
    </row>
    <row r="358" spans="1:6">
      <c r="A358" s="259"/>
      <c r="B358" s="259"/>
      <c r="C358" s="259"/>
      <c r="D358" s="259"/>
      <c r="E358" s="259"/>
      <c r="F358" s="217"/>
    </row>
    <row r="359" spans="1:6">
      <c r="A359" s="259"/>
      <c r="B359" s="259"/>
      <c r="C359" s="259"/>
      <c r="D359" s="259"/>
      <c r="E359" s="259"/>
      <c r="F359" s="217"/>
    </row>
    <row r="360" spans="1:6">
      <c r="A360" s="259"/>
      <c r="B360" s="259"/>
      <c r="C360" s="259"/>
      <c r="D360" s="259"/>
      <c r="E360" s="259"/>
      <c r="F360" s="217"/>
    </row>
    <row r="361" spans="1:6">
      <c r="A361" s="259"/>
      <c r="B361" s="259"/>
      <c r="C361" s="259"/>
      <c r="D361" s="259"/>
      <c r="E361" s="259"/>
      <c r="F361" s="217"/>
    </row>
    <row r="362" spans="1:6">
      <c r="A362" s="259"/>
      <c r="B362" s="259"/>
      <c r="C362" s="259"/>
      <c r="D362" s="259"/>
      <c r="E362" s="259"/>
      <c r="F362" s="217"/>
    </row>
    <row r="363" spans="1:6">
      <c r="A363" s="259"/>
      <c r="B363" s="259"/>
      <c r="C363" s="259"/>
      <c r="D363" s="259"/>
      <c r="E363" s="259"/>
      <c r="F363" s="217"/>
    </row>
    <row r="364" spans="1:6">
      <c r="A364" s="259"/>
      <c r="B364" s="259"/>
      <c r="C364" s="259"/>
      <c r="D364" s="259"/>
      <c r="E364" s="259"/>
      <c r="F364" s="217"/>
    </row>
    <row r="365" spans="1:6">
      <c r="A365" s="259"/>
      <c r="B365" s="259"/>
      <c r="C365" s="259"/>
      <c r="D365" s="259"/>
      <c r="E365" s="259"/>
      <c r="F365" s="217"/>
    </row>
    <row r="366" spans="1:6">
      <c r="A366" s="259"/>
      <c r="B366" s="259"/>
      <c r="C366" s="259"/>
      <c r="D366" s="259"/>
      <c r="E366" s="259"/>
      <c r="F366" s="217"/>
    </row>
    <row r="367" spans="1:6">
      <c r="A367" s="259"/>
      <c r="B367" s="259"/>
      <c r="C367" s="259"/>
      <c r="D367" s="259"/>
      <c r="E367" s="259"/>
      <c r="F367" s="217"/>
    </row>
    <row r="368" spans="1:6">
      <c r="A368" s="259"/>
      <c r="B368" s="259"/>
      <c r="C368" s="259"/>
      <c r="D368" s="259"/>
      <c r="E368" s="259"/>
      <c r="F368" s="217"/>
    </row>
    <row r="369" spans="1:6">
      <c r="A369" s="259"/>
      <c r="B369" s="259"/>
      <c r="C369" s="259"/>
      <c r="D369" s="259"/>
      <c r="E369" s="259"/>
      <c r="F369" s="217"/>
    </row>
    <row r="370" spans="1:6">
      <c r="A370" s="259"/>
      <c r="B370" s="259"/>
      <c r="C370" s="259"/>
      <c r="D370" s="259"/>
      <c r="E370" s="259"/>
      <c r="F370" s="217"/>
    </row>
    <row r="371" spans="1:6">
      <c r="A371" s="259"/>
      <c r="B371" s="259"/>
      <c r="C371" s="259"/>
      <c r="D371" s="259"/>
      <c r="E371" s="259"/>
      <c r="F371" s="217"/>
    </row>
    <row r="372" spans="1:6">
      <c r="A372" s="259"/>
      <c r="B372" s="259"/>
      <c r="C372" s="259"/>
      <c r="D372" s="259"/>
      <c r="E372" s="259"/>
      <c r="F372" s="217"/>
    </row>
    <row r="373" spans="1:6">
      <c r="A373" s="259"/>
      <c r="B373" s="259"/>
      <c r="C373" s="259"/>
      <c r="D373" s="259"/>
      <c r="E373" s="259"/>
      <c r="F373" s="217"/>
    </row>
    <row r="374" spans="1:6">
      <c r="A374" s="259"/>
      <c r="B374" s="259"/>
      <c r="C374" s="259"/>
      <c r="D374" s="259"/>
      <c r="E374" s="259"/>
      <c r="F374" s="217"/>
    </row>
    <row r="375" spans="1:6">
      <c r="A375" s="259"/>
      <c r="B375" s="259"/>
      <c r="C375" s="259"/>
      <c r="D375" s="259"/>
      <c r="E375" s="259"/>
      <c r="F375" s="217"/>
    </row>
    <row r="376" spans="1:6">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2022-10-18T19:47:36Z</cp:lastPrinted>
  <dcterms:created xsi:type="dcterms:W3CDTF">1997-12-04T19:04:30Z</dcterms:created>
  <dcterms:modified xsi:type="dcterms:W3CDTF">2022-12-19T15:21:47Z</dcterms:modified>
</cp:coreProperties>
</file>