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841260B-05E8-427B-B2C0-391A84EBEA0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6" i="1" l="1"/>
  <c r="H459" i="1"/>
  <c r="H458" i="1"/>
  <c r="H443" i="1"/>
  <c r="H22" i="1"/>
  <c r="F12" i="1"/>
  <c r="F9" i="1"/>
  <c r="K3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C121" i="2" s="1"/>
  <c r="H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H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125" i="2" l="1"/>
  <c r="H101" i="2"/>
  <c r="H79" i="2"/>
  <c r="H76" i="2"/>
  <c r="H58" i="2"/>
  <c r="H16" i="2"/>
  <c r="H113" i="2"/>
  <c r="H97" i="2"/>
  <c r="H87" i="2"/>
  <c r="H48" i="2"/>
  <c r="H35" i="2"/>
  <c r="H13" i="2"/>
  <c r="H9" i="2"/>
  <c r="H85" i="2"/>
  <c r="H69" i="2"/>
  <c r="H47" i="2"/>
  <c r="H28" i="2"/>
  <c r="H25" i="2"/>
  <c r="H17" i="2"/>
  <c r="H12" i="2"/>
  <c r="H102" i="2"/>
  <c r="H100" i="2"/>
  <c r="H98" i="2"/>
  <c r="H73" i="2"/>
  <c r="H15" i="2"/>
  <c r="H143" i="2"/>
  <c r="H43" i="2"/>
  <c r="H99" i="2"/>
  <c r="H24" i="2"/>
  <c r="H72" i="2"/>
  <c r="H34" i="2"/>
  <c r="H29" i="2"/>
  <c r="H38" i="2"/>
  <c r="H96" i="2"/>
  <c r="H132" i="2"/>
  <c r="C12" i="10"/>
  <c r="D6" i="13"/>
  <c r="C6" i="13" s="1"/>
  <c r="E13" i="13"/>
  <c r="C13" i="13" s="1"/>
  <c r="H112" i="2"/>
  <c r="H61" i="2"/>
  <c r="H59" i="2"/>
  <c r="H11" i="2"/>
  <c r="H44" i="2"/>
  <c r="H30" i="2"/>
  <c r="A40" i="12"/>
  <c r="H477" i="1"/>
  <c r="H625" i="1" s="1"/>
  <c r="H27" i="2"/>
  <c r="H8" i="2"/>
  <c r="G409" i="1"/>
  <c r="H646" i="1" s="1"/>
  <c r="H23" i="2"/>
  <c r="G662" i="1"/>
  <c r="G477" i="1"/>
  <c r="D78" i="2"/>
  <c r="D81" i="2" s="1"/>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H114" i="2" s="1"/>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H123" i="2"/>
  <c r="H21" i="2"/>
  <c r="H57" i="2"/>
  <c r="H103" i="2"/>
  <c r="I663" i="1"/>
  <c r="H122" i="2"/>
  <c r="H91" i="2"/>
  <c r="H78" i="2"/>
  <c r="C81" i="2"/>
  <c r="H81" i="2" s="1"/>
  <c r="F194" i="1"/>
  <c r="G628" i="1" s="1"/>
  <c r="J628" i="1" s="1"/>
  <c r="H18" i="2"/>
  <c r="F661" i="1"/>
  <c r="F665" i="1" s="1"/>
  <c r="F668" i="1" s="1"/>
  <c r="E128" i="2"/>
  <c r="H118" i="2"/>
  <c r="E115" i="2"/>
  <c r="H109" i="2"/>
  <c r="E51" i="2"/>
  <c r="H50" i="2"/>
  <c r="G144" i="2"/>
  <c r="G145" i="2" s="1"/>
  <c r="H134" i="2"/>
  <c r="D128" i="2"/>
  <c r="H127" i="2"/>
  <c r="D63" i="2"/>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3" i="2" l="1"/>
  <c r="H115" i="2"/>
  <c r="C104" i="2"/>
  <c r="E145" i="2"/>
  <c r="H104" i="2"/>
  <c r="C144" i="2"/>
  <c r="H144" i="2" s="1"/>
  <c r="H141" i="2"/>
  <c r="H51" i="2"/>
  <c r="D145" i="2"/>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<sst xmlns="http://schemas.openxmlformats.org/spreadsheetml/2006/main" count="6534" uniqueCount="1804">
  <si>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</si>
  <si>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</si>
  <si>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</si>
  <si>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</si>
  <si>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</si>
  <si>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</si>
  <si>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</si>
  <si>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</si>
  <si>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</si>
  <si>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</si>
  <si>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</si>
  <si>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</si>
  <si>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</si>
  <si>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</si>
  <si>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</si>
  <si>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</si>
  <si>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</si>
  <si>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</si>
  <si>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</si>
  <si>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</si>
  <si>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</si>
  <si>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</si>
  <si>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</si>
  <si>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</si>
  <si>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</si>
  <si>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</si>
  <si>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</si>
  <si>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</si>
  <si>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</si>
  <si>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</si>
  <si>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</si>
  <si>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</si>
  <si>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</si>
  <si>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</si>
  <si>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</si>
  <si>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</si>
  <si>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</si>
  <si>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</si>
  <si>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</si>
  <si>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</si>
  <si>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</si>
  <si>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</si>
  <si>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</si>
  <si>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</si>
  <si>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</si>
  <si>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</si>
  <si>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</si>
  <si>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</si>
  <si>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</si>
  <si>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</si>
  <si>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</si>
  <si>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</si>
  <si>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</si>
  <si>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</si>
  <si>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</si>
  <si>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</si>
  <si>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</si>
  <si>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</si>
  <si>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</si>
  <si>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</si>
  <si>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</si>
  <si>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</si>
  <si>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</si>
  <si>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</si>
  <si>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</si>
  <si>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</si>
  <si>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</si>
  <si>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</si>
  <si>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</si>
  <si>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</si>
  <si>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</si>
  <si>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</si>
  <si>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</si>
  <si>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</si>
  <si>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</si>
  <si>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</si>
  <si>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</si>
  <si>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</si>
  <si>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</si>
  <si>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</si>
  <si>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</si>
  <si>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</si>
  <si>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</si>
  <si>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</si>
  <si>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</si>
  <si>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</si>
  <si>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</si>
  <si>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</si>
  <si>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</si>
  <si>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</si>
  <si>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</si>
  <si>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</si>
  <si>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</si>
  <si>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</si>
  <si>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</si>
  <si>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</si>
  <si>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</si>
  <si>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</si>
  <si>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</si>
  <si>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</si>
  <si>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</si>
  <si>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</si>
  <si>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</si>
  <si>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</si>
  <si>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</si>
  <si>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</si>
  <si>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</si>
  <si>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</si>
  <si>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</si>
  <si>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</si>
  <si>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</si>
  <si>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</si>
  <si>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</si>
  <si>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</si>
  <si>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</si>
  <si>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</si>
  <si>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</si>
  <si>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</si>
  <si>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</si>
  <si>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</si>
  <si>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</si>
  <si>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</si>
  <si>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</si>
  <si>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</si>
  <si>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</si>
  <si>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</si>
  <si>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</si>
  <si>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</si>
  <si>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</si>
  <si>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</si>
  <si>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</si>
  <si>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</si>
  <si>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</si>
  <si>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</si>
  <si>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</si>
  <si>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</si>
  <si>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</si>
  <si>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</si>
  <si>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</si>
  <si>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</si>
  <si>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</si>
  <si>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</si>
  <si>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</si>
  <si>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</si>
  <si>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</si>
  <si>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</si>
  <si>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</si>
  <si>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</si>
  <si>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</si>
  <si>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</si>
  <si>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</si>
  <si>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</si>
  <si>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</si>
  <si>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</si>
  <si>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</si>
  <si>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</si>
  <si>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</si>
  <si>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</si>
  <si>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</si>
  <si>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</si>
  <si>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</si>
  <si>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</si>
  <si>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</si>
  <si>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</si>
  <si>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</si>
  <si>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</si>
  <si>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</si>
  <si>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</si>
  <si>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</si>
  <si>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</si>
  <si>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</si>
  <si>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</si>
  <si>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</si>
  <si>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</si>
  <si>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</si>
  <si>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</si>
  <si>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</si>
  <si>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</si>
  <si>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</si>
  <si>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</si>
  <si>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</si>
  <si>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</si>
  <si>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</si>
  <si>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</si>
  <si>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</si>
  <si>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</si>
  <si>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</si>
  <si>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</si>
  <si>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</si>
  <si>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</si>
  <si>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</si>
  <si>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</si>
  <si>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</si>
  <si>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</si>
  <si>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</si>
  <si>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</si>
  <si>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</si>
  <si>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</si>
  <si>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</si>
  <si>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</si>
  <si>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</si>
  <si>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</si>
  <si>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</si>
  <si>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</si>
  <si>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</si>
  <si>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</si>
  <si>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</si>
  <si>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</si>
  <si>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</si>
  <si>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</si>
  <si>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</si>
  <si>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</si>
  <si>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</si>
  <si>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</si>
  <si>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</si>
  <si>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</si>
  <si>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</si>
  <si>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</si>
  <si>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</si>
  <si>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</si>
  <si>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</si>
  <si>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</si>
  <si>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</si>
  <si>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</si>
  <si>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</si>
  <si>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</si>
  <si>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</si>
  <si>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</si>
  <si>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</si>
  <si>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</si>
  <si>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</si>
  <si>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</si>
  <si>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</si>
  <si>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</si>
  <si>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</si>
  <si>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</si>
  <si>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</si>
  <si>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</si>
  <si>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</si>
  <si>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</si>
  <si>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</si>
  <si>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</si>
  <si>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</si>
  <si>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</si>
  <si>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</si>
  <si>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</si>
  <si>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</si>
  <si>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</si>
  <si>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</si>
  <si>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</si>
  <si>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</si>
  <si>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</si>
  <si>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</si>
  <si>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</si>
  <si>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</si>
  <si>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</si>
  <si>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</si>
  <si>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</si>
  <si>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</si>
  <si>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</si>
  <si>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</si>
  <si>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</si>
  <si>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</si>
  <si>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</si>
  <si>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</si>
  <si>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</si>
  <si>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</si>
  <si>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</si>
  <si>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</si>
  <si>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</si>
  <si>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</si>
  <si>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</si>
  <si>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</si>
  <si>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</si>
  <si>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</si>
  <si>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</si>
  <si>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</si>
  <si>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</si>
  <si>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</si>
  <si>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</si>
  <si>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</si>
  <si>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</si>
  <si>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</si>
  <si>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</si>
  <si>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</si>
  <si>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</si>
  <si>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</si>
  <si>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</si>
  <si>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</si>
  <si>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</si>
  <si>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</si>
  <si>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</si>
  <si>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</si>
  <si>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</si>
  <si>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</si>
  <si>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</si>
  <si>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</si>
  <si>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</si>
  <si>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</si>
  <si>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</si>
  <si>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</si>
  <si>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</si>
  <si>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</si>
  <si>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</si>
  <si>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</si>
  <si>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</si>
  <si>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</si>
  <si>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</si>
  <si>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</si>
  <si>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</si>
  <si>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</si>
  <si>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</si>
  <si>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</si>
  <si>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</si>
  <si>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</si>
  <si>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</si>
  <si>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</si>
  <si>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</si>
  <si>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</si>
  <si>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</si>
  <si>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</si>
  <si>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</si>
  <si>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</si>
  <si>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</si>
  <si>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</si>
  <si>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</si>
  <si>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</si>
  <si>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</si>
  <si>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</si>
  <si>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</si>
  <si>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</si>
  <si>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</si>
  <si>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</si>
  <si>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</si>
  <si>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</si>
  <si>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</si>
  <si>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</si>
  <si>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</si>
  <si>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</si>
  <si>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</si>
  <si>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</si>
  <si>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</si>
  <si>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</si>
  <si>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</si>
  <si>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</si>
  <si>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</si>
  <si>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</si>
  <si>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</si>
  <si>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</si>
  <si>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</si>
  <si>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</si>
  <si>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</si>
  <si>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</si>
  <si>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</si>
  <si>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</si>
  <si>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</si>
  <si>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</si>
  <si>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</si>
  <si>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</si>
  <si>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</si>
  <si>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</si>
  <si>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</si>
  <si>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</si>
  <si>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</si>
  <si>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</si>
  <si>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</si>
  <si>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</si>
  <si>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</si>
  <si>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</si>
  <si>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</si>
  <si>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</si>
  <si>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</si>
  <si>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</si>
  <si>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</si>
  <si>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</si>
  <si>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</si>
  <si>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</si>
  <si>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</si>
  <si>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</si>
  <si>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</si>
  <si>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</si>
  <si>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</si>
  <si>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</si>
  <si>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</si>
  <si>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</si>
  <si>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</si>
  <si>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</si>
  <si>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</si>
  <si>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</si>
  <si>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</si>
  <si>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</si>
  <si>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</si>
  <si>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</si>
  <si>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</si>
  <si>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</si>
  <si>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</si>
  <si>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</si>
  <si>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</si>
  <si>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</si>
  <si>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</si>
  <si>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</si>
  <si>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</si>
  <si>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</si>
  <si>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</si>
  <si>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</si>
  <si>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</si>
  <si>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</si>
  <si>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</si>
  <si>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</si>
  <si>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</si>
  <si>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</si>
  <si>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</si>
  <si>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</si>
  <si>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</si>
  <si>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</si>
  <si>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</si>
  <si>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</si>
  <si>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</si>
  <si>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</si>
  <si>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</si>
  <si>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</si>
  <si>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</si>
  <si>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</si>
  <si>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</si>
  <si>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</si>
  <si>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</si>
  <si>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</si>
  <si>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</si>
  <si>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</si>
  <si>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</si>
  <si>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</si>
  <si>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</si>
  <si>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</si>
  <si>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</si>
  <si>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</si>
  <si>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</si>
  <si>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</si>
  <si>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</si>
  <si>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</si>
  <si>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</si>
  <si>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</si>
  <si>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</si>
  <si>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</si>
  <si>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</si>
  <si>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</si>
  <si>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</si>
  <si>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</si>
  <si>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</si>
  <si>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</si>
  <si>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</si>
  <si>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</si>
  <si>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</si>
  <si>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</si>
  <si>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</si>
  <si>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</si>
  <si>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</si>
  <si>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</si>
  <si>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</si>
  <si>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</si>
  <si>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</si>
  <si>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</si>
  <si>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</si>
  <si>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</si>
  <si>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</si>
  <si>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</si>
  <si>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</si>
  <si>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</si>
  <si>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</si>
  <si>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</si>
  <si>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</si>
  <si>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</si>
  <si>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</si>
  <si>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</si>
  <si>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</si>
  <si>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</si>
  <si>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</si>
  <si>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</si>
  <si>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</si>
  <si>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</si>
  <si>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</si>
  <si>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</si>
  <si>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</si>
  <si>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</si>
  <si>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</si>
  <si>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</si>
  <si>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</si>
  <si>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</si>
  <si>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</si>
  <si>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</si>
  <si>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</si>
  <si>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</si>
  <si>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</si>
  <si>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</si>
  <si>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</si>
  <si>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</si>
  <si>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</si>
  <si>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</si>
  <si>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</si>
  <si>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</si>
  <si>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</si>
  <si>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</si>
  <si>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</si>
  <si>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</si>
  <si>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</si>
  <si>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</si>
  <si>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</si>
  <si>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</si>
  <si>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</si>
  <si>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</si>
  <si>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</si>
  <si>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</si>
  <si>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</si>
  <si>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</si>
  <si>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</si>
  <si>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</si>
  <si>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</si>
  <si>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</si>
  <si>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</si>
  <si>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</si>
  <si>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</si>
  <si>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</si>
  <si>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</si>
  <si>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</si>
  <si>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</si>
  <si>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</si>
  <si>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</si>
  <si>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</si>
  <si>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</si>
  <si>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</si>
  <si>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</si>
  <si>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</si>
  <si>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</si>
  <si>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</si>
  <si>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</si>
  <si>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</si>
  <si>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</si>
  <si>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</si>
  <si>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</si>
  <si>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</si>
  <si>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</si>
  <si>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</si>
  <si>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</si>
  <si>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</si>
  <si>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</si>
  <si>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</si>
  <si>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</si>
  <si>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</si>
  <si>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</si>
  <si>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</si>
  <si>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</si>
  <si>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</si>
  <si>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</si>
  <si>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</si>
  <si>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</si>
  <si>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</si>
  <si>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</si>
  <si>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</si>
  <si>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</si>
  <si>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</si>
  <si>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</si>
  <si>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</si>
  <si>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</si>
  <si>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</si>
  <si>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</si>
  <si>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</si>
  <si>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</si>
  <si>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</si>
  <si>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</si>
  <si>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</si>
  <si>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</si>
  <si>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</si>
  <si>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</si>
  <si>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</si>
  <si>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</si>
  <si>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</si>
  <si>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</si>
  <si>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</si>
  <si>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</si>
  <si>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</si>
  <si>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</si>
  <si>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</si>
  <si>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</si>
  <si>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</si>
  <si>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</si>
  <si>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</si>
  <si>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</si>
  <si>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</si>
  <si>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</si>
  <si>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</si>
  <si>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</si>
  <si>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</si>
  <si>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</si>
  <si>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</si>
  <si>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</si>
  <si>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</si>
  <si>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</si>
  <si>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</si>
  <si>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</si>
  <si>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</si>
  <si>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</si>
  <si>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</si>
  <si>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</si>
  <si>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</si>
  <si>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</si>
  <si>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</si>
  <si>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</si>
  <si>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</si>
  <si>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</si>
  <si>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</si>
  <si>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</si>
  <si>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</si>
  <si>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</si>
  <si>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</si>
  <si>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</si>
  <si>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</si>
  <si>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</si>
  <si>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</si>
  <si>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</si>
  <si>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</si>
  <si>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</si>
  <si>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</si>
  <si>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</si>
  <si>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</si>
  <si>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</si>
  <si>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</si>
  <si>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</si>
  <si>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</si>
  <si>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</si>
  <si>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</si>
  <si>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</si>
  <si>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</si>
  <si>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</si>
  <si>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</si>
  <si>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</si>
  <si>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</si>
  <si>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</si>
  <si>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</si>
  <si>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</si>
  <si>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</si>
  <si>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</si>
  <si>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</si>
  <si>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</si>
  <si>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</si>
  <si>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</si>
  <si>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</si>
  <si>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</si>
  <si>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</si>
  <si>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</si>
  <si>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</si>
  <si>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</si>
  <si>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</si>
  <si>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</si>
  <si>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</si>
  <si>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</si>
  <si>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</si>
  <si>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</si>
  <si>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</si>
  <si>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</si>
  <si>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</si>
  <si>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</si>
  <si>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</si>
  <si>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</si>
  <si>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</si>
  <si>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</si>
  <si>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</si>
  <si>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</si>
  <si>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</si>
  <si>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</si>
  <si>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</si>
  <si>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</si>
  <si>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</si>
  <si>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</si>
  <si>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</si>
  <si>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</si>
  <si>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</si>
  <si>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</si>
  <si>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</si>
  <si>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</si>
  <si>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</si>
  <si>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</si>
  <si>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</si>
  <si>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</si>
  <si>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</si>
  <si>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</si>
  <si>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</si>
  <si>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</si>
  <si>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</si>
  <si>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</si>
  <si>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</si>
  <si>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</si>
  <si>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</si>
  <si>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</si>
  <si>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</si>
  <si>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</si>
  <si>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</si>
  <si>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</si>
  <si>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</si>
  <si>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</si>
  <si>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</si>
  <si>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</si>
  <si>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</si>
  <si>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</si>
  <si>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</si>
  <si>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</si>
  <si>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</si>
  <si>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</si>
  <si>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</si>
  <si>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</si>
  <si>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</si>
  <si>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</si>
  <si>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</si>
  <si>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</si>
  <si>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</si>
  <si>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</si>
  <si>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</si>
  <si>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</si>
  <si>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</si>
  <si>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</si>
  <si>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</si>
  <si>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</si>
  <si>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</si>
  <si>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</si>
  <si>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</si>
  <si>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</si>
  <si>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</si>
  <si>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</si>
  <si>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</si>
  <si>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</si>
  <si>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</si>
  <si>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</si>
  <si>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</si>
  <si>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</si>
  <si>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</si>
  <si>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</si>
  <si>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</si>
  <si>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</si>
  <si>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</si>
  <si>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</si>
  <si>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</si>
  <si>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</si>
  <si>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</si>
  <si>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</si>
  <si>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</si>
  <si>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</si>
  <si>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</si>
  <si>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</si>
  <si>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</si>
  <si>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</si>
  <si>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</si>
  <si>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</si>
  <si>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</si>
  <si>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</si>
  <si>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</si>
  <si>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</si>
  <si>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</si>
  <si>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</si>
  <si>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</si>
  <si>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</si>
  <si>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</si>
  <si>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</si>
  <si>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</si>
  <si>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</si>
  <si>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</si>
  <si>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</si>
  <si>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</si>
  <si>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</si>
  <si>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</si>
  <si>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</si>
  <si>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</si>
  <si>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</si>
  <si>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</si>
  <si>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</si>
  <si>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</si>
  <si>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</si>
  <si>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</si>
  <si>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</si>
  <si>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</si>
  <si>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</si>
  <si>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</si>
  <si>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</si>
  <si>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</si>
  <si>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</si>
  <si>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</si>
  <si>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</si>
  <si>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</si>
  <si>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</si>
  <si>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</si>
  <si>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</si>
  <si>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</si>
  <si>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</si>
  <si>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</si>
  <si>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</si>
  <si>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</si>
  <si>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</si>
  <si>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</si>
  <si>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</si>
  <si>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</si>
  <si>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</si>
  <si>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</si>
  <si>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</si>
  <si>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</si>
  <si>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</si>
  <si>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</si>
  <si>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</si>
  <si>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</si>
  <si>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</si>
  <si>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</si>
  <si>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</si>
  <si>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</si>
  <si>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</si>
  <si>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</si>
  <si>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</si>
  <si>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</si>
  <si>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</si>
  <si>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</si>
  <si>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</si>
  <si>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</si>
  <si>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</si>
  <si>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</si>
  <si>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</si>
  <si>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</si>
  <si>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</si>
  <si>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</si>
  <si>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</si>
  <si>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</si>
  <si>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</si>
  <si>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</si>
  <si>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</si>
  <si>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</si>
  <si>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</si>
  <si>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</si>
  <si>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</si>
  <si>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</si>
  <si>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</si>
  <si>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</si>
  <si>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</si>
  <si>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</si>
  <si>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</si>
  <si>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</si>
  <si>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</si>
  <si>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</si>
  <si>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</si>
  <si>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</si>
  <si>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</si>
  <si>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</si>
  <si>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</si>
  <si>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</si>
  <si>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</si>
  <si>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</si>
  <si>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</si>
  <si>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</si>
  <si>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</si>
  <si>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</si>
  <si>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</si>
  <si>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</si>
  <si>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</si>
  <si>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</si>
  <si>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</si>
  <si>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</si>
  <si>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</si>
  <si>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</si>
  <si>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</si>
  <si>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</si>
  <si>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</si>
  <si>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</si>
  <si>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</si>
  <si>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</si>
  <si>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</si>
  <si>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</si>
  <si>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</si>
  <si>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</si>
  <si>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</si>
  <si>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</si>
  <si>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</si>
  <si>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</si>
  <si>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</si>
  <si>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</si>
  <si>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</si>
  <si>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</si>
  <si>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</si>
  <si>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</si>
  <si>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</si>
  <si>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</si>
  <si>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</si>
  <si>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</si>
  <si>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</si>
  <si>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</si>
  <si>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</si>
  <si>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</si>
  <si>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</si>
  <si>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</si>
  <si>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</si>
  <si>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</si>
  <si>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</si>
  <si>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</si>
  <si>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</si>
  <si>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</si>
  <si>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</si>
  <si>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</si>
  <si>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</si>
  <si>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</si>
  <si>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</si>
  <si>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</si>
  <si>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</si>
  <si>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</si>
  <si>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</si>
  <si>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</si>
  <si>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</si>
  <si>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</si>
  <si>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</si>
  <si>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</si>
  <si>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</si>
  <si>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</si>
  <si>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</si>
  <si>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</si>
  <si>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</si>
  <si>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</si>
  <si>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</si>
  <si>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</si>
  <si>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</si>
  <si>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</si>
  <si>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</si>
  <si>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</si>
  <si>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</si>
  <si>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</si>
  <si>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</si>
  <si>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</si>
  <si>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</si>
  <si>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</si>
  <si>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</si>
  <si>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</si>
  <si>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</si>
  <si>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</si>
  <si>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</si>
  <si>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</si>
  <si>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</si>
  <si>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</si>
  <si>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</si>
  <si>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</si>
  <si>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</si>
  <si>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</si>
  <si>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</si>
  <si>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</si>
  <si>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</si>
  <si>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</si>
  <si>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</si>
  <si>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</si>
  <si>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</si>
  <si>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</si>
  <si>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</si>
  <si>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</si>
  <si>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</si>
  <si>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</si>
  <si>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</si>
  <si>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</si>
  <si>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</si>
  <si>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</si>
  <si>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</si>
  <si>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</si>
  <si>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</si>
  <si>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</si>
  <si>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</si>
  <si>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</si>
  <si>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</si>
  <si>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</si>
  <si>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</si>
  <si>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</si>
  <si>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</si>
  <si>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</si>
  <si>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</si>
  <si>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</si>
  <si>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</si>
  <si>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</si>
  <si>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</si>
  <si>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</si>
  <si>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</si>
  <si>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</si>
  <si>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</si>
  <si>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</si>
  <si>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</si>
  <si>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</si>
  <si>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</si>
  <si>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</si>
  <si>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</si>
  <si>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</si>
  <si>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</si>
  <si>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</si>
  <si>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</si>
  <si>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</si>
  <si>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</si>
  <si>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</si>
  <si>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</si>
  <si>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</si>
  <si>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</si>
  <si>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</si>
  <si>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</si>
  <si>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</si>
  <si>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</si>
  <si>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</si>
  <si>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</si>
  <si>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</si>
  <si>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</si>
  <si>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</si>
  <si>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</si>
  <si>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</si>
  <si>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</si>
  <si>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</si>
  <si>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</si>
  <si>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</si>
  <si>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</si>
  <si>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</si>
  <si>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</si>
  <si>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</si>
  <si>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</si>
  <si>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</si>
  <si>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</si>
  <si>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</si>
  <si>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</si>
  <si>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</si>
  <si>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</si>
  <si>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</si>
  <si>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</si>
  <si>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</si>
  <si>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</si>
  <si>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</si>
  <si>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</si>
  <si>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</si>
  <si>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</si>
  <si>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</si>
  <si>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</si>
  <si>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</si>
  <si>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</si>
  <si>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</si>
  <si>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</si>
  <si>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</si>
  <si>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</si>
  <si>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</si>
  <si>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</si>
  <si>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</si>
  <si>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</si>
  <si>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</si>
  <si>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</si>
  <si>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</si>
  <si>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</si>
  <si>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</si>
  <si>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</si>
  <si>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</si>
  <si>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</si>
  <si>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</si>
  <si>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</si>
  <si>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</si>
  <si>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</si>
  <si>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</si>
  <si>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</si>
  <si>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</si>
  <si>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</si>
  <si>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</si>
  <si>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</si>
  <si>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</si>
  <si>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</si>
  <si>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</si>
  <si>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</si>
  <si>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</si>
  <si>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</si>
  <si>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</si>
  <si>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</si>
  <si>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</si>
  <si>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</si>
  <si>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</si>
  <si>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</si>
  <si>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</si>
  <si>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</si>
  <si>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</si>
  <si>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</si>
  <si>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</si>
  <si>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</si>
  <si>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</si>
  <si>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</si>
  <si>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</si>
  <si>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</si>
  <si>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</si>
  <si>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</si>
  <si>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</si>
  <si>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</si>
  <si>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</si>
  <si>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</si>
  <si>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</si>
  <si>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</si>
  <si>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</si>
  <si>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</si>
  <si>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</si>
  <si>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</si>
  <si>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</si>
  <si>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</si>
  <si>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</si>
  <si>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</si>
  <si>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</si>
  <si>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</si>
  <si>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</si>
  <si>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</si>
  <si>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</si>
  <si>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</si>
  <si>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</si>
  <si>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</si>
  <si>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</si>
  <si>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</si>
  <si>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</si>
  <si>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</si>
  <si>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</si>
  <si>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</si>
  <si>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</si>
  <si>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</si>
  <si>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</si>
  <si>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</si>
  <si>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</si>
  <si>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</si>
  <si>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</si>
  <si>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</si>
  <si>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</si>
  <si>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</si>
  <si>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</si>
  <si>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</si>
  <si>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</si>
  <si>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</si>
  <si>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</si>
  <si>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</si>
  <si>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</si>
  <si>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</si>
  <si>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</si>
  <si>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</si>
  <si>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</si>
  <si>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</si>
  <si>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</si>
  <si>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</si>
  <si>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</si>
  <si>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</si>
  <si>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</si>
  <si>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</si>
  <si>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</si>
  <si>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</si>
  <si>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</si>
  <si>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</si>
  <si>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</si>
  <si>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</si>
  <si>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</si>
  <si>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</si>
  <si>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</si>
  <si>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</si>
  <si>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</si>
  <si>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</si>
  <si>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</si>
  <si>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</si>
  <si>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</si>
  <si>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</si>
  <si>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</si>
  <si>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</si>
  <si>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</si>
  <si>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</si>
  <si>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</si>
  <si>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</si>
  <si>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</si>
  <si>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</si>
  <si>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</si>
  <si>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</si>
  <si>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</si>
  <si>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</si>
  <si>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</si>
  <si>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</si>
  <si>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</si>
  <si>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</si>
  <si>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</si>
  <si>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</si>
  <si>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</si>
  <si>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</si>
  <si>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</si>
  <si>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</si>
  <si>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</si>
  <si>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</si>
  <si>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</si>
  <si>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</si>
  <si>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</si>
  <si>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</si>
  <si>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</si>
  <si>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</si>
  <si>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</si>
  <si>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</si>
  <si>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</si>
  <si>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</si>
  <si>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</si>
  <si>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</si>
  <si>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</si>
  <si>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</si>
  <si>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</si>
  <si>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</si>
  <si>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</si>
  <si>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</si>
  <si>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</si>
  <si>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</si>
  <si>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</si>
  <si>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</si>
  <si>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</si>
  <si>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</si>
  <si>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</si>
  <si>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</si>
  <si>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</si>
  <si>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</si>
  <si>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</si>
  <si>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</si>
  <si>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</si>
  <si>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</si>
  <si>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</si>
  <si>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</si>
  <si>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</si>
  <si>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</si>
  <si>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</si>
  <si>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</si>
  <si>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</si>
  <si>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</si>
  <si>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</si>
  <si>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</si>
  <si>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</si>
  <si>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</si>
  <si>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</si>
  <si>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</si>
  <si>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</si>
  <si>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</si>
  <si>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</si>
  <si>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</si>
  <si>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</si>
  <si>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</si>
  <si>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</si>
  <si>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</si>
  <si>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</si>
  <si>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</si>
  <si>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</si>
  <si>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</si>
  <si>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</si>
  <si>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</si>
  <si>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</si>
  <si>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</si>
  <si>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</si>
  <si>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</si>
  <si>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</si>
  <si>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</si>
  <si>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</si>
  <si>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</si>
  <si>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</si>
  <si>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</si>
  <si>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</si>
  <si>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</si>
  <si>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</si>
  <si>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</si>
  <si>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</si>
  <si>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</si>
  <si>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</si>
  <si>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</si>
  <si>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</si>
  <si>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</si>
  <si>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</si>
  <si>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</si>
  <si>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</si>
  <si>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</si>
  <si>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</si>
  <si>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</si>
  <si>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</si>
  <si>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</si>
  <si>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</si>
  <si>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</si>
  <si>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</si>
  <si>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</si>
  <si>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</si>
  <si>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</si>
  <si>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</si>
  <si>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</si>
  <si>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</si>
  <si>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</si>
  <si>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</si>
  <si>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</si>
  <si>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</si>
  <si>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</si>
  <si>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</si>
  <si>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</si>
  <si>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</si>
  <si>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</si>
  <si>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</si>
  <si>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</si>
  <si>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</si>
  <si>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</si>
  <si>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</si>
  <si>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</si>
  <si>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</si>
  <si>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</si>
  <si>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</si>
  <si>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</si>
  <si>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</si>
  <si>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</si>
  <si>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</si>
  <si>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</si>
  <si>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</si>
  <si>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</si>
  <si>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</si>
  <si>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</si>
  <si>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</si>
  <si>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</si>
  <si>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</si>
  <si>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</si>
  <si>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</si>
  <si>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</si>
  <si>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</si>
  <si>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</si>
  <si>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</si>
  <si>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</si>
  <si>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</si>
  <si>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</si>
  <si>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</si>
  <si>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</si>
  <si>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</si>
  <si>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</si>
  <si>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</si>
  <si>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</si>
  <si>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</si>
  <si>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</si>
  <si>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</si>
  <si>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</si>
  <si>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</si>
  <si>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</si>
  <si>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</si>
  <si>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</si>
  <si>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</si>
  <si>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</si>
  <si>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</si>
  <si>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</si>
  <si>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</si>
  <si>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</si>
  <si>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</si>
  <si>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</si>
  <si>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</si>
  <si>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</si>
  <si>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</si>
  <si>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</si>
  <si>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</si>
  <si>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</si>
  <si>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</si>
  <si>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</si>
  <si>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</si>
  <si>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</si>
  <si>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</si>
  <si>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</si>
  <si>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</si>
  <si>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</si>
  <si>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</si>
  <si>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</si>
  <si>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</si>
  <si>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</si>
  <si>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</si>
  <si>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</si>
  <si>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</si>
  <si>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</si>
  <si>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</si>
  <si>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</si>
  <si>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</si>
  <si>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</si>
  <si>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</si>
  <si>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</si>
  <si>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</si>
  <si>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</si>
  <si>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</si>
  <si>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</si>
  <si>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</si>
  <si>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</si>
  <si>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</si>
  <si>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</si>
  <si>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</si>
  <si>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</si>
  <si>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</si>
  <si>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</si>
  <si>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</si>
  <si>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</si>
  <si>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</si>
  <si>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</si>
  <si>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</si>
  <si>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</si>
  <si>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</si>
  <si>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</si>
  <si>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</si>
  <si>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</si>
  <si>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</si>
  <si>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</si>
  <si>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</si>
  <si>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</si>
  <si>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</si>
  <si>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</si>
  <si>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</si>
  <si>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</si>
  <si>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</si>
  <si>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</si>
  <si>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</si>
  <si>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</si>
  <si>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</si>
  <si>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</si>
  <si>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</si>
  <si>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</si>
  <si>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</si>
  <si>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</si>
  <si>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</si>
  <si>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</si>
  <si>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</si>
  <si>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</si>
  <si>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</si>
  <si>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</si>
  <si>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</si>
  <si>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</si>
  <si>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</si>
  <si>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</si>
  <si>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</si>
  <si>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</si>
  <si>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</si>
  <si>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</si>
  <si>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</si>
  <si>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</si>
  <si>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</si>
  <si>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</si>
  <si>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</si>
  <si>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</si>
  <si>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</si>
  <si>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</si>
  <si>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</si>
  <si>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</si>
  <si>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</si>
  <si>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</si>
  <si>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</si>
  <si>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</si>
  <si>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</si>
  <si>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</si>
  <si>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</si>
  <si>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</si>
  <si>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</si>
  <si>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</si>
  <si>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</si>
  <si>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</si>
  <si>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</si>
  <si>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</si>
  <si>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</si>
  <si>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</si>
  <si>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</si>
  <si>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</si>
  <si>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</si>
  <si>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</si>
  <si>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</si>
  <si>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</si>
  <si>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</si>
  <si>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</si>
  <si>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</si>
  <si>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</si>
  <si>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</si>
  <si>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</si>
  <si>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</si>
  <si>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</si>
  <si>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</si>
  <si>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</si>
  <si>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</si>
  <si>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</si>
  <si>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</si>
  <si>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</si>
  <si>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</si>
  <si>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</si>
  <si>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</si>
  <si>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</si>
  <si>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</si>
  <si>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</si>
  <si>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</si>
  <si>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</si>
  <si>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</si>
  <si>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</si>
  <si>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</si>
  <si>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</si>
  <si>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</si>
  <si>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</si>
  <si>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</si>
  <si>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</si>
  <si>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</si>
  <si>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</si>
  <si>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</si>
  <si>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</si>
  <si>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</si>
  <si>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</si>
  <si>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</si>
  <si>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</si>
  <si>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</si>
  <si>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</si>
  <si>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</si>
  <si>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</si>
  <si>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</si>
  <si>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</si>
  <si>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</si>
  <si>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</si>
  <si>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</si>
  <si>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</si>
  <si>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</si>
  <si>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</si>
  <si>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</si>
  <si>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</si>
  <si>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</si>
  <si>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</si>
  <si>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</si>
  <si>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</si>
  <si>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</si>
  <si>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</si>
  <si>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</si>
  <si>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</si>
  <si>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</si>
  <si>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</si>
  <si>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</si>
  <si>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</si>
  <si>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</si>
  <si>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</si>
  <si>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</si>
  <si>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</si>
  <si>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</si>
  <si>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</si>
  <si>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</si>
  <si>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</si>
  <si>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</si>
  <si>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</si>
  <si>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</si>
  <si>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</si>
  <si>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</si>
  <si>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</si>
  <si>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</si>
  <si>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</si>
  <si>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</si>
  <si>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</si>
  <si>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</si>
  <si>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</si>
  <si>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</si>
  <si>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</si>
  <si>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</si>
  <si>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</si>
  <si>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</si>
  <si>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</si>
  <si>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</si>
  <si>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</si>
  <si>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</si>
  <si>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</si>
  <si>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</si>
  <si>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</si>
  <si>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</si>
  <si>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</si>
  <si>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</si>
  <si>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</si>
  <si>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</si>
  <si>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</si>
  <si>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</si>
  <si>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</si>
  <si>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</si>
  <si>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</si>
  <si>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</si>
  <si>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</si>
  <si>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</si>
  <si>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</si>
  <si>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</si>
  <si>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</si>
  <si>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</si>
  <si>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</si>
  <si>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</si>
  <si>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</si>
  <si>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</si>
  <si>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</si>
  <si>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</si>
  <si>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</si>
  <si>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</si>
  <si>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</si>
  <si>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</si>
  <si>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</si>
  <si>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</si>
  <si>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</si>
  <si>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</si>
  <si>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</si>
  <si>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</si>
  <si>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</si>
  <si>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</si>
  <si>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</si>
  <si>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</si>
  <si>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</si>
  <si>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</si>
  <si>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</si>
  <si>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</si>
  <si>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</si>
  <si>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</si>
  <si>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</si>
  <si>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</si>
  <si>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</si>
  <si>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</si>
  <si>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</si>
  <si>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</si>
  <si>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</si>
  <si>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</si>
  <si>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</si>
  <si>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</si>
  <si>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</si>
  <si>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</si>
  <si>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</si>
  <si>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</si>
  <si>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</si>
  <si>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</si>
  <si>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</si>
  <si>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</si>
  <si>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</si>
  <si>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</si>
  <si>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</si>
  <si>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</si>
  <si>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</si>
  <si>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</si>
  <si>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</si>
  <si>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</si>
  <si>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</si>
  <si>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</si>
  <si>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</si>
  <si>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</si>
  <si>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</si>
  <si>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</si>
  <si>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</si>
  <si>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</si>
  <si>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</si>
  <si>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</si>
  <si>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</si>
  <si>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</si>
  <si>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</si>
  <si>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</si>
  <si>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</si>
  <si>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</si>
  <si>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</si>
  <si>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</si>
  <si>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</si>
  <si>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</si>
  <si>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</si>
  <si>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</si>
  <si>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</si>
  <si>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</si>
  <si>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</si>
  <si>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</si>
  <si>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</si>
  <si>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</si>
  <si>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</si>
  <si>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</si>
  <si>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</si>
  <si>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</si>
  <si>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</si>
  <si>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</si>
  <si>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</si>
  <si>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</si>
  <si>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</si>
  <si>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</si>
  <si>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</si>
  <si>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</si>
  <si>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</si>
  <si>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</si>
  <si>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</si>
  <si>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</si>
  <si>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</si>
  <si>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</si>
  <si>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</si>
  <si>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</si>
  <si>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</si>
  <si>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</si>
  <si>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</si>
  <si>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</si>
  <si>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</si>
  <si>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</si>
  <si>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</si>
  <si>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</si>
  <si>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</si>
  <si>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</si>
  <si>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</si>
  <si>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</si>
  <si>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</si>
  <si>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</si>
  <si>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</si>
  <si>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</si>
  <si>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</si>
  <si>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</si>
  <si>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</si>
  <si>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</si>
  <si>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</si>
  <si>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</si>
  <si>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</si>
  <si>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</si>
  <si>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</si>
  <si>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</si>
  <si>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</si>
  <si>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</si>
  <si>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</si>
  <si>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</si>
  <si>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</si>
  <si>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</si>
  <si>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</si>
  <si>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</si>
  <si>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</si>
  <si>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</si>
  <si>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</si>
  <si>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</si>
  <si>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</si>
  <si>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</si>
  <si>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</si>
  <si>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</si>
  <si>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</si>
  <si>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</si>
  <si>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</si>
  <si>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</si>
  <si>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</si>
  <si>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</si>
  <si>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</si>
  <si>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</si>
  <si>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</si>
  <si>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</si>
  <si>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</si>
  <si>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</si>
  <si>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</si>
  <si>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</si>
  <si>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</si>
  <si>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</si>
  <si>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</si>
  <si>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</si>
  <si>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</si>
  <si>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</si>
  <si>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</si>
  <si>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</si>
  <si>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</si>
  <si>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</si>
  <si>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</si>
  <si>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</si>
  <si>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</si>
  <si>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</si>
  <si>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</si>
  <si>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</si>
  <si>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</si>
  <si>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</si>
  <si>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</si>
  <si>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</si>
  <si>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</si>
  <si>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</si>
  <si>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</si>
  <si>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</si>
  <si>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</si>
  <si>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</si>
  <si>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</si>
  <si>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</si>
  <si>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</si>
  <si>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</si>
  <si>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</si>
  <si>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</si>
  <si>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</si>
  <si>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</si>
  <si>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</si>
  <si>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</si>
  <si>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</si>
  <si>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</si>
  <si>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</si>
  <si>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</si>
  <si>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</si>
  <si>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</si>
  <si>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</si>
  <si>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</si>
  <si>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</si>
  <si>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</si>
  <si>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</si>
  <si>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</si>
  <si>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</si>
  <si>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</si>
  <si>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</si>
  <si>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</si>
  <si>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</si>
  <si>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</si>
  <si>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</si>
  <si>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</si>
  <si>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</si>
  <si>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</si>
  <si>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</si>
  <si>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</si>
  <si>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</si>
  <si>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</si>
  <si>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</si>
  <si>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</si>
  <si>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</si>
  <si>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</si>
  <si>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</si>
  <si>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</si>
  <si>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</si>
  <si>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</si>
  <si>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</si>
  <si>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</si>
  <si>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</si>
  <si>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</si>
  <si>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</si>
  <si>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</si>
  <si>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</si>
  <si>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</si>
  <si>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</si>
  <si>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</si>
  <si>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</si>
  <si>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</si>
  <si>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</si>
  <si>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Mildred Stark Library Trust</t>
  </si>
  <si>
    <t>column 4 - Auditor Plodzik suggested this be a negative balance-but will be corrected once funds are requested from the District's 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</si>
</sst>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3">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right/>
      <top/>
      <bottom style="thin">
        <color theme="4" tint="0.39997558519241921"/>
      </bottom>
      <diagonal/>
    </border>
  </borders>
  <cellStyleXfs count="45">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xf numFmtId="0" fontId="35"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64" fillId="0" borderId="42" xfId="0" applyNumberFormat="1" applyFont="1" applyBorder="1" applyAlignment="1" applyProtection="1">
      <alignment horizontal="left"/>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33EF4275-4563-42A3-9708-A035F5ABBBB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10" zoomScaleNormal="11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1063</v>
      </c>
      <c r="B2" s="126">
        <f>INDEX('School Tables'!$AH$3:$AH$208,MATCH('DOE25'!A2,'School Tables'!$AJ$3:$AJ$208,0))</f>
        <v>199</v>
      </c>
      <c r="C2" s="126">
        <f>INDEX('School Tables'!$AI$3:$AI$208,MATCH('DOE25'!A2,'School Tables'!$AJ$3:$AJ$208,0))</f>
        <v>199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5274566.87-26805</f>
        <v>5247761.87</v>
      </c>
      <c r="G9" s="18">
        <v>127919.34</v>
      </c>
      <c r="H9" s="18">
        <v>26805</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421783.94+26805</f>
        <v>448588.94</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35611.01</v>
      </c>
      <c r="G13" s="18">
        <v>389623.58</v>
      </c>
      <c r="H13" s="18">
        <v>756416.84</v>
      </c>
      <c r="I13" s="18"/>
      <c r="J13" s="67">
        <f>SUM(I443)</f>
        <v>324242.19</v>
      </c>
      <c r="K13" s="24" t="s">
        <v>288</v>
      </c>
      <c r="L13" s="24" t="s">
        <v>288</v>
      </c>
      <c r="M13" s="8"/>
      <c r="N13" s="265"/>
    </row>
    <row r="14" spans="1:14" s="3" customFormat="1" ht="12.2" customHeight="1" x14ac:dyDescent="0.15">
      <c r="A14" s="1" t="s">
        <v>565</v>
      </c>
      <c r="B14" s="2" t="s">
        <v>289</v>
      </c>
      <c r="C14" s="6">
        <v>6</v>
      </c>
      <c r="D14" s="2" t="s">
        <v>428</v>
      </c>
      <c r="E14" s="6">
        <v>150</v>
      </c>
      <c r="F14" s="18">
        <v>22440.760000000002</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22698.25</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82453.149999999994</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5859553.9800000004</v>
      </c>
      <c r="G19" s="41">
        <f>SUM(G9:G18)</f>
        <v>517542.92000000004</v>
      </c>
      <c r="H19" s="41">
        <f>SUM(H9:H18)</f>
        <v>783221.84</v>
      </c>
      <c r="I19" s="41">
        <f>SUM(I9:I18)</f>
        <v>0</v>
      </c>
      <c r="J19" s="41">
        <f>SUM(J9:J18)</f>
        <v>324242.19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f>421783.94+26805</f>
        <v>448588.94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1145472.49</v>
      </c>
      <c r="G23" s="18"/>
      <c r="H23" s="18">
        <v>1602.32</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275728.17</v>
      </c>
      <c r="G24" s="18">
        <v>36575.919999999998</v>
      </c>
      <c r="H24" s="18">
        <v>280550.08</v>
      </c>
      <c r="I24" s="18">
        <v>609</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v>14737.37</v>
      </c>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87220.74</v>
      </c>
      <c r="G28" s="18">
        <v>1220.6300000000001</v>
      </c>
      <c r="H28" s="18">
        <v>8804.5499999999993</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18100</v>
      </c>
      <c r="G30" s="18">
        <v>30077.9</v>
      </c>
      <c r="H30" s="18">
        <v>28938.579999999998</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2577</v>
      </c>
      <c r="G31" s="18">
        <v>30.65</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1529098.4</v>
      </c>
      <c r="G32" s="41">
        <f>SUM(G22:G31)</f>
        <v>67905.099999999991</v>
      </c>
      <c r="H32" s="41">
        <f>SUM(H22:H31)</f>
        <v>783221.84000000008</v>
      </c>
      <c r="I32" s="41">
        <f>SUM(I22:I31)</f>
        <v>609</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22698.25</v>
      </c>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82453.149999999994</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35722</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4484.75</v>
      </c>
      <c r="K39" s="24" t="s">
        <v>288</v>
      </c>
      <c r="L39" s="24" t="s">
        <v>288</v>
      </c>
      <c r="M39" s="8"/>
      <c r="N39" s="265"/>
    </row>
    <row r="40" spans="1:14" s="3" customFormat="1" ht="12.2" customHeight="1" x14ac:dyDescent="0.15">
      <c r="A40" s="1" t="s">
        <v>860</v>
      </c>
      <c r="B40" s="6">
        <v>1</v>
      </c>
      <c r="C40" s="6">
        <v>27</v>
      </c>
      <c r="D40" s="2"/>
      <c r="E40" s="6"/>
      <c r="F40" s="24" t="s">
        <v>288</v>
      </c>
      <c r="G40" s="18">
        <v>449637.82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345587.28</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865000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v>-609</v>
      </c>
      <c r="J48" s="13">
        <f>SUM(I460)</f>
        <v>284035.44</v>
      </c>
      <c r="K48" s="24" t="s">
        <v>288</v>
      </c>
      <c r="L48" s="24" t="s">
        <v>288</v>
      </c>
      <c r="M48" s="8"/>
      <c r="N48" s="265"/>
    </row>
    <row r="49" spans="1:14" s="3" customFormat="1" ht="12.2" customHeight="1" x14ac:dyDescent="0.15">
      <c r="A49" s="1" t="s">
        <v>859</v>
      </c>
      <c r="B49" s="2" t="s">
        <v>289</v>
      </c>
      <c r="C49" s="6">
        <v>34</v>
      </c>
      <c r="D49" s="2"/>
      <c r="E49" s="6">
        <v>753</v>
      </c>
      <c r="F49" s="18"/>
      <c r="G49" s="18" t="s">
        <v>286</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2814716.9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4330455.58</v>
      </c>
      <c r="G51" s="41">
        <f>SUM(G35:G50)</f>
        <v>449637.82</v>
      </c>
      <c r="H51" s="41">
        <f>SUM(H35:H50)</f>
        <v>0</v>
      </c>
      <c r="I51" s="41">
        <f>SUM(I35:I50)</f>
        <v>-609</v>
      </c>
      <c r="J51" s="41">
        <f>SUM(J35:J50)</f>
        <v>324242.19</v>
      </c>
      <c r="K51" s="45" t="s">
        <v>288</v>
      </c>
      <c r="L51" s="45" t="s">
        <v>288</v>
      </c>
      <c r="N51" s="263"/>
    </row>
    <row r="52" spans="1:14" s="3" customFormat="1" ht="12.2" customHeight="1" thickTop="1" x14ac:dyDescent="0.15">
      <c r="A52" s="38" t="s">
        <v>455</v>
      </c>
      <c r="B52" s="39" t="s">
        <v>289</v>
      </c>
      <c r="C52" s="6">
        <v>37</v>
      </c>
      <c r="D52" s="39" t="s">
        <v>653</v>
      </c>
      <c r="E52" s="39"/>
      <c r="F52" s="41">
        <f>F51+F32</f>
        <v>5859553.9800000004</v>
      </c>
      <c r="G52" s="41">
        <f>G51+G32</f>
        <v>517542.92</v>
      </c>
      <c r="H52" s="41">
        <f>H51+H32</f>
        <v>783221.84000000008</v>
      </c>
      <c r="I52" s="41">
        <f>I51+I32</f>
        <v>0</v>
      </c>
      <c r="J52" s="41">
        <f>J51+J32</f>
        <v>324242.19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23272991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23272991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48300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17330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7238487.5599999996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195509.69</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7499627.25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9749.23</v>
      </c>
      <c r="G96" s="18"/>
      <c r="H96" s="18"/>
      <c r="I96" s="18"/>
      <c r="J96" s="18">
        <f>857.58+764.33</f>
        <v>1621.91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116752.39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17217.5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635.37</v>
      </c>
      <c r="G102" s="18"/>
      <c r="H102" s="18">
        <v>5559.5</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28762.23</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20675.98</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510466.99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587507.30000000005</v>
      </c>
      <c r="G111" s="41">
        <f>SUM(G96:G110)</f>
        <v>116752.39</v>
      </c>
      <c r="H111" s="41">
        <f>SUM(H96:H110)</f>
        <v>5559.5</v>
      </c>
      <c r="I111" s="41">
        <f>SUM(I96:I110)</f>
        <v>0</v>
      </c>
      <c r="J111" s="41">
        <f>SUM(J96:J110)</f>
        <v>1621.91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31360125.550000001</v>
      </c>
      <c r="G112" s="41">
        <f>G60+G111</f>
        <v>116752.39</v>
      </c>
      <c r="H112" s="41">
        <f>H60+H79+H94+H111</f>
        <v>5559.5</v>
      </c>
      <c r="I112" s="41">
        <f>I60+I111</f>
        <v>0</v>
      </c>
      <c r="J112" s="41">
        <f>J60+J111</f>
        <v>1621.91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7826735.8300000001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3364276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21651.02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11212662.85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262445.82</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417536.21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30682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v>91573.85</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12374.61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710664.03</v>
      </c>
      <c r="G136" s="41">
        <f>SUM(G123:G135)</f>
        <v>12374.61</v>
      </c>
      <c r="H136" s="41">
        <f>SUM(H123:H135)</f>
        <v>91573.85</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11923326.879999999</v>
      </c>
      <c r="G140" s="41">
        <f>G121+SUM(G136:G137)</f>
        <v>12374.61</v>
      </c>
      <c r="H140" s="41">
        <f>H121+SUM(H136:H139)</f>
        <v>91573.85</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300995.06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149655.60999999996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1385925.5100000002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626088.6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31934.68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82778.489999999991</v>
      </c>
      <c r="H161" s="18">
        <v>225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895509.88000000012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31934.68</v>
      </c>
      <c r="G163" s="41">
        <f>SUM(G150:G162)</f>
        <v>1468704.0000000002</v>
      </c>
      <c r="H163" s="41">
        <f>SUM(H150:H162)</f>
        <v>1972474.1500000001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31934.68</v>
      </c>
      <c r="G170" s="41">
        <f>G147+G163+SUM(G164:G169)</f>
        <v>1468704.0000000002</v>
      </c>
      <c r="H170" s="41">
        <f>H147+H163+SUM(H164:H169)</f>
        <v>1972474.1500000001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64.599999999999994</v>
      </c>
      <c r="H180" s="18"/>
      <c r="I180" s="18"/>
      <c r="J180" s="18">
        <v>200000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64.599999999999994</v>
      </c>
      <c r="H184" s="41">
        <f>SUM(H180:H183)</f>
        <v>0</v>
      </c>
      <c r="I184" s="41">
        <f>SUM(I180:I183)</f>
        <v>0</v>
      </c>
      <c r="J184" s="41">
        <f>SUM(J180:J183)</f>
        <v>200000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4"/>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v>162025</v>
      </c>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SUM(I187:I188)</f>
        <v>162025</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64.599999999999994</v>
      </c>
      <c r="H193" s="41">
        <f>+H184+SUM(H189:H192)</f>
        <v>0</v>
      </c>
      <c r="I193" s="41">
        <f>I178+I184+SUM(I189:I192)</f>
        <v>162025</v>
      </c>
      <c r="J193" s="41">
        <f>J184</f>
        <v>200000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43315387.109999999</v>
      </c>
      <c r="G194" s="47">
        <f>G112+G140+G170+G193</f>
        <v>1597895.6000000003</v>
      </c>
      <c r="H194" s="47">
        <f>H112+H140+H170+H193</f>
        <v>2069607.5000000002</v>
      </c>
      <c r="I194" s="47">
        <f>I112+I140+I170+I193</f>
        <v>162025</v>
      </c>
      <c r="J194" s="47">
        <f>J112+J140+J193</f>
        <v>201621.91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3113525.1203999999</v>
      </c>
      <c r="G198" s="18">
        <v>1554989.7115</v>
      </c>
      <c r="H198" s="18">
        <v>123485.08279999999</v>
      </c>
      <c r="I198" s="18">
        <v>163824.90400000004</v>
      </c>
      <c r="J198" s="18">
        <v>32636.29</v>
      </c>
      <c r="K198" s="18">
        <v>0</v>
      </c>
      <c r="L198" s="19">
        <f>SUM(F198:K198)</f>
        <v>4988461.1086999997</v>
      </c>
      <c r="M198" s="8"/>
      <c r="N198" s="265"/>
    </row>
    <row r="199" spans="1:14" s="3" customFormat="1" ht="12.2" customHeight="1" x14ac:dyDescent="0.15">
      <c r="A199" s="1" t="s">
        <v>439</v>
      </c>
      <c r="B199" s="2" t="s">
        <v>341</v>
      </c>
      <c r="C199" s="2" t="s">
        <v>291</v>
      </c>
      <c r="D199" s="2" t="s">
        <v>431</v>
      </c>
      <c r="E199" s="6">
        <v>1200</v>
      </c>
      <c r="F199" s="18">
        <v>1997830.9157999998</v>
      </c>
      <c r="G199" s="18">
        <v>992363.30459999992</v>
      </c>
      <c r="H199" s="18">
        <v>458717.9758999999</v>
      </c>
      <c r="I199" s="18">
        <v>23963.658899999999</v>
      </c>
      <c r="J199" s="18">
        <v>11555.570000000002</v>
      </c>
      <c r="K199" s="18">
        <v>0</v>
      </c>
      <c r="L199" s="19">
        <f>SUM(F199:K199)</f>
        <v>3484431.4251999999</v>
      </c>
      <c r="M199" s="8"/>
      <c r="N199" s="265"/>
    </row>
    <row r="200" spans="1:14" s="3" customFormat="1" ht="12.2" customHeight="1" x14ac:dyDescent="0.15">
      <c r="A200" s="1" t="s">
        <v>440</v>
      </c>
      <c r="B200" s="2" t="s">
        <v>341</v>
      </c>
      <c r="C200" s="2" t="s">
        <v>292</v>
      </c>
      <c r="D200" s="2" t="s">
        <v>431</v>
      </c>
      <c r="E200" s="6">
        <v>1300</v>
      </c>
      <c r="F200" s="18"/>
      <c r="G200" s="18"/>
      <c r="H200" s="18">
        <v>0</v>
      </c>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579144.2966</v>
      </c>
      <c r="G203" s="18">
        <v>254992.92309999999</v>
      </c>
      <c r="H203" s="18">
        <v>1157.6415999999999</v>
      </c>
      <c r="I203" s="18">
        <v>26524.825100000005</v>
      </c>
      <c r="J203" s="18">
        <v>0</v>
      </c>
      <c r="K203" s="18">
        <v>0</v>
      </c>
      <c r="L203" s="19">
        <f t="shared" ref="L203:L209" si="0">SUM(F203:K203)</f>
        <v>861819.68640000001</v>
      </c>
      <c r="M203" s="8"/>
      <c r="N203" s="265"/>
    </row>
    <row r="204" spans="1:14" s="3" customFormat="1" ht="12.2" customHeight="1" x14ac:dyDescent="0.15">
      <c r="A204" s="1" t="s">
        <v>443</v>
      </c>
      <c r="B204" s="2" t="s">
        <v>341</v>
      </c>
      <c r="C204" s="2" t="s">
        <v>295</v>
      </c>
      <c r="D204" s="2" t="s">
        <v>431</v>
      </c>
      <c r="E204" s="6">
        <v>2200</v>
      </c>
      <c r="F204" s="18">
        <v>174089.61349999998</v>
      </c>
      <c r="G204" s="18">
        <v>84277.036200000002</v>
      </c>
      <c r="H204" s="18">
        <v>9166.6767</v>
      </c>
      <c r="I204" s="18">
        <v>18479.38</v>
      </c>
      <c r="J204" s="18">
        <v>815.9</v>
      </c>
      <c r="K204" s="18"/>
      <c r="L204" s="19">
        <f t="shared" si="0"/>
        <v>286828.60639999999</v>
      </c>
      <c r="M204" s="8"/>
      <c r="N204" s="265"/>
    </row>
    <row r="205" spans="1:14" s="3" customFormat="1" ht="12.2" customHeight="1" x14ac:dyDescent="0.15">
      <c r="A205" s="1" t="s">
        <v>444</v>
      </c>
      <c r="B205" s="2" t="s">
        <v>341</v>
      </c>
      <c r="C205" s="2" t="s">
        <v>296</v>
      </c>
      <c r="D205" s="2" t="s">
        <v>431</v>
      </c>
      <c r="E205" s="6">
        <v>2300</v>
      </c>
      <c r="F205" s="18">
        <v>7399.9386999999988</v>
      </c>
      <c r="G205" s="18">
        <v>595.19019999999989</v>
      </c>
      <c r="H205" s="18">
        <v>535239.62809999997</v>
      </c>
      <c r="I205" s="18">
        <v>1052.8914</v>
      </c>
      <c r="J205" s="18"/>
      <c r="K205" s="18">
        <v>2462.2943</v>
      </c>
      <c r="L205" s="19">
        <f t="shared" si="0"/>
        <v>546749.9426999999</v>
      </c>
      <c r="M205" s="8"/>
      <c r="N205" s="265"/>
    </row>
    <row r="206" spans="1:14" s="3" customFormat="1" ht="12.2" customHeight="1" x14ac:dyDescent="0.15">
      <c r="A206" s="1" t="s">
        <v>445</v>
      </c>
      <c r="B206" s="2" t="s">
        <v>341</v>
      </c>
      <c r="C206" s="2" t="s">
        <v>297</v>
      </c>
      <c r="D206" s="2" t="s">
        <v>431</v>
      </c>
      <c r="E206" s="6">
        <v>2400</v>
      </c>
      <c r="F206" s="18">
        <v>630437.33440000005</v>
      </c>
      <c r="G206" s="18">
        <v>381870.04060000007</v>
      </c>
      <c r="H206" s="18">
        <v>27389.088599999999</v>
      </c>
      <c r="I206" s="18">
        <v>4927.51</v>
      </c>
      <c r="J206" s="18">
        <v>0</v>
      </c>
      <c r="K206" s="18">
        <v>5438.72</v>
      </c>
      <c r="L206" s="19">
        <f t="shared" si="0"/>
        <v>1050062.6936000001</v>
      </c>
      <c r="M206" s="8"/>
      <c r="N206" s="265"/>
    </row>
    <row r="207" spans="1:14" s="3" customFormat="1" ht="12.2" customHeight="1" x14ac:dyDescent="0.15">
      <c r="A207" s="1" t="s">
        <v>446</v>
      </c>
      <c r="B207" s="2" t="s">
        <v>341</v>
      </c>
      <c r="C207" s="2" t="s">
        <v>298</v>
      </c>
      <c r="D207" s="2" t="s">
        <v>431</v>
      </c>
      <c r="E207" s="6">
        <v>2500</v>
      </c>
      <c r="F207" s="18"/>
      <c r="G207" s="18"/>
      <c r="H207" s="18">
        <v>0</v>
      </c>
      <c r="I207" s="18"/>
      <c r="J207" s="18"/>
      <c r="K207" s="18">
        <v>0</v>
      </c>
      <c r="L207" s="19">
        <f t="shared" si="0"/>
        <v>0</v>
      </c>
      <c r="M207" s="8"/>
      <c r="N207" s="265"/>
    </row>
    <row r="208" spans="1:14" s="3" customFormat="1" ht="12.2" customHeight="1" x14ac:dyDescent="0.15">
      <c r="A208" s="1" t="s">
        <v>447</v>
      </c>
      <c r="B208" s="2" t="s">
        <v>341</v>
      </c>
      <c r="C208" s="2" t="s">
        <v>299</v>
      </c>
      <c r="D208" s="2" t="s">
        <v>431</v>
      </c>
      <c r="E208" s="6">
        <v>2600</v>
      </c>
      <c r="F208" s="18">
        <v>314033.9572</v>
      </c>
      <c r="G208" s="18">
        <v>135734.43970000002</v>
      </c>
      <c r="H208" s="18">
        <v>331910.34079999995</v>
      </c>
      <c r="I208" s="18">
        <v>256472.64540000001</v>
      </c>
      <c r="J208" s="18">
        <v>47402.975599999998</v>
      </c>
      <c r="K208" s="18"/>
      <c r="L208" s="19">
        <f t="shared" si="0"/>
        <v>1085554.3587</v>
      </c>
      <c r="M208" s="8"/>
      <c r="N208" s="265"/>
    </row>
    <row r="209" spans="1:14" s="3" customFormat="1" ht="12.2" customHeight="1" x14ac:dyDescent="0.15">
      <c r="A209" s="1" t="s">
        <v>448</v>
      </c>
      <c r="B209" s="2" t="s">
        <v>341</v>
      </c>
      <c r="C209" s="2" t="s">
        <v>300</v>
      </c>
      <c r="D209" s="2" t="s">
        <v>431</v>
      </c>
      <c r="E209" s="6">
        <v>2700</v>
      </c>
      <c r="F209" s="18"/>
      <c r="G209" s="18"/>
      <c r="H209" s="18">
        <v>511614.56640000001</v>
      </c>
      <c r="I209" s="18"/>
      <c r="J209" s="18"/>
      <c r="K209" s="18"/>
      <c r="L209" s="19">
        <f t="shared" si="0"/>
        <v>511614.56640000001</v>
      </c>
      <c r="M209" s="8"/>
      <c r="N209" s="265"/>
    </row>
    <row r="210" spans="1:14" s="3" customFormat="1" ht="12.2" customHeight="1" x14ac:dyDescent="0.15">
      <c r="A210" s="1" t="s">
        <v>449</v>
      </c>
      <c r="B210" s="2" t="s">
        <v>341</v>
      </c>
      <c r="C210" s="2" t="s">
        <v>343</v>
      </c>
      <c r="D210" s="2" t="s">
        <v>431</v>
      </c>
      <c r="E210" s="6">
        <v>2800</v>
      </c>
      <c r="F210" s="18">
        <v>0</v>
      </c>
      <c r="G210" s="18">
        <v>863.91</v>
      </c>
      <c r="H210" s="18">
        <v>0</v>
      </c>
      <c r="I210" s="18"/>
      <c r="J210" s="18"/>
      <c r="K210" s="18"/>
      <c r="L210" s="19">
        <f>SUM(F210:K210)</f>
        <v>863.91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6816461.1765999999</v>
      </c>
      <c r="G212" s="41">
        <f t="shared" si="1"/>
        <v>3405686.5558999996</v>
      </c>
      <c r="H212" s="41">
        <f t="shared" si="1"/>
        <v>1998681.0008999994</v>
      </c>
      <c r="I212" s="41">
        <f t="shared" si="1"/>
        <v>495245.81480000005</v>
      </c>
      <c r="J212" s="41">
        <f t="shared" si="1"/>
        <v>92410.7356</v>
      </c>
      <c r="K212" s="41">
        <f t="shared" si="1"/>
        <v>7901.0143000000007</v>
      </c>
      <c r="L212" s="41">
        <f t="shared" si="1"/>
        <v>12816386.298100002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3779911.8732000003</v>
      </c>
      <c r="G216" s="18">
        <v>1814883.6220000002</v>
      </c>
      <c r="H216" s="18">
        <v>98268.092399999994</v>
      </c>
      <c r="I216" s="18">
        <v>137072.48199999999</v>
      </c>
      <c r="J216" s="18">
        <v>36934.699999999997</v>
      </c>
      <c r="K216" s="18">
        <v>325</v>
      </c>
      <c r="L216" s="19">
        <f>SUM(F216:K216)</f>
        <v>5867395.7696000012</v>
      </c>
      <c r="M216" s="8"/>
      <c r="N216" s="265"/>
    </row>
    <row r="217" spans="1:14" s="3" customFormat="1" ht="12.2" customHeight="1" x14ac:dyDescent="0.15">
      <c r="A217" s="1" t="s">
        <v>439</v>
      </c>
      <c r="B217" s="2" t="s">
        <v>346</v>
      </c>
      <c r="C217" s="2" t="s">
        <v>291</v>
      </c>
      <c r="D217" s="2" t="s">
        <v>431</v>
      </c>
      <c r="E217" s="6">
        <v>1200</v>
      </c>
      <c r="F217" s="18">
        <v>1641635.1964</v>
      </c>
      <c r="G217" s="18">
        <v>802580.80680000002</v>
      </c>
      <c r="H217" s="18">
        <v>504398.96720000007</v>
      </c>
      <c r="I217" s="18">
        <v>19637.181199999999</v>
      </c>
      <c r="J217" s="18">
        <v>3294.68</v>
      </c>
      <c r="K217" s="18">
        <v>555</v>
      </c>
      <c r="L217" s="19">
        <f>SUM(F217:K217)</f>
        <v>2972101.8316000002</v>
      </c>
      <c r="M217" s="8"/>
      <c r="N217" s="265"/>
    </row>
    <row r="218" spans="1:14" s="3" customFormat="1" ht="12.2" customHeight="1" x14ac:dyDescent="0.15">
      <c r="A218" s="1" t="s">
        <v>440</v>
      </c>
      <c r="B218" s="2" t="s">
        <v>346</v>
      </c>
      <c r="C218" s="2" t="s">
        <v>292</v>
      </c>
      <c r="D218" s="2" t="s">
        <v>431</v>
      </c>
      <c r="E218" s="6">
        <v>1300</v>
      </c>
      <c r="F218" s="18"/>
      <c r="G218" s="18"/>
      <c r="H218" s="18">
        <v>0</v>
      </c>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85282.38</v>
      </c>
      <c r="G219" s="18">
        <v>26401.877999999997</v>
      </c>
      <c r="H219" s="18">
        <v>22205.1</v>
      </c>
      <c r="I219" s="18">
        <v>5503.54</v>
      </c>
      <c r="J219" s="18">
        <v>1476</v>
      </c>
      <c r="K219" s="18">
        <v>1898</v>
      </c>
      <c r="L219" s="19">
        <f>SUM(F219:K219)</f>
        <v>142766.89800000002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448562.00280000002</v>
      </c>
      <c r="G221" s="18">
        <v>189343.68480000005</v>
      </c>
      <c r="H221" s="18">
        <v>1105.6128000000001</v>
      </c>
      <c r="I221" s="18">
        <v>20851.570800000001</v>
      </c>
      <c r="J221" s="18">
        <v>1306.8900000000001</v>
      </c>
      <c r="K221" s="18">
        <v>0</v>
      </c>
      <c r="L221" s="19">
        <f t="shared" ref="L221:L227" si="2">SUM(F221:K221)</f>
        <v>661169.76120000007</v>
      </c>
      <c r="M221" s="8"/>
      <c r="N221" s="265"/>
    </row>
    <row r="222" spans="1:14" s="3" customFormat="1" ht="12.2" customHeight="1" x14ac:dyDescent="0.15">
      <c r="A222" s="1" t="s">
        <v>443</v>
      </c>
      <c r="B222" s="2" t="s">
        <v>346</v>
      </c>
      <c r="C222" s="2" t="s">
        <v>295</v>
      </c>
      <c r="D222" s="2" t="s">
        <v>431</v>
      </c>
      <c r="E222" s="6">
        <v>2200</v>
      </c>
      <c r="F222" s="18">
        <v>143795.818</v>
      </c>
      <c r="G222" s="18">
        <v>62357.7696</v>
      </c>
      <c r="H222" s="18">
        <v>10513.953599999999</v>
      </c>
      <c r="I222" s="18">
        <v>24222.06</v>
      </c>
      <c r="J222" s="18">
        <v>484.41</v>
      </c>
      <c r="K222" s="18"/>
      <c r="L222" s="19">
        <f t="shared" si="2"/>
        <v>241374.01120000001</v>
      </c>
      <c r="M222" s="8"/>
      <c r="N222" s="265"/>
    </row>
    <row r="223" spans="1:14" s="3" customFormat="1" ht="12.2" customHeight="1" x14ac:dyDescent="0.15">
      <c r="A223" s="1" t="s">
        <v>444</v>
      </c>
      <c r="B223" s="2" t="s">
        <v>346</v>
      </c>
      <c r="C223" s="2" t="s">
        <v>296</v>
      </c>
      <c r="D223" s="2" t="s">
        <v>431</v>
      </c>
      <c r="E223" s="6">
        <v>2300</v>
      </c>
      <c r="F223" s="18">
        <v>8165.4495999999999</v>
      </c>
      <c r="G223" s="18">
        <v>656.76160000000004</v>
      </c>
      <c r="H223" s="18">
        <v>590609.24479999999</v>
      </c>
      <c r="I223" s="18">
        <v>1161.8111999999999</v>
      </c>
      <c r="J223" s="18"/>
      <c r="K223" s="18">
        <v>2717.0144</v>
      </c>
      <c r="L223" s="19">
        <f t="shared" si="2"/>
        <v>603310.28159999999</v>
      </c>
      <c r="M223" s="8"/>
      <c r="N223" s="265"/>
    </row>
    <row r="224" spans="1:14" s="3" customFormat="1" ht="12.2" customHeight="1" x14ac:dyDescent="0.15">
      <c r="A224" s="1" t="s">
        <v>445</v>
      </c>
      <c r="B224" s="2" t="s">
        <v>346</v>
      </c>
      <c r="C224" s="2" t="s">
        <v>297</v>
      </c>
      <c r="D224" s="2" t="s">
        <v>431</v>
      </c>
      <c r="E224" s="6">
        <v>2400</v>
      </c>
      <c r="F224" s="18">
        <v>527467.32519999996</v>
      </c>
      <c r="G224" s="18">
        <v>269446.3248</v>
      </c>
      <c r="H224" s="18">
        <v>26378.448800000002</v>
      </c>
      <c r="I224" s="18">
        <v>3206.13</v>
      </c>
      <c r="J224" s="18">
        <v>0</v>
      </c>
      <c r="K224" s="18">
        <v>6164.21</v>
      </c>
      <c r="L224" s="19">
        <f t="shared" si="2"/>
        <v>832662.43879999989</v>
      </c>
      <c r="M224" s="8"/>
      <c r="N224" s="265"/>
    </row>
    <row r="225" spans="1:14" s="3" customFormat="1" ht="12.2" customHeight="1" x14ac:dyDescent="0.15">
      <c r="A225" s="1" t="s">
        <v>446</v>
      </c>
      <c r="B225" s="2" t="s">
        <v>346</v>
      </c>
      <c r="C225" s="2" t="s">
        <v>298</v>
      </c>
      <c r="D225" s="2" t="s">
        <v>431</v>
      </c>
      <c r="E225" s="6">
        <v>2500</v>
      </c>
      <c r="F225" s="18"/>
      <c r="G225" s="18"/>
      <c r="H225" s="18">
        <v>0</v>
      </c>
      <c r="I225" s="18"/>
      <c r="J225" s="18"/>
      <c r="K225" s="18">
        <v>0</v>
      </c>
      <c r="L225" s="19">
        <f t="shared" si="2"/>
        <v>0</v>
      </c>
      <c r="M225" s="8"/>
      <c r="N225" s="265"/>
    </row>
    <row r="226" spans="1:14" s="3" customFormat="1" ht="12.2" customHeight="1" x14ac:dyDescent="0.15">
      <c r="A226" s="1" t="s">
        <v>447</v>
      </c>
      <c r="B226" s="2" t="s">
        <v>346</v>
      </c>
      <c r="C226" s="2" t="s">
        <v>299</v>
      </c>
      <c r="D226" s="2" t="s">
        <v>431</v>
      </c>
      <c r="E226" s="6">
        <v>2600</v>
      </c>
      <c r="F226" s="18">
        <v>318034.37760000001</v>
      </c>
      <c r="G226" s="18">
        <v>134692.13760000002</v>
      </c>
      <c r="H226" s="18">
        <v>337638.41640000005</v>
      </c>
      <c r="I226" s="18">
        <v>198216.71320000003</v>
      </c>
      <c r="J226" s="18">
        <v>68964.974799999996</v>
      </c>
      <c r="K226" s="18"/>
      <c r="L226" s="19">
        <f t="shared" si="2"/>
        <v>1057546.6196000001</v>
      </c>
      <c r="M226" s="8"/>
      <c r="N226" s="265"/>
    </row>
    <row r="227" spans="1:14" s="3" customFormat="1" ht="12.2" customHeight="1" x14ac:dyDescent="0.15">
      <c r="A227" s="1" t="s">
        <v>448</v>
      </c>
      <c r="B227" s="2" t="s">
        <v>346</v>
      </c>
      <c r="C227" s="2" t="s">
        <v>300</v>
      </c>
      <c r="D227" s="2" t="s">
        <v>431</v>
      </c>
      <c r="E227" s="6">
        <v>2700</v>
      </c>
      <c r="F227" s="18"/>
      <c r="G227" s="18"/>
      <c r="H227" s="18">
        <v>567544.66119999997</v>
      </c>
      <c r="I227" s="18"/>
      <c r="J227" s="18"/>
      <c r="K227" s="18"/>
      <c r="L227" s="19">
        <f t="shared" si="2"/>
        <v>567544.66119999997</v>
      </c>
      <c r="M227" s="8"/>
      <c r="N227" s="265"/>
    </row>
    <row r="228" spans="1:14" s="3" customFormat="1" ht="12.2" customHeight="1" x14ac:dyDescent="0.15">
      <c r="A228" s="1" t="s">
        <v>449</v>
      </c>
      <c r="B228" s="2" t="s">
        <v>346</v>
      </c>
      <c r="C228" s="2" t="s">
        <v>343</v>
      </c>
      <c r="D228" s="2" t="s">
        <v>431</v>
      </c>
      <c r="E228" s="6">
        <v>2800</v>
      </c>
      <c r="F228" s="18">
        <v>0</v>
      </c>
      <c r="G228" s="18">
        <v>953.28</v>
      </c>
      <c r="H228" s="18">
        <v>1795</v>
      </c>
      <c r="I228" s="18"/>
      <c r="J228" s="18"/>
      <c r="K228" s="18"/>
      <c r="L228" s="19">
        <f>SUM(F228:K228)</f>
        <v>2748.2799999999997</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6952854.4227999998</v>
      </c>
      <c r="G230" s="41">
        <f>SUM(G216:G229)</f>
        <v>3301316.2652000003</v>
      </c>
      <c r="H230" s="41">
        <f>SUM(H216:H229)</f>
        <v>2160457.4972000001</v>
      </c>
      <c r="I230" s="41">
        <f>SUM(I216:I229)</f>
        <v>409871.48840000003</v>
      </c>
      <c r="J230" s="41">
        <f>SUM(J216:J229)</f>
        <v>112461.65479999999</v>
      </c>
      <c r="K230" s="41">
        <f t="shared" si="3"/>
        <v>11659.224399999999</v>
      </c>
      <c r="L230" s="41">
        <f t="shared" si="3"/>
        <v>12948620.5528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4918075.8664000006</v>
      </c>
      <c r="G234" s="18">
        <v>2310816.5364999995</v>
      </c>
      <c r="H234" s="18">
        <v>83497.484800000006</v>
      </c>
      <c r="I234" s="18">
        <v>262763.47399999993</v>
      </c>
      <c r="J234" s="18">
        <v>155553.80000000002</v>
      </c>
      <c r="K234" s="18">
        <v>595</v>
      </c>
      <c r="L234" s="19">
        <f>SUM(F234:K234)</f>
        <v>7731302.1617000001</v>
      </c>
      <c r="M234" s="8"/>
      <c r="N234" s="265"/>
    </row>
    <row r="235" spans="1:14" s="3" customFormat="1" ht="12.2" customHeight="1" x14ac:dyDescent="0.15">
      <c r="A235" s="1" t="s">
        <v>439</v>
      </c>
      <c r="B235" s="2" t="s">
        <v>350</v>
      </c>
      <c r="C235" s="2" t="s">
        <v>291</v>
      </c>
      <c r="D235" s="2" t="s">
        <v>431</v>
      </c>
      <c r="E235" s="6">
        <v>1200</v>
      </c>
      <c r="F235" s="18">
        <v>1487298.9378</v>
      </c>
      <c r="G235" s="18">
        <v>750680.1986</v>
      </c>
      <c r="H235" s="18">
        <v>617166.1869000002</v>
      </c>
      <c r="I235" s="18">
        <v>18652.119899999998</v>
      </c>
      <c r="J235" s="18">
        <v>6483.2</v>
      </c>
      <c r="K235" s="18">
        <v>0</v>
      </c>
      <c r="L235" s="19">
        <f>SUM(F235:K235)</f>
        <v>2880280.6432000003</v>
      </c>
      <c r="M235" s="8"/>
      <c r="N235" s="265"/>
    </row>
    <row r="236" spans="1:14" s="3" customFormat="1" ht="12.2" customHeight="1" x14ac:dyDescent="0.15">
      <c r="A236" s="1" t="s">
        <v>440</v>
      </c>
      <c r="B236" s="2" t="s">
        <v>350</v>
      </c>
      <c r="C236" s="2" t="s">
        <v>292</v>
      </c>
      <c r="D236" s="2" t="s">
        <v>431</v>
      </c>
      <c r="E236" s="6">
        <v>1300</v>
      </c>
      <c r="F236" s="18"/>
      <c r="G236" s="18"/>
      <c r="H236" s="18">
        <v>131661.93</v>
      </c>
      <c r="I236" s="18"/>
      <c r="J236" s="18"/>
      <c r="K236" s="18"/>
      <c r="L236" s="19">
        <f>SUM(F236:K236)</f>
        <v>131661.93</v>
      </c>
      <c r="M236" s="8"/>
      <c r="N236" s="265"/>
    </row>
    <row r="237" spans="1:14" s="3" customFormat="1" ht="12.2" customHeight="1" x14ac:dyDescent="0.15">
      <c r="A237" s="1" t="s">
        <v>441</v>
      </c>
      <c r="B237" s="2" t="s">
        <v>350</v>
      </c>
      <c r="C237" s="2" t="s">
        <v>293</v>
      </c>
      <c r="D237" s="2" t="s">
        <v>431</v>
      </c>
      <c r="E237" s="6">
        <v>1400</v>
      </c>
      <c r="F237" s="18">
        <v>341129.52</v>
      </c>
      <c r="G237" s="18">
        <v>105607.51199999999</v>
      </c>
      <c r="H237" s="18">
        <v>178848.88999999998</v>
      </c>
      <c r="I237" s="18">
        <v>35741.56</v>
      </c>
      <c r="J237" s="18">
        <v>28643.600000000002</v>
      </c>
      <c r="K237" s="18">
        <v>21269.25</v>
      </c>
      <c r="L237" s="19">
        <f>SUM(F237:K237)</f>
        <v>711240.33200000005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857753.21059999999</v>
      </c>
      <c r="G239" s="18">
        <v>438904.67209999997</v>
      </c>
      <c r="H239" s="18">
        <v>2057.0655999999999</v>
      </c>
      <c r="I239" s="18">
        <v>43431.974099999999</v>
      </c>
      <c r="J239" s="18">
        <v>0</v>
      </c>
      <c r="K239" s="18">
        <v>1457.85</v>
      </c>
      <c r="L239" s="19">
        <f t="shared" ref="L239:L245" si="4">SUM(F239:K239)</f>
        <v>1343604.7724000001</v>
      </c>
      <c r="M239" s="8"/>
      <c r="N239" s="265"/>
    </row>
    <row r="240" spans="1:14" s="3" customFormat="1" ht="12.2" customHeight="1" x14ac:dyDescent="0.15">
      <c r="A240" s="1" t="s">
        <v>443</v>
      </c>
      <c r="B240" s="2" t="s">
        <v>350</v>
      </c>
      <c r="C240" s="2" t="s">
        <v>295</v>
      </c>
      <c r="D240" s="2" t="s">
        <v>431</v>
      </c>
      <c r="E240" s="6">
        <v>2200</v>
      </c>
      <c r="F240" s="18">
        <v>142679.5785</v>
      </c>
      <c r="G240" s="18">
        <v>70190.984200000006</v>
      </c>
      <c r="H240" s="18">
        <v>12327.599700000001</v>
      </c>
      <c r="I240" s="18">
        <v>41694.53</v>
      </c>
      <c r="J240" s="18">
        <v>0</v>
      </c>
      <c r="K240" s="18"/>
      <c r="L240" s="19">
        <f t="shared" si="4"/>
        <v>266892.6924</v>
      </c>
      <c r="M240" s="8"/>
      <c r="N240" s="265"/>
    </row>
    <row r="241" spans="1:14" s="3" customFormat="1" ht="12.2" customHeight="1" x14ac:dyDescent="0.15">
      <c r="A241" s="1" t="s">
        <v>444</v>
      </c>
      <c r="B241" s="2" t="s">
        <v>350</v>
      </c>
      <c r="C241" s="2" t="s">
        <v>296</v>
      </c>
      <c r="D241" s="2" t="s">
        <v>431</v>
      </c>
      <c r="E241" s="6">
        <v>2300</v>
      </c>
      <c r="F241" s="18">
        <v>9951.6417000000001</v>
      </c>
      <c r="G241" s="18">
        <v>800.42820000000006</v>
      </c>
      <c r="H241" s="18">
        <v>719805.01710000006</v>
      </c>
      <c r="I241" s="18">
        <v>1415.9574</v>
      </c>
      <c r="J241" s="18"/>
      <c r="K241" s="18">
        <v>3311.3613</v>
      </c>
      <c r="L241" s="19">
        <f t="shared" si="4"/>
        <v>735284.4057</v>
      </c>
      <c r="M241" s="8"/>
      <c r="N241" s="265"/>
    </row>
    <row r="242" spans="1:14" s="3" customFormat="1" ht="12.2" customHeight="1" x14ac:dyDescent="0.15">
      <c r="A242" s="1" t="s">
        <v>445</v>
      </c>
      <c r="B242" s="2" t="s">
        <v>350</v>
      </c>
      <c r="C242" s="2" t="s">
        <v>297</v>
      </c>
      <c r="D242" s="2" t="s">
        <v>431</v>
      </c>
      <c r="E242" s="6">
        <v>2400</v>
      </c>
      <c r="F242" s="18">
        <v>551698.01040000003</v>
      </c>
      <c r="G242" s="18">
        <v>291967.6446</v>
      </c>
      <c r="H242" s="18">
        <v>55191.542600000001</v>
      </c>
      <c r="I242" s="18">
        <v>7259.02</v>
      </c>
      <c r="J242" s="18">
        <v>0</v>
      </c>
      <c r="K242" s="18">
        <v>32201.39</v>
      </c>
      <c r="L242" s="19">
        <f t="shared" si="4"/>
        <v>938317.6076000001</v>
      </c>
      <c r="M242" s="8"/>
      <c r="N242" s="265"/>
    </row>
    <row r="243" spans="1:14" s="3" customFormat="1" ht="12.2" customHeight="1" x14ac:dyDescent="0.15">
      <c r="A243" s="1" t="s">
        <v>446</v>
      </c>
      <c r="B243" s="2" t="s">
        <v>350</v>
      </c>
      <c r="C243" s="2" t="s">
        <v>298</v>
      </c>
      <c r="D243" s="2" t="s">
        <v>431</v>
      </c>
      <c r="E243" s="6">
        <v>2500</v>
      </c>
      <c r="F243" s="18"/>
      <c r="G243" s="18"/>
      <c r="H243" s="18">
        <v>0</v>
      </c>
      <c r="I243" s="18"/>
      <c r="J243" s="18"/>
      <c r="K243" s="18">
        <v>0</v>
      </c>
      <c r="L243" s="19">
        <f t="shared" si="4"/>
        <v>0</v>
      </c>
      <c r="M243" s="8"/>
      <c r="N243" s="265"/>
    </row>
    <row r="244" spans="1:14" s="3" customFormat="1" ht="12.2" customHeight="1" x14ac:dyDescent="0.15">
      <c r="A244" s="1" t="s">
        <v>447</v>
      </c>
      <c r="B244" s="2" t="s">
        <v>350</v>
      </c>
      <c r="C244" s="2" t="s">
        <v>299</v>
      </c>
      <c r="D244" s="2" t="s">
        <v>431</v>
      </c>
      <c r="E244" s="6">
        <v>2600</v>
      </c>
      <c r="F244" s="18">
        <v>406371.1152</v>
      </c>
      <c r="G244" s="18">
        <v>194251.4227</v>
      </c>
      <c r="H244" s="18">
        <v>421960.52279999998</v>
      </c>
      <c r="I244" s="18">
        <v>414498.98140000005</v>
      </c>
      <c r="J244" s="18">
        <v>79834.909600000014</v>
      </c>
      <c r="K244" s="18"/>
      <c r="L244" s="19">
        <f t="shared" si="4"/>
        <v>1516916.9517000001</v>
      </c>
      <c r="M244" s="8"/>
      <c r="N244" s="265"/>
    </row>
    <row r="245" spans="1:14" s="3" customFormat="1" ht="12.2" customHeight="1" x14ac:dyDescent="0.15">
      <c r="A245" s="1" t="s">
        <v>448</v>
      </c>
      <c r="B245" s="2" t="s">
        <v>350</v>
      </c>
      <c r="C245" s="2" t="s">
        <v>300</v>
      </c>
      <c r="D245" s="2" t="s">
        <v>431</v>
      </c>
      <c r="E245" s="6">
        <v>2700</v>
      </c>
      <c r="F245" s="18"/>
      <c r="G245" s="18"/>
      <c r="H245" s="18">
        <v>745363.71240000019</v>
      </c>
      <c r="I245" s="18"/>
      <c r="J245" s="18"/>
      <c r="K245" s="18"/>
      <c r="L245" s="19">
        <f t="shared" si="4"/>
        <v>745363.71240000019</v>
      </c>
      <c r="M245" s="8"/>
      <c r="N245" s="265"/>
    </row>
    <row r="246" spans="1:14" s="3" customFormat="1" ht="12.2" customHeight="1" x14ac:dyDescent="0.15">
      <c r="A246" s="1" t="s">
        <v>449</v>
      </c>
      <c r="B246" s="2" t="s">
        <v>350</v>
      </c>
      <c r="C246" s="2" t="s">
        <v>343</v>
      </c>
      <c r="D246" s="2" t="s">
        <v>431</v>
      </c>
      <c r="E246" s="6">
        <v>2800</v>
      </c>
      <c r="F246" s="18">
        <v>0</v>
      </c>
      <c r="G246" s="18">
        <v>1161.81</v>
      </c>
      <c r="H246" s="18">
        <v>0</v>
      </c>
      <c r="I246" s="18"/>
      <c r="J246" s="18"/>
      <c r="K246" s="18"/>
      <c r="L246" s="19">
        <f>SUM(F246:K246)</f>
        <v>1161.81</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8714957.8805999998</v>
      </c>
      <c r="G248" s="41">
        <f t="shared" si="5"/>
        <v>4164381.2088999995</v>
      </c>
      <c r="H248" s="41">
        <f t="shared" si="5"/>
        <v>2967879.9519000007</v>
      </c>
      <c r="I248" s="41">
        <f t="shared" si="5"/>
        <v>825457.61679999996</v>
      </c>
      <c r="J248" s="41">
        <f t="shared" si="5"/>
        <v>270515.50960000005</v>
      </c>
      <c r="K248" s="41">
        <f t="shared" si="5"/>
        <v>58834.851299999995</v>
      </c>
      <c r="L248" s="41">
        <f t="shared" si="5"/>
        <v>17002027.019099995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48904.31</v>
      </c>
      <c r="G252" s="18">
        <v>14051.199999999999</v>
      </c>
      <c r="H252" s="18">
        <v>225.61</v>
      </c>
      <c r="I252" s="18">
        <v>726.21</v>
      </c>
      <c r="J252" s="18">
        <v>444.99</v>
      </c>
      <c r="K252" s="18">
        <v>1500</v>
      </c>
      <c r="L252" s="19">
        <f t="shared" si="6"/>
        <v>65852.319999999992</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v>5000</v>
      </c>
      <c r="I254" s="18">
        <v>0</v>
      </c>
      <c r="J254" s="18"/>
      <c r="K254" s="18"/>
      <c r="L254" s="19">
        <f t="shared" si="6"/>
        <v>5000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161</v>
      </c>
      <c r="I256" s="18"/>
      <c r="J256" s="18">
        <v>0</v>
      </c>
      <c r="K256" s="18">
        <v>0</v>
      </c>
      <c r="L256" s="19">
        <f t="shared" si="6"/>
        <v>161</v>
      </c>
      <c r="M256" s="8"/>
      <c r="N256" s="265"/>
    </row>
    <row r="257" spans="1:14" s="3" customFormat="1" ht="12.2" customHeight="1" thickTop="1" thickBot="1" x14ac:dyDescent="0.2">
      <c r="A257" s="38" t="s">
        <v>461</v>
      </c>
      <c r="B257" s="40">
        <v>10</v>
      </c>
      <c r="C257" s="40">
        <v>7</v>
      </c>
      <c r="D257" s="39" t="s">
        <v>431</v>
      </c>
      <c r="E257" s="40"/>
      <c r="F257" s="41">
        <f t="shared" ref="F257:K257" si="7">SUM(F251:F256)</f>
        <v>48904.31</v>
      </c>
      <c r="G257" s="41">
        <f t="shared" si="7"/>
        <v>14051.199999999999</v>
      </c>
      <c r="H257" s="41">
        <f t="shared" si="7"/>
        <v>5386.61</v>
      </c>
      <c r="I257" s="41">
        <f t="shared" si="7"/>
        <v>726.21</v>
      </c>
      <c r="J257" s="41">
        <f t="shared" si="7"/>
        <v>444.99</v>
      </c>
      <c r="K257" s="41">
        <f t="shared" si="7"/>
        <v>1500</v>
      </c>
      <c r="L257" s="41">
        <f>SUM(F257:K257)</f>
        <v>71013.320000000007</v>
      </c>
      <c r="M257" s="8"/>
      <c r="N257" s="265"/>
    </row>
    <row r="258" spans="1:14" s="3" customFormat="1" ht="12.2" customHeight="1" thickTop="1" x14ac:dyDescent="0.15">
      <c r="A258" s="38" t="s">
        <v>462</v>
      </c>
      <c r="B258" s="40">
        <v>10</v>
      </c>
      <c r="C258" s="40">
        <v>8</v>
      </c>
      <c r="D258" s="39" t="s">
        <v>431</v>
      </c>
      <c r="E258" s="40"/>
      <c r="F258" s="41">
        <f t="shared" ref="F258:L258" si="8">F212+F230+F248+F257</f>
        <v>22533177.789999995</v>
      </c>
      <c r="G258" s="41">
        <f t="shared" si="8"/>
        <v>10885435.229999999</v>
      </c>
      <c r="H258" s="41">
        <f t="shared" si="8"/>
        <v>7132405.0600000005</v>
      </c>
      <c r="I258" s="41">
        <f t="shared" si="8"/>
        <v>1731301.13</v>
      </c>
      <c r="J258" s="41">
        <f t="shared" si="8"/>
        <v>475832.89</v>
      </c>
      <c r="K258" s="41">
        <f t="shared" si="8"/>
        <v>79895.09</v>
      </c>
      <c r="L258" s="41">
        <f t="shared" si="8"/>
        <v>42838047.189999998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555000</v>
      </c>
      <c r="L261" s="19">
        <f>SUM(F261:K261)</f>
        <v>555000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12487.5</v>
      </c>
      <c r="L262" s="19">
        <f>SUM(F262:K262)</f>
        <v>12487.5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64.599999999999994</v>
      </c>
      <c r="L264" s="19">
        <f>SUM(F264:K264)</f>
        <v>64.599999999999994</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767552.1</v>
      </c>
      <c r="L271" s="41">
        <f t="shared" si="9"/>
        <v>767552.1</v>
      </c>
      <c r="M271" s="8"/>
      <c r="N271" s="265"/>
    </row>
    <row r="272" spans="1:14" s="34" customFormat="1" ht="12.2" customHeight="1" thickTop="1" x14ac:dyDescent="0.2">
      <c r="A272" s="43" t="s">
        <v>464</v>
      </c>
      <c r="B272" s="40">
        <v>10</v>
      </c>
      <c r="C272" s="40">
        <v>18</v>
      </c>
      <c r="D272" s="39" t="s">
        <v>431</v>
      </c>
      <c r="E272" s="40"/>
      <c r="F272" s="42">
        <f t="shared" ref="F272:L272" si="11">F258+F271</f>
        <v>22533177.789999995</v>
      </c>
      <c r="G272" s="42">
        <f t="shared" si="11"/>
        <v>10885435.229999999</v>
      </c>
      <c r="H272" s="42">
        <f t="shared" si="11"/>
        <v>7132405.0600000005</v>
      </c>
      <c r="I272" s="42">
        <f t="shared" si="11"/>
        <v>1731301.13</v>
      </c>
      <c r="J272" s="42">
        <f t="shared" si="11"/>
        <v>475832.89</v>
      </c>
      <c r="K272" s="42">
        <f t="shared" si="11"/>
        <v>847447.19</v>
      </c>
      <c r="L272" s="42">
        <f t="shared" si="11"/>
        <v>43605599.289999999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207093.07250000001</v>
      </c>
      <c r="G277" s="18">
        <v>95010.611799999984</v>
      </c>
      <c r="H277" s="18">
        <v>1194</v>
      </c>
      <c r="I277" s="18">
        <v>39755.243799999997</v>
      </c>
      <c r="J277" s="18">
        <v>0</v>
      </c>
      <c r="K277" s="18">
        <v>0</v>
      </c>
      <c r="L277" s="19">
        <f>SUM(F277:K277)</f>
        <v>343052.92809999996</v>
      </c>
      <c r="M277" s="8"/>
      <c r="N277" s="265"/>
    </row>
    <row r="278" spans="1:14" s="3" customFormat="1" ht="12.2" customHeight="1" x14ac:dyDescent="0.15">
      <c r="A278" s="1" t="s">
        <v>439</v>
      </c>
      <c r="B278" s="2" t="s">
        <v>357</v>
      </c>
      <c r="C278" s="2" t="s">
        <v>291</v>
      </c>
      <c r="D278" s="2" t="s">
        <v>431</v>
      </c>
      <c r="E278" s="6">
        <v>1200</v>
      </c>
      <c r="F278" s="18">
        <v>221839.5</v>
      </c>
      <c r="G278" s="18">
        <v>100373.60999999999</v>
      </c>
      <c r="H278" s="18">
        <v>6755.9849999999997</v>
      </c>
      <c r="I278" s="18">
        <v>347.98840000000001</v>
      </c>
      <c r="J278" s="18">
        <v>670.42200000000003</v>
      </c>
      <c r="K278" s="18">
        <v>0</v>
      </c>
      <c r="L278" s="19">
        <f>SUM(F278:K278)</f>
        <v>329987.50539999997</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279.125</v>
      </c>
      <c r="G282" s="18">
        <v>79.401999999999987</v>
      </c>
      <c r="H282" s="18">
        <v>897.18749999999989</v>
      </c>
      <c r="I282" s="18">
        <v>2550.4890999999998</v>
      </c>
      <c r="J282" s="18">
        <v>612.42200000000003</v>
      </c>
      <c r="K282" s="18"/>
      <c r="L282" s="19">
        <f t="shared" ref="L282:L288" si="12">SUM(F282:K282)</f>
        <v>4418.6255999999994</v>
      </c>
      <c r="M282" s="8"/>
      <c r="N282" s="265"/>
    </row>
    <row r="283" spans="1:14" s="3" customFormat="1" ht="12.2" customHeight="1" x14ac:dyDescent="0.15">
      <c r="A283" s="1" t="s">
        <v>443</v>
      </c>
      <c r="B283" s="2" t="s">
        <v>357</v>
      </c>
      <c r="C283" s="2" t="s">
        <v>295</v>
      </c>
      <c r="D283" s="2" t="s">
        <v>431</v>
      </c>
      <c r="E283" s="6">
        <v>2200</v>
      </c>
      <c r="F283" s="18">
        <v>51009.898399999991</v>
      </c>
      <c r="G283" s="18">
        <v>21445.305800000006</v>
      </c>
      <c r="H283" s="18">
        <v>4891.6759000000002</v>
      </c>
      <c r="I283" s="18">
        <v>3681.2006999999994</v>
      </c>
      <c r="J283" s="18">
        <v>0</v>
      </c>
      <c r="K283" s="18">
        <v>0</v>
      </c>
      <c r="L283" s="19">
        <f t="shared" si="12"/>
        <v>81028.080799999996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c r="I286" s="18"/>
      <c r="J286" s="18"/>
      <c r="K286" s="18">
        <v>26.300099999999997</v>
      </c>
      <c r="L286" s="19">
        <f t="shared" si="12"/>
        <v>26.300099999999997</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v>2196.96</v>
      </c>
      <c r="I288" s="18"/>
      <c r="J288" s="18"/>
      <c r="K288" s="18"/>
      <c r="L288" s="19">
        <f t="shared" si="12"/>
        <v>2196.96</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480221.59590000001</v>
      </c>
      <c r="G291" s="42">
        <f t="shared" si="13"/>
        <v>216908.92959999997</v>
      </c>
      <c r="H291" s="42">
        <f t="shared" si="13"/>
        <v>15935.808399999998</v>
      </c>
      <c r="I291" s="42">
        <f t="shared" si="13"/>
        <v>46334.921999999999</v>
      </c>
      <c r="J291" s="42">
        <f t="shared" si="13"/>
        <v>1282.8440000000001</v>
      </c>
      <c r="K291" s="42">
        <f t="shared" si="13"/>
        <v>26.300099999999997</v>
      </c>
      <c r="L291" s="41">
        <f t="shared" si="13"/>
        <v>760710.39999999991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104148.4</v>
      </c>
      <c r="G296" s="18">
        <v>26442.584400000007</v>
      </c>
      <c r="H296" s="18">
        <v>1152</v>
      </c>
      <c r="I296" s="18">
        <v>39208.7304</v>
      </c>
      <c r="J296" s="18">
        <v>8734.83</v>
      </c>
      <c r="K296" s="18">
        <v>0</v>
      </c>
      <c r="L296" s="19">
        <f>SUM(F296:K296)</f>
        <v>179686.5448</v>
      </c>
      <c r="M296" s="8"/>
      <c r="N296" s="265"/>
    </row>
    <row r="297" spans="1:14" s="3" customFormat="1" ht="12.2" customHeight="1" x14ac:dyDescent="0.15">
      <c r="A297" s="1" t="s">
        <v>439</v>
      </c>
      <c r="B297" s="2" t="s">
        <v>358</v>
      </c>
      <c r="C297" s="2" t="s">
        <v>291</v>
      </c>
      <c r="D297" s="2" t="s">
        <v>431</v>
      </c>
      <c r="E297" s="6">
        <v>1200</v>
      </c>
      <c r="F297" s="18">
        <v>115275</v>
      </c>
      <c r="G297" s="18">
        <v>63863.48000000001</v>
      </c>
      <c r="H297" s="18">
        <v>7454.88</v>
      </c>
      <c r="I297" s="18">
        <v>383.98720000000003</v>
      </c>
      <c r="J297" s="18">
        <v>739.77600000000007</v>
      </c>
      <c r="K297" s="18">
        <v>0</v>
      </c>
      <c r="L297" s="19">
        <f>SUM(F297:K297)</f>
        <v>187717.12320000003</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1338.88</v>
      </c>
      <c r="G299" s="18">
        <v>381.93</v>
      </c>
      <c r="H299" s="18">
        <v>0</v>
      </c>
      <c r="I299" s="18">
        <v>0</v>
      </c>
      <c r="J299" s="18">
        <v>0</v>
      </c>
      <c r="K299" s="18">
        <v>0</v>
      </c>
      <c r="L299" s="19">
        <f>SUM(F299:K299)</f>
        <v>1720.8100000000002</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308</v>
      </c>
      <c r="G301" s="18">
        <v>87.616000000000014</v>
      </c>
      <c r="H301" s="18">
        <v>990</v>
      </c>
      <c r="I301" s="18">
        <v>2814.3327999999992</v>
      </c>
      <c r="J301" s="18">
        <v>675.77600000000007</v>
      </c>
      <c r="K301" s="18"/>
      <c r="L301" s="19">
        <f t="shared" ref="L301:L307" si="14">SUM(F301:K301)</f>
        <v>4875.724799999999</v>
      </c>
      <c r="M301" s="8"/>
      <c r="N301" s="265"/>
    </row>
    <row r="302" spans="1:14" s="3" customFormat="1" ht="12.2" customHeight="1" x14ac:dyDescent="0.15">
      <c r="A302" s="1" t="s">
        <v>443</v>
      </c>
      <c r="B302" s="2" t="s">
        <v>358</v>
      </c>
      <c r="C302" s="2" t="s">
        <v>295</v>
      </c>
      <c r="D302" s="2" t="s">
        <v>431</v>
      </c>
      <c r="E302" s="6">
        <v>2200</v>
      </c>
      <c r="F302" s="18">
        <v>55577.517200000002</v>
      </c>
      <c r="G302" s="18">
        <v>23466.786399999997</v>
      </c>
      <c r="H302" s="18">
        <v>197.02719999999999</v>
      </c>
      <c r="I302" s="18">
        <v>1254.0255999999999</v>
      </c>
      <c r="J302" s="18">
        <v>0</v>
      </c>
      <c r="K302" s="18">
        <v>0</v>
      </c>
      <c r="L302" s="19">
        <f t="shared" si="14"/>
        <v>80495.35639999999</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c r="I305" s="18"/>
      <c r="J305" s="18"/>
      <c r="K305" s="18">
        <v>29.020800000000001</v>
      </c>
      <c r="L305" s="19">
        <f t="shared" si="14"/>
        <v>29.020800000000001</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276647.79720000003</v>
      </c>
      <c r="G310" s="42">
        <f t="shared" si="15"/>
        <v>114242.3968</v>
      </c>
      <c r="H310" s="42">
        <f t="shared" si="15"/>
        <v>9793.9072000000015</v>
      </c>
      <c r="I310" s="42">
        <f t="shared" si="15"/>
        <v>43661.076000000001</v>
      </c>
      <c r="J310" s="42">
        <f t="shared" si="15"/>
        <v>10150.382</v>
      </c>
      <c r="K310" s="42">
        <f t="shared" si="15"/>
        <v>29.020800000000001</v>
      </c>
      <c r="L310" s="41">
        <f t="shared" si="15"/>
        <v>454524.58000000007</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50368.9375</v>
      </c>
      <c r="G315" s="18">
        <v>18799.353799999997</v>
      </c>
      <c r="H315" s="18">
        <v>6278</v>
      </c>
      <c r="I315" s="18">
        <v>50262.425800000005</v>
      </c>
      <c r="J315" s="18">
        <v>0</v>
      </c>
      <c r="K315" s="18">
        <v>1400</v>
      </c>
      <c r="L315" s="19">
        <f>SUM(F315:K315)</f>
        <v>127108.71710000001</v>
      </c>
      <c r="M315" s="8"/>
      <c r="N315" s="265"/>
    </row>
    <row r="316" spans="1:14" s="3" customFormat="1" ht="12.2" customHeight="1" x14ac:dyDescent="0.15">
      <c r="A316" s="1" t="s">
        <v>439</v>
      </c>
      <c r="B316" s="2" t="s">
        <v>359</v>
      </c>
      <c r="C316" s="2" t="s">
        <v>291</v>
      </c>
      <c r="D316" s="2" t="s">
        <v>431</v>
      </c>
      <c r="E316" s="6">
        <v>1200</v>
      </c>
      <c r="F316" s="18">
        <v>106735.35</v>
      </c>
      <c r="G316" s="18">
        <v>47782.67</v>
      </c>
      <c r="H316" s="18">
        <v>9085.6350000000002</v>
      </c>
      <c r="I316" s="18">
        <v>467.98440000000005</v>
      </c>
      <c r="J316" s="18">
        <v>901.60200000000009</v>
      </c>
      <c r="K316" s="18">
        <v>0</v>
      </c>
      <c r="L316" s="19">
        <f>SUM(F316:K316)</f>
        <v>164973.24140000003</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2043.56</v>
      </c>
      <c r="G318" s="18">
        <v>583.95000000000005</v>
      </c>
      <c r="H318" s="18">
        <v>0</v>
      </c>
      <c r="I318" s="18">
        <v>0</v>
      </c>
      <c r="J318" s="18">
        <v>0</v>
      </c>
      <c r="K318" s="18">
        <v>0</v>
      </c>
      <c r="L318" s="19">
        <f>SUM(F318:K318)</f>
        <v>2627.51</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20966.375</v>
      </c>
      <c r="G320" s="18">
        <v>6191.7820000000002</v>
      </c>
      <c r="H320" s="18">
        <v>1206.5625</v>
      </c>
      <c r="I320" s="18">
        <v>3429.9680999999996</v>
      </c>
      <c r="J320" s="18">
        <v>823.60200000000009</v>
      </c>
      <c r="K320" s="18"/>
      <c r="L320" s="19">
        <f t="shared" ref="L320:L326" si="16">SUM(F320:K320)</f>
        <v>32618.289599999996</v>
      </c>
      <c r="M320" s="8"/>
      <c r="N320" s="265"/>
    </row>
    <row r="321" spans="1:14" s="3" customFormat="1" ht="12.2" customHeight="1" x14ac:dyDescent="0.15">
      <c r="A321" s="1" t="s">
        <v>443</v>
      </c>
      <c r="B321" s="2" t="s">
        <v>359</v>
      </c>
      <c r="C321" s="2" t="s">
        <v>295</v>
      </c>
      <c r="D321" s="2" t="s">
        <v>431</v>
      </c>
      <c r="E321" s="6">
        <v>2200</v>
      </c>
      <c r="F321" s="18">
        <v>66935.294399999999</v>
      </c>
      <c r="G321" s="18">
        <v>28371.727800000004</v>
      </c>
      <c r="H321" s="18">
        <v>240.12689999999998</v>
      </c>
      <c r="I321" s="18">
        <v>1528.3437000000004</v>
      </c>
      <c r="J321" s="18">
        <v>0</v>
      </c>
      <c r="K321" s="18">
        <v>0</v>
      </c>
      <c r="L321" s="19">
        <f t="shared" si="16"/>
        <v>97075.492800000007</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c r="I324" s="18"/>
      <c r="J324" s="18"/>
      <c r="K324" s="18">
        <v>35.369100000000003</v>
      </c>
      <c r="L324" s="19">
        <f t="shared" si="16"/>
        <v>35.369100000000003</v>
      </c>
      <c r="M324" s="8"/>
      <c r="N324" s="265"/>
    </row>
    <row r="325" spans="1:14" s="3" customFormat="1" ht="12.2" customHeight="1" x14ac:dyDescent="0.15">
      <c r="A325" s="1" t="s">
        <v>447</v>
      </c>
      <c r="B325" s="2" t="s">
        <v>359</v>
      </c>
      <c r="C325" s="2" t="s">
        <v>299</v>
      </c>
      <c r="D325" s="2" t="s">
        <v>431</v>
      </c>
      <c r="E325" s="6">
        <v>2600</v>
      </c>
      <c r="F325" s="18"/>
      <c r="G325" s="18"/>
      <c r="H325" s="18">
        <v>0</v>
      </c>
      <c r="I325" s="18">
        <v>0</v>
      </c>
      <c r="J325" s="18">
        <v>1211.18</v>
      </c>
      <c r="K325" s="18"/>
      <c r="L325" s="19">
        <f t="shared" si="16"/>
        <v>1211.18</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247049.51689999999</v>
      </c>
      <c r="G329" s="42">
        <f t="shared" si="17"/>
        <v>101729.48360000001</v>
      </c>
      <c r="H329" s="42">
        <f t="shared" si="17"/>
        <v>16810.324400000001</v>
      </c>
      <c r="I329" s="42">
        <f t="shared" si="17"/>
        <v>55688.722000000002</v>
      </c>
      <c r="J329" s="42">
        <f t="shared" si="17"/>
        <v>2936.384</v>
      </c>
      <c r="K329" s="42">
        <f t="shared" si="17"/>
        <v>1435.3690999999999</v>
      </c>
      <c r="L329" s="41">
        <f t="shared" si="17"/>
        <v>425649.8000000001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v>33215</v>
      </c>
      <c r="G334" s="18">
        <v>7982.41</v>
      </c>
      <c r="H334" s="18">
        <v>3812</v>
      </c>
      <c r="I334" s="18">
        <v>5088.79</v>
      </c>
      <c r="J334" s="18">
        <v>13197.33</v>
      </c>
      <c r="K334" s="18">
        <v>0</v>
      </c>
      <c r="L334" s="19">
        <f t="shared" si="18"/>
        <v>63295.530000000006</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344548.2</v>
      </c>
      <c r="I337" s="18"/>
      <c r="J337" s="18">
        <v>19261</v>
      </c>
      <c r="K337" s="18"/>
      <c r="L337" s="19">
        <f t="shared" si="18"/>
        <v>363809.2</v>
      </c>
      <c r="M337" s="8"/>
      <c r="N337" s="265"/>
    </row>
    <row r="338" spans="1:43" s="3" customFormat="1" ht="12.2" customHeight="1" thickTop="1" thickBot="1" x14ac:dyDescent="0.2">
      <c r="A338" s="50" t="s">
        <v>467</v>
      </c>
      <c r="B338" s="40">
        <v>14</v>
      </c>
      <c r="C338" s="51">
        <v>6</v>
      </c>
      <c r="D338" s="48" t="s">
        <v>431</v>
      </c>
      <c r="E338" s="51"/>
      <c r="F338" s="41">
        <f t="shared" ref="F338:K338" si="19">SUM(F333:F337)</f>
        <v>33215</v>
      </c>
      <c r="G338" s="41">
        <f t="shared" si="19"/>
        <v>7982.41</v>
      </c>
      <c r="H338" s="41">
        <f t="shared" si="19"/>
        <v>348360.2</v>
      </c>
      <c r="I338" s="41">
        <f t="shared" si="19"/>
        <v>5088.79</v>
      </c>
      <c r="J338" s="41">
        <f t="shared" si="19"/>
        <v>32458.33</v>
      </c>
      <c r="K338" s="41">
        <f t="shared" si="19"/>
        <v>0</v>
      </c>
      <c r="L338" s="41">
        <f t="shared" si="18"/>
        <v>427104.73</v>
      </c>
      <c r="M338" s="8"/>
      <c r="N338" s="265"/>
    </row>
    <row r="339" spans="1:43" s="3" customFormat="1" ht="12.2" customHeight="1" thickTop="1" x14ac:dyDescent="0.15">
      <c r="A339" s="38" t="s">
        <v>468</v>
      </c>
      <c r="B339" s="40">
        <v>14</v>
      </c>
      <c r="C339" s="40">
        <v>7</v>
      </c>
      <c r="D339" s="39" t="s">
        <v>431</v>
      </c>
      <c r="E339" s="40"/>
      <c r="F339" s="41">
        <f t="shared" ref="F339:L339" si="20">F291+F310+F329+F338</f>
        <v>1037133.9099999999</v>
      </c>
      <c r="G339" s="41">
        <f t="shared" si="20"/>
        <v>440863.21999999991</v>
      </c>
      <c r="H339" s="41">
        <f t="shared" si="20"/>
        <v>390900.24</v>
      </c>
      <c r="I339" s="41">
        <f t="shared" si="20"/>
        <v>150773.51</v>
      </c>
      <c r="J339" s="41">
        <f t="shared" si="20"/>
        <v>46827.94</v>
      </c>
      <c r="K339" s="41">
        <f t="shared" si="20"/>
        <v>1490.6899999999998</v>
      </c>
      <c r="L339" s="41">
        <f t="shared" si="20"/>
        <v>2067989.51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1602.32</v>
      </c>
      <c r="L342" s="19">
        <f>SUM(F342:K342)</f>
        <v>1602.32</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15.67</v>
      </c>
      <c r="L343" s="19">
        <f>SUM(F343:K343)</f>
        <v>15.67</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1617.99</v>
      </c>
      <c r="L352" s="41">
        <f>SUM(L342:L351)</f>
        <v>1617.99</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1037133.9099999999</v>
      </c>
      <c r="G353" s="41">
        <f>G339</f>
        <v>440863.21999999991</v>
      </c>
      <c r="H353" s="41">
        <f>H339</f>
        <v>390900.24</v>
      </c>
      <c r="I353" s="41">
        <f>I339</f>
        <v>150773.51</v>
      </c>
      <c r="J353" s="41">
        <f>J339</f>
        <v>46827.94</v>
      </c>
      <c r="K353" s="47">
        <f>K339+K352</f>
        <v>3108.68</v>
      </c>
      <c r="L353" s="41">
        <f>L339+L352</f>
        <v>2069607.5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127477.2948</v>
      </c>
      <c r="G359" s="18">
        <v>44329.548300000002</v>
      </c>
      <c r="H359" s="18">
        <v>8289.99</v>
      </c>
      <c r="I359" s="18">
        <v>164264.82340000002</v>
      </c>
      <c r="J359" s="18">
        <v>0</v>
      </c>
      <c r="K359" s="18">
        <f>2511.5394+0.47</f>
        <v>2512.0093999999999</v>
      </c>
      <c r="L359" s="13">
        <f>SUM(F359:K359)</f>
        <v>346873.66590000002</v>
      </c>
      <c r="M359" s="8"/>
      <c r="N359" s="265"/>
    </row>
    <row r="360" spans="1:22" s="3" customFormat="1" ht="12.2" customHeight="1" x14ac:dyDescent="0.15">
      <c r="A360" s="1" t="s">
        <v>542</v>
      </c>
      <c r="B360" s="2" t="s">
        <v>366</v>
      </c>
      <c r="C360" s="6">
        <v>2</v>
      </c>
      <c r="D360" s="2" t="s">
        <v>431</v>
      </c>
      <c r="E360" s="6"/>
      <c r="F360" s="18">
        <v>131951.97840000002</v>
      </c>
      <c r="G360" s="18">
        <v>46959.21639999999</v>
      </c>
      <c r="H360" s="18">
        <v>6769.89</v>
      </c>
      <c r="I360" s="18">
        <v>225107.60719999997</v>
      </c>
      <c r="J360" s="18">
        <v>0</v>
      </c>
      <c r="K360" s="18">
        <v>2720.5952000000002</v>
      </c>
      <c r="L360" s="19">
        <f>SUM(F360:K360)</f>
        <v>413509.28719999996</v>
      </c>
      <c r="M360" s="8"/>
      <c r="N360" s="265"/>
    </row>
    <row r="361" spans="1:22" s="3" customFormat="1" ht="12.2" customHeight="1" x14ac:dyDescent="0.15">
      <c r="A361" s="3" t="s">
        <v>543</v>
      </c>
      <c r="B361" s="2" t="s">
        <v>366</v>
      </c>
      <c r="C361" s="6">
        <v>3</v>
      </c>
      <c r="D361" s="2" t="s">
        <v>431</v>
      </c>
      <c r="E361" s="6"/>
      <c r="F361" s="18">
        <v>150988.16680000001</v>
      </c>
      <c r="G361" s="18">
        <v>81973.605299999996</v>
      </c>
      <c r="H361" s="18">
        <v>20294.900000000001</v>
      </c>
      <c r="I361" s="18">
        <v>266627.68939999997</v>
      </c>
      <c r="J361" s="18">
        <v>0</v>
      </c>
      <c r="K361" s="18">
        <v>3315.7254000000003</v>
      </c>
      <c r="L361" s="19">
        <f>SUM(F361:K361)</f>
        <v>523200.08689999999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410417.44000000006</v>
      </c>
      <c r="G363" s="47">
        <f t="shared" si="22"/>
        <v>173262.37</v>
      </c>
      <c r="H363" s="47">
        <f t="shared" si="22"/>
        <v>35354.78</v>
      </c>
      <c r="I363" s="47">
        <f t="shared" si="22"/>
        <v>656000.11999999988</v>
      </c>
      <c r="J363" s="47">
        <f t="shared" si="22"/>
        <v>0</v>
      </c>
      <c r="K363" s="47">
        <f t="shared" si="22"/>
        <v>8548.3300000000017</v>
      </c>
      <c r="L363" s="47">
        <f t="shared" si="22"/>
        <v>1283583.04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149249.09</v>
      </c>
      <c r="G368" s="18">
        <v>198770.19</v>
      </c>
      <c r="H368" s="18">
        <v>241422.31</v>
      </c>
      <c r="I368" s="56">
        <f>SUM(F368:H368)</f>
        <v>589441.59000000008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15015.733400000001</v>
      </c>
      <c r="G369" s="63">
        <v>26337.4172</v>
      </c>
      <c r="H369" s="63">
        <v>25205.379399999998</v>
      </c>
      <c r="I369" s="56">
        <f>SUM(F369:H369)</f>
        <v>66558.53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164264.82339999999</v>
      </c>
      <c r="G370" s="47">
        <f>SUM(G368:G369)</f>
        <v>225107.6072</v>
      </c>
      <c r="H370" s="47">
        <f>SUM(H368:H369)</f>
        <v>266627.68939999997</v>
      </c>
      <c r="I370" s="47">
        <f>SUM(I368:I369)</f>
        <v>656000.12000000011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v>162025</v>
      </c>
      <c r="I381" s="18"/>
      <c r="J381" s="18">
        <v>609</v>
      </c>
      <c r="K381" s="18"/>
      <c r="L381" s="13">
        <f t="shared" si="23"/>
        <v>162634</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162025</v>
      </c>
      <c r="I383" s="41">
        <f t="shared" si="24"/>
        <v>0</v>
      </c>
      <c r="J383" s="47">
        <f t="shared" si="24"/>
        <v>609</v>
      </c>
      <c r="K383" s="47">
        <f t="shared" si="24"/>
        <v>0</v>
      </c>
      <c r="L383" s="47">
        <f t="shared" si="24"/>
        <v>162634</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v>200000</v>
      </c>
      <c r="H393" s="18">
        <v>857.58</v>
      </c>
      <c r="I393" s="18"/>
      <c r="J393" s="24" t="s">
        <v>288</v>
      </c>
      <c r="K393" s="24" t="s">
        <v>288</v>
      </c>
      <c r="L393" s="56">
        <f t="shared" si="25"/>
        <v>200857.58</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200000</v>
      </c>
      <c r="H394" s="139">
        <f>SUM(H388:H393)</f>
        <v>857.58</v>
      </c>
      <c r="I394" s="65">
        <f>SUM(I388:I393)</f>
        <v>0</v>
      </c>
      <c r="J394" s="45" t="s">
        <v>288</v>
      </c>
      <c r="K394" s="45" t="s">
        <v>288</v>
      </c>
      <c r="L394" s="47">
        <f>SUM(L388:L393)</f>
        <v>200857.58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t="s">
        <v>1802</v>
      </c>
      <c r="B404" s="2" t="s">
        <v>381</v>
      </c>
      <c r="C404" s="6">
        <v>15</v>
      </c>
      <c r="D404" s="2" t="s">
        <v>432</v>
      </c>
      <c r="E404" s="6"/>
      <c r="F404" s="18"/>
      <c r="G404" s="18"/>
      <c r="H404" s="18">
        <v>764.33</v>
      </c>
      <c r="I404" s="18"/>
      <c r="J404" s="24" t="s">
        <v>288</v>
      </c>
      <c r="K404" s="24" t="s">
        <v>288</v>
      </c>
      <c r="L404" s="56">
        <f>SUM(F404:K404)</f>
        <v>764.33</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764.33</v>
      </c>
      <c r="I408" s="47">
        <f>SUM(I404:I407)</f>
        <v>0</v>
      </c>
      <c r="J408" s="49" t="s">
        <v>288</v>
      </c>
      <c r="K408" s="49" t="s">
        <v>288</v>
      </c>
      <c r="L408" s="47">
        <f>SUM(L404:L407)</f>
        <v>764.33</v>
      </c>
      <c r="M408" s="8"/>
      <c r="N408" s="265"/>
    </row>
    <row r="409" spans="1:21" s="3" customFormat="1" ht="12.2" customHeight="1" thickTop="1" x14ac:dyDescent="0.15">
      <c r="A409" s="78" t="s">
        <v>421</v>
      </c>
      <c r="B409" s="2" t="s">
        <v>381</v>
      </c>
      <c r="C409" s="6">
        <v>20</v>
      </c>
      <c r="D409" s="6"/>
      <c r="E409" s="40"/>
      <c r="F409" s="47">
        <f>F394+F402+F408</f>
        <v>0</v>
      </c>
      <c r="G409" s="47">
        <f>G394+G402+G408</f>
        <v>200000</v>
      </c>
      <c r="H409" s="47">
        <f>H394+H402+H408</f>
        <v>1621.91</v>
      </c>
      <c r="I409" s="47">
        <f>I394+I402+I408</f>
        <v>0</v>
      </c>
      <c r="J409" s="24" t="s">
        <v>288</v>
      </c>
      <c r="K409" s="24" t="s">
        <v>288</v>
      </c>
      <c r="L409" s="47">
        <f>L394+L402+L408</f>
        <v>201621.90999999997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v>162025</v>
      </c>
      <c r="L419" s="56">
        <f t="shared" si="27"/>
        <v>162025</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162025</v>
      </c>
      <c r="L420" s="47">
        <f t="shared" si="28"/>
        <v>162025</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t="s">
        <v>1802</v>
      </c>
      <c r="B430" s="6">
        <v>17</v>
      </c>
      <c r="C430" s="6">
        <v>15</v>
      </c>
      <c r="D430" s="2" t="s">
        <v>432</v>
      </c>
      <c r="E430" s="6"/>
      <c r="F430" s="18"/>
      <c r="G430" s="18"/>
      <c r="H430" s="18">
        <v>6085.93</v>
      </c>
      <c r="I430" s="18"/>
      <c r="J430" s="18"/>
      <c r="K430" s="18"/>
      <c r="L430" s="56">
        <f>SUM(F430:K430)</f>
        <v>6085.93</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6085.93</v>
      </c>
      <c r="I434" s="47">
        <f t="shared" si="31"/>
        <v>0</v>
      </c>
      <c r="J434" s="47">
        <f t="shared" si="31"/>
        <v>0</v>
      </c>
      <c r="K434" s="47">
        <f t="shared" si="31"/>
        <v>0</v>
      </c>
      <c r="L434" s="47">
        <f t="shared" si="31"/>
        <v>6085.93</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6085.93</v>
      </c>
      <c r="I435" s="47">
        <f t="shared" si="32"/>
        <v>0</v>
      </c>
      <c r="J435" s="47">
        <f t="shared" si="32"/>
        <v>0</v>
      </c>
      <c r="K435" s="47">
        <f t="shared" si="32"/>
        <v>162025</v>
      </c>
      <c r="L435" s="47">
        <f t="shared" si="32"/>
        <v>168110.93</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284035.44</v>
      </c>
      <c r="G443" s="18"/>
      <c r="H443" s="18">
        <f>45528.35-5321.6</f>
        <v>40206.75</v>
      </c>
      <c r="I443" s="56">
        <f t="shared" si="33"/>
        <v>324242.19</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284035.44</v>
      </c>
      <c r="G447" s="13">
        <f>SUM(G440:G446)</f>
        <v>0</v>
      </c>
      <c r="H447" s="13">
        <f>SUM(H440:H446)</f>
        <v>40206.75</v>
      </c>
      <c r="I447" s="13">
        <f>SUM(I440:I446)</f>
        <v>324242.19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f>41589.92-5867.92</f>
        <v>35722</v>
      </c>
      <c r="I458" s="56">
        <f t="shared" si="34"/>
        <v>35722</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f>3938.43+546.32</f>
        <v>4484.75</v>
      </c>
      <c r="I459" s="56">
        <f t="shared" si="34"/>
        <v>4484.75</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284035.44</v>
      </c>
      <c r="G460" s="18"/>
      <c r="H460" s="18"/>
      <c r="I460" s="56">
        <f t="shared" si="34"/>
        <v>284035.44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284035.44</v>
      </c>
      <c r="G461" s="83">
        <f>SUM(G455:G460)</f>
        <v>0</v>
      </c>
      <c r="H461" s="83">
        <f>SUM(H455:H460)</f>
        <v>40206.75</v>
      </c>
      <c r="I461" s="83">
        <f>SUM(I455:I460)</f>
        <v>324242.19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284035.44</v>
      </c>
      <c r="G462" s="42">
        <f>G453+G461</f>
        <v>0</v>
      </c>
      <c r="H462" s="42">
        <f>H453+H461</f>
        <v>40206.75</v>
      </c>
      <c r="I462" s="42">
        <f>I453+I461</f>
        <v>324242.19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4620667.7599999979</v>
      </c>
      <c r="G466" s="18">
        <v>135325.26</v>
      </c>
      <c r="H466" s="18">
        <v>0</v>
      </c>
      <c r="I466" s="18">
        <v>0</v>
      </c>
      <c r="J466" s="18">
        <v>290731.20999999996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43315387.109999999</v>
      </c>
      <c r="G469" s="18">
        <v>1597895.5999999999</v>
      </c>
      <c r="H469" s="18">
        <v>2069607.4999999998</v>
      </c>
      <c r="I469" s="18">
        <v>162025</v>
      </c>
      <c r="J469" s="18">
        <v>201621.91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43315387.109999999</v>
      </c>
      <c r="G471" s="53">
        <f>SUM(G469:G470)</f>
        <v>1597895.5999999999</v>
      </c>
      <c r="H471" s="53">
        <f>SUM(H469:H470)</f>
        <v>2069607.4999999998</v>
      </c>
      <c r="I471" s="53">
        <f>SUM(I469:I470)</f>
        <v>162025</v>
      </c>
      <c r="J471" s="53">
        <f>SUM(J469:J470)</f>
        <v>201621.91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43605599.289999999</v>
      </c>
      <c r="G473" s="18">
        <v>1283583.04</v>
      </c>
      <c r="H473" s="18">
        <v>2069607.4999999998</v>
      </c>
      <c r="I473" s="18">
        <v>162634</v>
      </c>
      <c r="J473" s="18">
        <v>168110.93</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43605599.289999999</v>
      </c>
      <c r="G475" s="53">
        <f>SUM(G473:G474)</f>
        <v>1283583.04</v>
      </c>
      <c r="H475" s="53">
        <f>SUM(H473:H474)</f>
        <v>2069607.4999999998</v>
      </c>
      <c r="I475" s="53">
        <f>SUM(I473:I474)</f>
        <v>162634</v>
      </c>
      <c r="J475" s="53">
        <f>SUM(J473:J474)</f>
        <v>168110.93</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4330455.5799999982</v>
      </c>
      <c r="G477" s="53">
        <f>(G466+G471)- G475</f>
        <v>449637.81999999983</v>
      </c>
      <c r="H477" s="53">
        <f>(H466+H471)- H475</f>
        <v>0</v>
      </c>
      <c r="I477" s="53">
        <f>(I466+I471)- I475</f>
        <v>-609</v>
      </c>
      <c r="J477" s="53">
        <f>(J466+J471)- J475</f>
        <v>324242.19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2186868.5158000002</v>
      </c>
      <c r="G522" s="18">
        <v>1072981.523</v>
      </c>
      <c r="H522" s="18">
        <v>465296.92459999997</v>
      </c>
      <c r="I522" s="18">
        <v>24311.647300000001</v>
      </c>
      <c r="J522" s="18">
        <v>12225.991999999998</v>
      </c>
      <c r="K522" s="18">
        <v>0</v>
      </c>
      <c r="L522" s="88">
        <f>SUM(F522:K522)</f>
        <v>3761684.6027000002</v>
      </c>
      <c r="N522" s="264"/>
    </row>
    <row r="523" spans="1:14" s="52" customFormat="1" ht="12.2" customHeight="1" x14ac:dyDescent="0.2">
      <c r="A523" s="22" t="s">
        <v>634</v>
      </c>
      <c r="B523" s="105">
        <v>21</v>
      </c>
      <c r="C523" s="115">
        <v>2</v>
      </c>
      <c r="D523" s="2" t="s">
        <v>432</v>
      </c>
      <c r="E523" s="115"/>
      <c r="F523" s="18">
        <v>1720714.9964000001</v>
      </c>
      <c r="G523" s="18">
        <v>844645.23399999982</v>
      </c>
      <c r="H523" s="18">
        <v>511658.49680000008</v>
      </c>
      <c r="I523" s="18">
        <v>20021.168400000002</v>
      </c>
      <c r="J523" s="18">
        <v>4034.4560000000001</v>
      </c>
      <c r="K523" s="18">
        <v>555</v>
      </c>
      <c r="L523" s="88">
        <f>SUM(F523:K523)</f>
        <v>3101629.3515999992</v>
      </c>
      <c r="N523" s="264"/>
    </row>
    <row r="524" spans="1:14" s="52" customFormat="1" ht="12.2" customHeight="1" thickBot="1" x14ac:dyDescent="0.25">
      <c r="A524" s="22" t="s">
        <v>635</v>
      </c>
      <c r="B524" s="105">
        <v>21</v>
      </c>
      <c r="C524" s="115">
        <v>3</v>
      </c>
      <c r="D524" s="2" t="s">
        <v>432</v>
      </c>
      <c r="E524" s="115"/>
      <c r="F524" s="18">
        <v>1549921.3878000001</v>
      </c>
      <c r="G524" s="18">
        <v>771895.27300000016</v>
      </c>
      <c r="H524" s="18">
        <v>626013.73860000004</v>
      </c>
      <c r="I524" s="18">
        <v>19120.104299999999</v>
      </c>
      <c r="J524" s="18">
        <v>7384.8019999999997</v>
      </c>
      <c r="K524" s="18">
        <v>0</v>
      </c>
      <c r="L524" s="88">
        <f>SUM(F524:K524)</f>
        <v>2974335.3057000004</v>
      </c>
      <c r="N524" s="264"/>
    </row>
    <row r="525" spans="1:14" s="52" customFormat="1" ht="12.2" customHeight="1" thickTop="1" x14ac:dyDescent="0.2">
      <c r="A525" s="139" t="s">
        <v>63</v>
      </c>
      <c r="B525" s="107">
        <v>21</v>
      </c>
      <c r="C525" s="194">
        <v>4</v>
      </c>
      <c r="D525" s="195" t="s">
        <v>432</v>
      </c>
      <c r="E525" s="194"/>
      <c r="F525" s="108">
        <f>SUM(F522:F524)</f>
        <v>5457504.9000000004</v>
      </c>
      <c r="G525" s="108">
        <f t="shared" ref="G525:L525" si="36">SUM(G522:G524)</f>
        <v>2689522.03</v>
      </c>
      <c r="H525" s="108">
        <f t="shared" si="36"/>
        <v>1602969.1600000001</v>
      </c>
      <c r="I525" s="108">
        <f t="shared" si="36"/>
        <v>63452.920000000006</v>
      </c>
      <c r="J525" s="108">
        <f t="shared" si="36"/>
        <v>23645.25</v>
      </c>
      <c r="K525" s="108">
        <f t="shared" si="36"/>
        <v>555</v>
      </c>
      <c r="L525" s="89">
        <f t="shared" si="36"/>
        <v>9837649.2599999998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579423.4216</v>
      </c>
      <c r="G527" s="18">
        <v>255072.32510000002</v>
      </c>
      <c r="H527" s="18">
        <v>2054.8290999999999</v>
      </c>
      <c r="I527" s="18">
        <v>29075.314200000001</v>
      </c>
      <c r="J527" s="18">
        <v>612.42200000000003</v>
      </c>
      <c r="K527" s="18">
        <v>0</v>
      </c>
      <c r="L527" s="88">
        <f>SUM(F527:K527)</f>
        <v>866238.31200000003</v>
      </c>
      <c r="M527" s="8"/>
      <c r="N527" s="265"/>
    </row>
    <row r="528" spans="1:14" s="3" customFormat="1" ht="12.2" customHeight="1" x14ac:dyDescent="0.15">
      <c r="A528" s="22" t="s">
        <v>634</v>
      </c>
      <c r="B528" s="105">
        <v>21</v>
      </c>
      <c r="C528" s="115">
        <v>6</v>
      </c>
      <c r="D528" s="2" t="s">
        <v>432</v>
      </c>
      <c r="E528" s="115"/>
      <c r="F528" s="18">
        <v>448870.00280000002</v>
      </c>
      <c r="G528" s="18">
        <v>189431.30080000003</v>
      </c>
      <c r="H528" s="18">
        <v>2095.6127999999999</v>
      </c>
      <c r="I528" s="18">
        <v>23665.903599999998</v>
      </c>
      <c r="J528" s="18">
        <v>1982.6660000000002</v>
      </c>
      <c r="K528" s="18">
        <v>0</v>
      </c>
      <c r="L528" s="88">
        <f>SUM(F528:K528)</f>
        <v>666045.48599999992</v>
      </c>
      <c r="M528" s="8"/>
      <c r="N528" s="265"/>
    </row>
    <row r="529" spans="1:14" s="3" customFormat="1" ht="12.2" customHeight="1" thickBot="1" x14ac:dyDescent="0.2">
      <c r="A529" s="22" t="s">
        <v>635</v>
      </c>
      <c r="B529" s="118">
        <v>21</v>
      </c>
      <c r="C529" s="118">
        <v>7</v>
      </c>
      <c r="D529" s="2" t="s">
        <v>432</v>
      </c>
      <c r="E529" s="118"/>
      <c r="F529" s="18">
        <v>878719.58559999999</v>
      </c>
      <c r="G529" s="18">
        <v>445096.45409999992</v>
      </c>
      <c r="H529" s="18">
        <v>3263.6280999999999</v>
      </c>
      <c r="I529" s="18">
        <v>46861.94219999999</v>
      </c>
      <c r="J529" s="18">
        <v>823.60200000000009</v>
      </c>
      <c r="K529" s="18">
        <v>1457.85</v>
      </c>
      <c r="L529" s="88">
        <f>SUM(F529:K529)</f>
        <v>1376223.0619999999</v>
      </c>
      <c r="M529" s="8"/>
      <c r="N529" s="265"/>
    </row>
    <row r="530" spans="1:14" s="3" customFormat="1" ht="12.2" customHeight="1" thickTop="1" x14ac:dyDescent="0.15">
      <c r="A530" s="139" t="s">
        <v>65</v>
      </c>
      <c r="B530" s="107">
        <v>21</v>
      </c>
      <c r="C530" s="107">
        <v>8</v>
      </c>
      <c r="D530" s="158" t="s">
        <v>432</v>
      </c>
      <c r="E530" s="107"/>
      <c r="F530" s="89">
        <f>SUM(F527:F529)</f>
        <v>1907013.01</v>
      </c>
      <c r="G530" s="89">
        <f t="shared" ref="G530:L530" si="37">SUM(G527:G529)</f>
        <v>889600.08</v>
      </c>
      <c r="H530" s="89">
        <f t="shared" si="37"/>
        <v>7414.07</v>
      </c>
      <c r="I530" s="89">
        <f t="shared" si="37"/>
        <v>99603.159999999989</v>
      </c>
      <c r="J530" s="89">
        <f t="shared" si="37"/>
        <v>3418.6900000000005</v>
      </c>
      <c r="K530" s="89">
        <f t="shared" si="37"/>
        <v>1457.85</v>
      </c>
      <c r="L530" s="89">
        <f t="shared" si="37"/>
        <v>2908506.86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145541</v>
      </c>
      <c r="G532" s="18">
        <v>114777</v>
      </c>
      <c r="H532" s="18"/>
      <c r="I532" s="18"/>
      <c r="J532" s="18"/>
      <c r="K532" s="18"/>
      <c r="L532" s="88">
        <f>SUM(F532:K532)</f>
        <v>260318</v>
      </c>
      <c r="M532" s="8"/>
      <c r="N532" s="265"/>
    </row>
    <row r="533" spans="1:14" s="3" customFormat="1" ht="12.2" customHeight="1" x14ac:dyDescent="0.15">
      <c r="A533" s="22" t="s">
        <v>634</v>
      </c>
      <c r="B533" s="105">
        <v>21</v>
      </c>
      <c r="C533" s="105">
        <v>10</v>
      </c>
      <c r="D533" s="2" t="s">
        <v>432</v>
      </c>
      <c r="E533" s="105"/>
      <c r="F533" s="18">
        <v>82500</v>
      </c>
      <c r="G533" s="18">
        <v>59837</v>
      </c>
      <c r="H533" s="18"/>
      <c r="I533" s="18"/>
      <c r="J533" s="18"/>
      <c r="K533" s="18"/>
      <c r="L533" s="88">
        <f>SUM(F533:K533)</f>
        <v>142337</v>
      </c>
      <c r="M533" s="8"/>
      <c r="N533" s="265"/>
    </row>
    <row r="534" spans="1:14" s="3" customFormat="1" ht="12.2" customHeight="1" thickBot="1" x14ac:dyDescent="0.2">
      <c r="A534" s="22" t="s">
        <v>635</v>
      </c>
      <c r="B534" s="105">
        <v>21</v>
      </c>
      <c r="C534" s="105">
        <v>11</v>
      </c>
      <c r="D534" s="2" t="s">
        <v>432</v>
      </c>
      <c r="E534" s="105"/>
      <c r="F534" s="18">
        <v>90614</v>
      </c>
      <c r="G534" s="18">
        <v>40500</v>
      </c>
      <c r="H534" s="18"/>
      <c r="I534" s="18"/>
      <c r="J534" s="18"/>
      <c r="K534" s="18"/>
      <c r="L534" s="88">
        <f>SUM(F534:K534)</f>
        <v>131114</v>
      </c>
      <c r="M534" s="8"/>
      <c r="N534" s="265"/>
    </row>
    <row r="535" spans="1:14" s="3" customFormat="1" ht="12.2" customHeight="1" thickTop="1" x14ac:dyDescent="0.15">
      <c r="A535" s="139" t="s">
        <v>67</v>
      </c>
      <c r="B535" s="107">
        <v>21</v>
      </c>
      <c r="C535" s="107">
        <v>12</v>
      </c>
      <c r="D535" s="158" t="s">
        <v>432</v>
      </c>
      <c r="E535" s="107"/>
      <c r="F535" s="89">
        <f>SUM(F532:F534)</f>
        <v>318655</v>
      </c>
      <c r="G535" s="89">
        <f t="shared" ref="G535:L535" si="38">SUM(G532:G534)</f>
        <v>215114</v>
      </c>
      <c r="H535" s="89">
        <f t="shared" si="38"/>
        <v>0</v>
      </c>
      <c r="I535" s="89">
        <f t="shared" si="38"/>
        <v>0</v>
      </c>
      <c r="J535" s="89">
        <f t="shared" si="38"/>
        <v>0</v>
      </c>
      <c r="K535" s="89">
        <f t="shared" si="38"/>
        <v>0</v>
      </c>
      <c r="L535" s="89">
        <f t="shared" si="38"/>
        <v>533769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952.93999999999994</v>
      </c>
      <c r="I537" s="18"/>
      <c r="J537" s="18"/>
      <c r="K537" s="18"/>
      <c r="L537" s="88">
        <f>SUM(F537:K537)</f>
        <v>952.93999999999994</v>
      </c>
      <c r="M537" s="8"/>
      <c r="N537" s="265"/>
    </row>
    <row r="538" spans="1:14" s="3" customFormat="1" ht="12.2" customHeight="1" x14ac:dyDescent="0.15">
      <c r="A538" s="22" t="s">
        <v>634</v>
      </c>
      <c r="B538" s="105">
        <v>21</v>
      </c>
      <c r="C538" s="105">
        <v>14</v>
      </c>
      <c r="D538" s="2" t="s">
        <v>432</v>
      </c>
      <c r="E538" s="105"/>
      <c r="F538" s="18"/>
      <c r="G538" s="18"/>
      <c r="H538" s="18">
        <v>1051.52</v>
      </c>
      <c r="I538" s="18"/>
      <c r="J538" s="18"/>
      <c r="K538" s="18"/>
      <c r="L538" s="88">
        <f>SUM(F538:K538)</f>
        <v>1051.52</v>
      </c>
      <c r="M538" s="8"/>
      <c r="N538" s="265"/>
    </row>
    <row r="539" spans="1:14" s="3" customFormat="1" ht="12.2" customHeight="1" thickBot="1" x14ac:dyDescent="0.2">
      <c r="A539" s="22" t="s">
        <v>635</v>
      </c>
      <c r="B539" s="105">
        <v>21</v>
      </c>
      <c r="C539" s="105">
        <v>15</v>
      </c>
      <c r="D539" s="2" t="s">
        <v>432</v>
      </c>
      <c r="E539" s="105"/>
      <c r="F539" s="18"/>
      <c r="G539" s="18"/>
      <c r="H539" s="18">
        <v>1281.54</v>
      </c>
      <c r="I539" s="18"/>
      <c r="J539" s="18"/>
      <c r="K539" s="18"/>
      <c r="L539" s="88">
        <f>SUM(F539:K539)</f>
        <v>1281.54</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3286</v>
      </c>
      <c r="I540" s="89">
        <f t="shared" si="39"/>
        <v>0</v>
      </c>
      <c r="J540" s="89">
        <f t="shared" si="39"/>
        <v>0</v>
      </c>
      <c r="K540" s="89">
        <f t="shared" si="39"/>
        <v>0</v>
      </c>
      <c r="L540" s="89">
        <f t="shared" si="39"/>
        <v>3286</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208366.69069999998</v>
      </c>
      <c r="I542" s="18"/>
      <c r="J542" s="18"/>
      <c r="K542" s="18"/>
      <c r="L542" s="88">
        <f>SUM(F542:K542)</f>
        <v>208366.69069999998</v>
      </c>
      <c r="M542" s="8"/>
      <c r="N542" s="265"/>
    </row>
    <row r="543" spans="1:14" s="3" customFormat="1" ht="12.2" customHeight="1" x14ac:dyDescent="0.15">
      <c r="A543" s="22" t="s">
        <v>634</v>
      </c>
      <c r="B543" s="105">
        <v>21</v>
      </c>
      <c r="C543" s="105">
        <v>18</v>
      </c>
      <c r="D543" s="2" t="s">
        <v>432</v>
      </c>
      <c r="E543" s="105"/>
      <c r="F543" s="18"/>
      <c r="G543" s="18"/>
      <c r="H543" s="18">
        <v>229921.86559999999</v>
      </c>
      <c r="I543" s="18"/>
      <c r="J543" s="18"/>
      <c r="K543" s="18"/>
      <c r="L543" s="88">
        <f>SUM(F543:K543)</f>
        <v>229921.86559999999</v>
      </c>
      <c r="M543" s="8"/>
      <c r="N543" s="265"/>
    </row>
    <row r="544" spans="1:14" s="3" customFormat="1" ht="12.2" customHeight="1" thickBot="1" x14ac:dyDescent="0.2">
      <c r="A544" s="22" t="s">
        <v>635</v>
      </c>
      <c r="B544" s="105">
        <v>21</v>
      </c>
      <c r="C544" s="105">
        <v>19</v>
      </c>
      <c r="D544" s="2" t="s">
        <v>432</v>
      </c>
      <c r="E544" s="105"/>
      <c r="F544" s="18"/>
      <c r="G544" s="18"/>
      <c r="H544" s="18">
        <v>280598.80370000005</v>
      </c>
      <c r="I544" s="18"/>
      <c r="J544" s="18"/>
      <c r="K544" s="18"/>
      <c r="L544" s="88">
        <f>SUM(F544:K544)</f>
        <v>280598.80370000005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718887.36</v>
      </c>
      <c r="I545" s="192">
        <f t="shared" si="40"/>
        <v>0</v>
      </c>
      <c r="J545" s="192">
        <f t="shared" si="40"/>
        <v>0</v>
      </c>
      <c r="K545" s="192">
        <f t="shared" si="40"/>
        <v>0</v>
      </c>
      <c r="L545" s="192">
        <f t="shared" si="40"/>
        <v>718887.36</v>
      </c>
      <c r="M545" s="8"/>
      <c r="N545" s="265"/>
    </row>
    <row r="546" spans="1:14" s="3" customFormat="1" ht="12.2" customHeight="1" thickTop="1" x14ac:dyDescent="0.15">
      <c r="A546" s="98" t="s">
        <v>72</v>
      </c>
      <c r="B546" s="107">
        <v>21</v>
      </c>
      <c r="C546" s="107">
        <v>21</v>
      </c>
      <c r="D546" s="158" t="s">
        <v>432</v>
      </c>
      <c r="E546" s="107"/>
      <c r="F546" s="89">
        <f>F525+F530+F535+F540+F545</f>
        <v>7683172.9100000001</v>
      </c>
      <c r="G546" s="89">
        <f t="shared" ref="G546:L546" si="41">G525+G530+G535+G540+G545</f>
        <v>3794236.11</v>
      </c>
      <c r="H546" s="89">
        <f t="shared" si="41"/>
        <v>2332556.5900000003</v>
      </c>
      <c r="I546" s="89">
        <f t="shared" si="41"/>
        <v>163056.07999999999</v>
      </c>
      <c r="J546" s="89">
        <f t="shared" si="41"/>
        <v>27063.940000000002</v>
      </c>
      <c r="K546" s="89">
        <f t="shared" si="41"/>
        <v>2012.85</v>
      </c>
      <c r="L546" s="89">
        <f t="shared" si="41"/>
        <v>14002098.479999999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3761684.6027000002</v>
      </c>
      <c r="G550" s="87">
        <f>L527</f>
        <v>866238.31200000003</v>
      </c>
      <c r="H550" s="87">
        <f>L532</f>
        <v>260318</v>
      </c>
      <c r="I550" s="87">
        <f>L537</f>
        <v>952.93999999999994</v>
      </c>
      <c r="J550" s="87">
        <f>L542</f>
        <v>208366.69069999998</v>
      </c>
      <c r="K550" s="87">
        <f>SUM(F550:J550)</f>
        <v>5097560.5454000011</v>
      </c>
      <c r="L550" s="24" t="s">
        <v>288</v>
      </c>
      <c r="M550" s="8"/>
      <c r="N550" s="265"/>
    </row>
    <row r="551" spans="1:14" s="3" customFormat="1" ht="12.2" customHeight="1" x14ac:dyDescent="0.15">
      <c r="A551" s="22" t="s">
        <v>634</v>
      </c>
      <c r="B551" s="75">
        <v>21</v>
      </c>
      <c r="C551" s="75">
        <v>23</v>
      </c>
      <c r="D551" s="2" t="s">
        <v>432</v>
      </c>
      <c r="E551" s="75"/>
      <c r="F551" s="87">
        <f>L523</f>
        <v>3101629.3515999992</v>
      </c>
      <c r="G551" s="87">
        <f>L528</f>
        <v>666045.48599999992</v>
      </c>
      <c r="H551" s="87">
        <f>L533</f>
        <v>142337</v>
      </c>
      <c r="I551" s="87">
        <f>L538</f>
        <v>1051.52</v>
      </c>
      <c r="J551" s="87">
        <f>L543</f>
        <v>229921.86559999999</v>
      </c>
      <c r="K551" s="87">
        <f>SUM(F551:J551)</f>
        <v>4140985.2231999994</v>
      </c>
      <c r="L551" s="24" t="s">
        <v>288</v>
      </c>
      <c r="M551" s="8"/>
      <c r="N551" s="265"/>
    </row>
    <row r="552" spans="1:14" s="3" customFormat="1" ht="12.2" customHeight="1" thickBot="1" x14ac:dyDescent="0.2">
      <c r="A552" s="22" t="s">
        <v>635</v>
      </c>
      <c r="B552" s="75">
        <v>21</v>
      </c>
      <c r="C552" s="75">
        <v>24</v>
      </c>
      <c r="D552" s="2" t="s">
        <v>432</v>
      </c>
      <c r="E552" s="75"/>
      <c r="F552" s="87">
        <f>L524</f>
        <v>2974335.3057000004</v>
      </c>
      <c r="G552" s="87">
        <f>L529</f>
        <v>1376223.0619999999</v>
      </c>
      <c r="H552" s="87">
        <f>L534</f>
        <v>131114</v>
      </c>
      <c r="I552" s="87">
        <f>L539</f>
        <v>1281.54</v>
      </c>
      <c r="J552" s="87">
        <f>L544</f>
        <v>280598.80370000005</v>
      </c>
      <c r="K552" s="87">
        <f>SUM(F552:J552)</f>
        <v>4763552.7114000004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9837649.2599999998</v>
      </c>
      <c r="G553" s="89">
        <f t="shared" si="42"/>
        <v>2908506.86</v>
      </c>
      <c r="H553" s="89">
        <f t="shared" si="42"/>
        <v>533769</v>
      </c>
      <c r="I553" s="89">
        <f t="shared" si="42"/>
        <v>3286</v>
      </c>
      <c r="J553" s="89">
        <f t="shared" si="42"/>
        <v>718887.36</v>
      </c>
      <c r="K553" s="89">
        <f t="shared" si="42"/>
        <v>14002098.48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25">
      <c r="A563" s="22" t="s">
        <v>633</v>
      </c>
      <c r="B563" s="105">
        <v>22</v>
      </c>
      <c r="C563" s="115">
        <v>5</v>
      </c>
      <c r="D563" s="2" t="s">
        <v>432</v>
      </c>
      <c r="E563" s="115"/>
      <c r="F563" s="372">
        <v>32801.899999999994</v>
      </c>
      <c r="G563" s="18">
        <v>19755.391599999995</v>
      </c>
      <c r="H563" s="18">
        <v>177.03629999999998</v>
      </c>
      <c r="I563" s="18"/>
      <c r="J563" s="18"/>
      <c r="K563" s="18"/>
      <c r="L563" s="88">
        <f>SUM(F563:K563)</f>
        <v>52734.327899999989</v>
      </c>
      <c r="M563" s="8"/>
      <c r="N563" s="265"/>
    </row>
    <row r="564" spans="1:14" s="3" customFormat="1" ht="12.2" customHeight="1" x14ac:dyDescent="0.15">
      <c r="A564" s="22" t="s">
        <v>634</v>
      </c>
      <c r="B564" s="105">
        <v>22</v>
      </c>
      <c r="C564" s="115">
        <v>6</v>
      </c>
      <c r="D564" s="2" t="s">
        <v>432</v>
      </c>
      <c r="E564" s="115"/>
      <c r="F564" s="18">
        <v>36195.200000000004</v>
      </c>
      <c r="G564" s="18">
        <v>21799.052800000001</v>
      </c>
      <c r="H564" s="18">
        <v>195.35040000000001</v>
      </c>
      <c r="I564" s="18"/>
      <c r="J564" s="18"/>
      <c r="K564" s="18"/>
      <c r="L564" s="88">
        <f>SUM(F564:K564)</f>
        <v>58189.603200000005</v>
      </c>
      <c r="M564" s="8"/>
      <c r="N564" s="265"/>
    </row>
    <row r="565" spans="1:14" s="3" customFormat="1" ht="12.2" customHeight="1" thickBot="1" x14ac:dyDescent="0.2">
      <c r="A565" s="22" t="s">
        <v>635</v>
      </c>
      <c r="B565" s="105">
        <v>22</v>
      </c>
      <c r="C565" s="118">
        <v>7</v>
      </c>
      <c r="D565" s="2" t="s">
        <v>432</v>
      </c>
      <c r="E565" s="118"/>
      <c r="F565" s="18">
        <v>44112.9</v>
      </c>
      <c r="G565" s="18">
        <v>26567.595600000004</v>
      </c>
      <c r="H565" s="18">
        <v>238.08330000000001</v>
      </c>
      <c r="I565" s="18"/>
      <c r="J565" s="18"/>
      <c r="K565" s="18"/>
      <c r="L565" s="88">
        <f>SUM(F565:K565)</f>
        <v>70918.578900000008</v>
      </c>
      <c r="M565" s="8"/>
      <c r="N565" s="265"/>
    </row>
    <row r="566" spans="1:14" s="3" customFormat="1" ht="12.2" customHeight="1" thickTop="1" x14ac:dyDescent="0.15">
      <c r="A566" s="139" t="s">
        <v>65</v>
      </c>
      <c r="B566" s="107">
        <v>22</v>
      </c>
      <c r="C566" s="107">
        <v>8</v>
      </c>
      <c r="D566" s="195" t="s">
        <v>432</v>
      </c>
      <c r="E566" s="107"/>
      <c r="F566" s="89">
        <f t="shared" ref="F566:L566" si="44">SUM(F563:F565)</f>
        <v>113110</v>
      </c>
      <c r="G566" s="89">
        <f t="shared" si="44"/>
        <v>68122.039999999994</v>
      </c>
      <c r="H566" s="89">
        <f t="shared" si="44"/>
        <v>610.47</v>
      </c>
      <c r="I566" s="89">
        <f t="shared" si="44"/>
        <v>0</v>
      </c>
      <c r="J566" s="89">
        <f t="shared" si="44"/>
        <v>0</v>
      </c>
      <c r="K566" s="89">
        <f t="shared" si="44"/>
        <v>0</v>
      </c>
      <c r="L566" s="89">
        <f t="shared" si="44"/>
        <v>181842.51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113110</v>
      </c>
      <c r="G572" s="89">
        <f t="shared" ref="G572:L572" si="46">G561+G566+G571</f>
        <v>68122.039999999994</v>
      </c>
      <c r="H572" s="89">
        <f t="shared" si="46"/>
        <v>610.47</v>
      </c>
      <c r="I572" s="89">
        <f t="shared" si="46"/>
        <v>0</v>
      </c>
      <c r="J572" s="89">
        <f t="shared" si="46"/>
        <v>0</v>
      </c>
      <c r="K572" s="89">
        <f t="shared" si="46"/>
        <v>0</v>
      </c>
      <c r="L572" s="89">
        <f t="shared" si="46"/>
        <v>181842.51</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8270.0024999999987</v>
      </c>
      <c r="G580" s="18">
        <v>9125.52</v>
      </c>
      <c r="H580" s="18">
        <v>11121.727500000001</v>
      </c>
      <c r="I580" s="87">
        <f t="shared" si="47"/>
        <v>28517.25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301791.24049999996</v>
      </c>
      <c r="G583" s="18">
        <v>333011.02400000003</v>
      </c>
      <c r="H583" s="18">
        <v>405857.18550000002</v>
      </c>
      <c r="I583" s="87">
        <f t="shared" si="47"/>
        <v>1040659.4500000001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131661.93</v>
      </c>
      <c r="I585" s="87">
        <f t="shared" si="47"/>
        <v>131661.93</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301310.4118</v>
      </c>
      <c r="I592" s="18">
        <v>332480.45440000005</v>
      </c>
      <c r="J592" s="18">
        <v>405210.55380000005</v>
      </c>
      <c r="K592" s="104">
        <f t="shared" ref="K592:K598" si="48">SUM(H592:J592)</f>
        <v>1039001.4200000002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208366.69069999998</v>
      </c>
      <c r="I593" s="18">
        <v>229921.86559999999</v>
      </c>
      <c r="J593" s="18">
        <v>280598.80370000005</v>
      </c>
      <c r="K593" s="104">
        <f t="shared" si="48"/>
        <v>718887.36</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16477.2</v>
      </c>
      <c r="K594" s="104">
        <f t="shared" si="48"/>
        <v>16477.2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1499.66</v>
      </c>
      <c r="J595" s="18">
        <v>39867.040000000001</v>
      </c>
      <c r="K595" s="104">
        <f t="shared" si="48"/>
        <v>41366.700000000004</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1572.09</v>
      </c>
      <c r="I596" s="18">
        <v>3239.51</v>
      </c>
      <c r="J596" s="18">
        <v>2718.75</v>
      </c>
      <c r="K596" s="104">
        <f t="shared" si="48"/>
        <v>7530.35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365.37389999999994</v>
      </c>
      <c r="I598" s="18">
        <v>403.1712</v>
      </c>
      <c r="J598" s="18">
        <v>491.36490000000003</v>
      </c>
      <c r="K598" s="104">
        <f t="shared" si="48"/>
        <v>1259.9099999999999</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511614.56640000001</v>
      </c>
      <c r="I599" s="108">
        <f>SUM(I592:I598)</f>
        <v>567544.66120000009</v>
      </c>
      <c r="J599" s="108">
        <f>SUM(J592:J598)</f>
        <v>745363.71240000019</v>
      </c>
      <c r="K599" s="108">
        <f>SUM(K592:K598)</f>
        <v>1824522.9400000002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93693.579599999997</v>
      </c>
      <c r="I605" s="18">
        <v>122612.03679999999</v>
      </c>
      <c r="J605" s="18">
        <v>287094.21360000002</v>
      </c>
      <c r="K605" s="104">
        <f>SUM(H605:J605)</f>
        <v>503399.83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93693.579599999997</v>
      </c>
      <c r="I606" s="108">
        <f>SUM(I603:I605)</f>
        <v>122612.03679999999</v>
      </c>
      <c r="J606" s="108">
        <f>SUM(J603:J605)</f>
        <v>287094.21360000002</v>
      </c>
      <c r="K606" s="108">
        <f>SUM(K603:K605)</f>
        <v>503399.83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5859553.9800000004</v>
      </c>
      <c r="H618" s="109">
        <f>SUM(F52)</f>
        <v>5859553.9800000004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517542.92000000004</v>
      </c>
      <c r="H619" s="109">
        <f>SUM(G52)</f>
        <v>517542.92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783221.84</v>
      </c>
      <c r="H620" s="109">
        <f>SUM(H52)</f>
        <v>783221.84000000008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324242.19</v>
      </c>
      <c r="H622" s="109">
        <f>SUM(J52)</f>
        <v>324242.19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4330455.58</v>
      </c>
      <c r="H623" s="109">
        <f>F477</f>
        <v>4330455.5799999982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449637.82</v>
      </c>
      <c r="H624" s="109">
        <f>G477</f>
        <v>449637.81999999983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-609</v>
      </c>
      <c r="H626" s="109">
        <f>I477</f>
        <v>-609</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324242.19</v>
      </c>
      <c r="H627" s="109">
        <f>J477</f>
        <v>324242.19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43315387.109999999</v>
      </c>
      <c r="H628" s="104">
        <f>SUM(F469)</f>
        <v>43315387.109999999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1597895.6000000003</v>
      </c>
      <c r="H629" s="104">
        <f>SUM(G469)</f>
        <v>1597895.5999999999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2069607.5000000002</v>
      </c>
      <c r="H630" s="104">
        <f>SUM(H469)</f>
        <v>2069607.4999999998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162025</v>
      </c>
      <c r="H631" s="104">
        <f>SUM(I469)</f>
        <v>162025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201621.91</v>
      </c>
      <c r="H632" s="104">
        <f>SUM(J469)</f>
        <v>201621.91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43605599.289999999</v>
      </c>
      <c r="H633" s="104">
        <f>SUM(F473)</f>
        <v>43605599.289999999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2069607.5</v>
      </c>
      <c r="H634" s="104">
        <f>SUM(H473)</f>
        <v>2069607.4999999998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656000.11999999988</v>
      </c>
      <c r="H635" s="104">
        <f>I370</f>
        <v>656000.12000000011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1283583.04</v>
      </c>
      <c r="H636" s="104">
        <f>SUM(G473)</f>
        <v>1283583.04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162634</v>
      </c>
      <c r="H637" s="104">
        <f>SUM(I473)</f>
        <v>162634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201621.90999999997</v>
      </c>
      <c r="H638" s="164">
        <f>SUM(J469)</f>
        <v>201621.91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168110.93</v>
      </c>
      <c r="H639" s="164">
        <f>SUM(J473)</f>
        <v>168110.93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284035.44</v>
      </c>
      <c r="H640" s="104">
        <f>SUM(F462)</f>
        <v>284035.44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40206.75</v>
      </c>
      <c r="H642" s="104">
        <f>SUM(H462)</f>
        <v>40206.75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324242.19</v>
      </c>
      <c r="H643" s="104">
        <f>SUM(I462)</f>
        <v>324242.19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1621.91</v>
      </c>
      <c r="H645" s="104">
        <f>H409</f>
        <v>1621.91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201621.91</v>
      </c>
      <c r="H647" s="104">
        <f>L409</f>
        <v>201621.90999999997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1824522.9400000002</v>
      </c>
      <c r="H648" s="104">
        <f>L209+L227+L245</f>
        <v>1824522.94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503399.83</v>
      </c>
      <c r="H649" s="104">
        <f>(J258+J339)-(J256+J337)</f>
        <v>503399.83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511614.56640000001</v>
      </c>
      <c r="H650" s="104">
        <f>H599</f>
        <v>511614.56640000001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567544.66119999997</v>
      </c>
      <c r="H651" s="104">
        <f>I599</f>
        <v>567544.66120000009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745363.71240000019</v>
      </c>
      <c r="H652" s="104">
        <f>J599</f>
        <v>745363.71240000019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64.599999999999994</v>
      </c>
      <c r="H653" s="104">
        <f>K264+K346</f>
        <v>64.599999999999994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13923970.364000002</v>
      </c>
      <c r="G661" s="19">
        <f>(L230+L310+L360)</f>
        <v>13816654.42</v>
      </c>
      <c r="H661" s="19">
        <f>(L248+L329+L361)</f>
        <v>17950876.905999996</v>
      </c>
      <c r="I661" s="19">
        <f>SUM(F661:H661)</f>
        <v>45691501.689999998</v>
      </c>
      <c r="J661" s="13"/>
      <c r="K661" s="13"/>
      <c r="L661" s="13"/>
      <c r="M661" s="9"/>
    </row>
    <row r="662" spans="1:13" s="3" customFormat="1" ht="12.2" customHeight="1" x14ac:dyDescent="0.2">
      <c r="A662" s="1" t="s">
        <v>127</v>
      </c>
      <c r="F662" s="19">
        <f>(L359/IF(SUM(L359:L361)=0,1,SUM(L359:L361))*(SUM(G97:G110)))</f>
        <v>31551.000799984471</v>
      </c>
      <c r="G662" s="19">
        <f>(L360/IF(SUM(L359:L361)=0,1,SUM(L359:L361))*(SUM(G97:G110)))</f>
        <v>37612.056301239696</v>
      </c>
      <c r="H662" s="19">
        <f>(L361/IF(SUM(L359:L361)=0,1,SUM(L359:L361))*(SUM(G97:G110)))</f>
        <v>47589.332898775829</v>
      </c>
      <c r="I662" s="19">
        <f>SUM(F662:H662)</f>
        <v>116752.39</v>
      </c>
      <c r="J662"/>
      <c r="K662" s="13"/>
      <c r="L662" s="13"/>
      <c r="M662" s="8"/>
    </row>
    <row r="663" spans="1:13" s="3" customFormat="1" ht="12.2" customHeight="1" x14ac:dyDescent="0.2">
      <c r="A663" s="1" t="s">
        <v>128</v>
      </c>
      <c r="F663" s="19">
        <f>(L209+L288)-(J209+J288)</f>
        <v>513811.52640000003</v>
      </c>
      <c r="G663" s="19">
        <f>(L227+L307)-(J227+J307)</f>
        <v>567544.66119999997</v>
      </c>
      <c r="H663" s="19">
        <f>(L245+L326)-(J245+J326)</f>
        <v>745363.71240000019</v>
      </c>
      <c r="I663" s="19">
        <f>SUM(F663:H663)</f>
        <v>1826719.9000000004</v>
      </c>
      <c r="J663"/>
      <c r="K663" s="13"/>
      <c r="L663" s="13"/>
      <c r="M663" s="9"/>
    </row>
    <row r="664" spans="1:13" s="3" customFormat="1" ht="12.2" customHeight="1" x14ac:dyDescent="0.15">
      <c r="A664" s="197" t="s">
        <v>129</v>
      </c>
      <c r="B664" s="169"/>
      <c r="C664" s="169"/>
      <c r="D664" s="169"/>
      <c r="E664" s="169"/>
      <c r="F664" s="198">
        <f>SUM(F576:F588)+SUM(H603:H605)+SUM(L612)</f>
        <v>403754.82259999996</v>
      </c>
      <c r="G664" s="198">
        <f>SUM(G576:G588)+SUM(I603:I605)+L613</f>
        <v>464748.58080000005</v>
      </c>
      <c r="H664" s="198">
        <f>SUM(H576:H588)+SUM(J603:J605)+L614</f>
        <v>835735.05660000001</v>
      </c>
      <c r="I664" s="19">
        <f>SUM(F664:H664)</f>
        <v>1704238.46</v>
      </c>
      <c r="J664" s="13"/>
      <c r="K664" s="13"/>
      <c r="L664" s="13"/>
      <c r="M664" s="9"/>
    </row>
    <row r="665" spans="1:13" s="3" customFormat="1" ht="12.2" customHeight="1" x14ac:dyDescent="0.15">
      <c r="A665" s="1" t="s">
        <v>130</v>
      </c>
      <c r="F665" s="19">
        <f>F661-SUM(F662:F664)</f>
        <v>12974853.014200017</v>
      </c>
      <c r="G665" s="19">
        <f>G661-SUM(G662:G664)</f>
        <v>12746749.121698759</v>
      </c>
      <c r="H665" s="19">
        <f>H661-SUM(H662:H664)</f>
        <v>16322188.804101219</v>
      </c>
      <c r="I665" s="19">
        <f>I661-SUM(I662:I664)</f>
        <v>42043790.939999998</v>
      </c>
      <c r="J665" s="13"/>
      <c r="K665" s="13"/>
      <c r="L665" s="13"/>
      <c r="M665" s="8"/>
    </row>
    <row r="666" spans="1:13" s="3" customFormat="1" ht="12.2" customHeight="1" x14ac:dyDescent="0.2">
      <c r="A666" s="1" t="s">
        <v>131</v>
      </c>
      <c r="F666" s="245">
        <v>787.44</v>
      </c>
      <c r="G666" s="246">
        <v>862.01</v>
      </c>
      <c r="H666" s="246">
        <v>999.85</v>
      </c>
      <c r="I666" s="19">
        <f>SUM(F666:H666)</f>
        <v>2649.3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16477.259999999998</v>
      </c>
      <c r="G668" s="19">
        <f>ROUND(G665/G666,2)</f>
        <v>14787.24</v>
      </c>
      <c r="H668" s="19">
        <f>ROUND(H665/H666,2)</f>
        <v>16324.64</v>
      </c>
      <c r="I668" s="19">
        <f>ROUND(I665/I666,2)</f>
        <v>15869.77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-26.28</v>
      </c>
      <c r="I671" s="19">
        <f>SUM(F671:H671)</f>
        <v>-26.28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16477.259999999998</v>
      </c>
      <c r="G673" s="19">
        <f>ROUND((G665+G670)/(G666+G671),2)</f>
        <v>14787.24</v>
      </c>
      <c r="H673" s="19">
        <f>ROUND((H665+H670)/(H666+H671),2)</f>
        <v>16765.3</v>
      </c>
      <c r="I673" s="19">
        <f>ROUND((I665+I670)/(I666+I671),2)</f>
        <v>16028.77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8" sqref="E8:E1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149655.60999999996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99176.8</v>
      </c>
      <c r="F9" s="349" t="s">
        <v>1644</v>
      </c>
    </row>
    <row r="10" spans="2:8" x14ac:dyDescent="0.25">
      <c r="B10" s="348"/>
      <c r="C10" s="348"/>
      <c r="D10" s="348"/>
      <c r="E10" s="348"/>
      <c r="F10" s="348"/>
    </row>
    <row r="11" spans="2:8" x14ac:dyDescent="0.25">
      <c r="B11" s="348"/>
      <c r="C11" s="352" t="s">
        <v>1648</v>
      </c>
      <c r="D11" s="349" t="s">
        <v>1651</v>
      </c>
      <c r="E11" s="336">
        <v>13071.57</v>
      </c>
      <c r="F11" s="349" t="s">
        <v>1645</v>
      </c>
    </row>
    <row r="12" spans="2:8" x14ac:dyDescent="0.25">
      <c r="B12" s="348"/>
      <c r="C12" s="348"/>
      <c r="D12" s="349"/>
      <c r="E12" s="348"/>
      <c r="F12" s="348"/>
    </row>
    <row r="13" spans="2:8" x14ac:dyDescent="0.25">
      <c r="B13" s="348"/>
      <c r="C13" s="349" t="s">
        <v>1638</v>
      </c>
      <c r="D13" s="349" t="s">
        <v>1652</v>
      </c>
      <c r="E13" s="336">
        <v>20382.2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17025.04</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Goffstown</v>
      </c>
      <c r="C5" s="376"/>
      <c r="D5" s="376"/>
      <c r="E5" s="376"/>
      <c r="F5" s="376"/>
    </row>
    <row r="8" spans="1:9" ht="18" x14ac:dyDescent="0.25">
      <c r="A8" s="312" t="s">
        <v>1568</v>
      </c>
      <c r="F8" s="319" t="s">
        <v>1586</v>
      </c>
    </row>
    <row r="9" spans="1:9" ht="15" x14ac:dyDescent="0.2">
      <c r="A9" s="310" t="s">
        <v>1569</v>
      </c>
      <c r="B9" s="313">
        <f>'DOE25'!G97</f>
        <v>116752.39</v>
      </c>
      <c r="F9" s="310" t="s">
        <v>1582</v>
      </c>
    </row>
    <row r="10" spans="1:9" ht="15" x14ac:dyDescent="0.2">
      <c r="A10" s="310" t="s">
        <v>1570</v>
      </c>
      <c r="B10" s="313">
        <f>'DOE25'!G112-'DOE25'!G97</f>
        <v>0</v>
      </c>
      <c r="F10" s="310" t="s">
        <v>1583</v>
      </c>
    </row>
    <row r="11" spans="1:9" ht="15" x14ac:dyDescent="0.2">
      <c r="A11" s="310" t="s">
        <v>1571</v>
      </c>
      <c r="B11" s="313">
        <f>'DOE25'!G140</f>
        <v>12374.61</v>
      </c>
      <c r="F11" s="310" t="s">
        <v>1584</v>
      </c>
    </row>
    <row r="12" spans="1:9" ht="15" x14ac:dyDescent="0.2">
      <c r="A12" s="310" t="s">
        <v>1572</v>
      </c>
      <c r="B12" s="313">
        <f>'DOE25'!G170</f>
        <v>1468704.0000000002</v>
      </c>
      <c r="F12" s="310" t="s">
        <v>1585</v>
      </c>
    </row>
    <row r="13" spans="1:9" ht="15" x14ac:dyDescent="0.2">
      <c r="A13" s="310" t="s">
        <v>1573</v>
      </c>
      <c r="B13" s="313">
        <f>'DOE25'!G193-'DOE25'!G180</f>
        <v>0</v>
      </c>
      <c r="F13" s="310" t="s">
        <v>1595</v>
      </c>
    </row>
    <row r="14" spans="1:9" ht="18" x14ac:dyDescent="0.25">
      <c r="A14" s="312" t="s">
        <v>732</v>
      </c>
      <c r="B14" s="314">
        <f>SUM(B9:B13)</f>
        <v>1597831.0000000002</v>
      </c>
    </row>
    <row r="16" spans="1:9" ht="18" x14ac:dyDescent="0.25">
      <c r="A16" s="312" t="s">
        <v>786</v>
      </c>
      <c r="F16" s="319" t="s">
        <v>1587</v>
      </c>
    </row>
    <row r="17" spans="1:6" ht="15" x14ac:dyDescent="0.2">
      <c r="A17" s="310" t="s">
        <v>1574</v>
      </c>
      <c r="B17" s="313">
        <f>'DOE25'!L363-'DOE25'!L362</f>
        <v>1283583.04</v>
      </c>
      <c r="F17" s="310" t="s">
        <v>1588</v>
      </c>
    </row>
    <row r="18" spans="1:6" ht="15" x14ac:dyDescent="0.2">
      <c r="A18" s="310" t="s">
        <v>1575</v>
      </c>
      <c r="B18" s="323"/>
      <c r="F18" s="319" t="s">
        <v>1612</v>
      </c>
    </row>
    <row r="19" spans="1:6" ht="18" x14ac:dyDescent="0.25">
      <c r="A19" s="312" t="s">
        <v>725</v>
      </c>
      <c r="B19" s="314">
        <f>SUM(B17:B18)</f>
        <v>1283583.04</v>
      </c>
    </row>
    <row r="21" spans="1:6" ht="18.75" thickBot="1" x14ac:dyDescent="0.3">
      <c r="A21" s="312" t="s">
        <v>1576</v>
      </c>
    </row>
    <row r="22" spans="1:6" ht="18.75" thickTop="1" x14ac:dyDescent="0.25">
      <c r="A22" s="312" t="s">
        <v>1577</v>
      </c>
      <c r="B22" s="318">
        <f>B14-B19</f>
        <v>314247.9600000002</v>
      </c>
      <c r="F22" s="310" t="s">
        <v>1589</v>
      </c>
    </row>
    <row r="26" spans="1:6" ht="18" x14ac:dyDescent="0.25">
      <c r="A26" s="312" t="s">
        <v>186</v>
      </c>
    </row>
    <row r="27" spans="1:6" ht="15" x14ac:dyDescent="0.2">
      <c r="A27" s="310" t="s">
        <v>1578</v>
      </c>
      <c r="B27" s="313">
        <f>'DOE25'!G180</f>
        <v>64.599999999999994</v>
      </c>
      <c r="F27" s="310" t="s">
        <v>1590</v>
      </c>
    </row>
    <row r="28" spans="1:6" ht="15" x14ac:dyDescent="0.2">
      <c r="A28" s="310" t="s">
        <v>1580</v>
      </c>
      <c r="B28" s="313">
        <f>'DOE25'!L362</f>
        <v>0</v>
      </c>
      <c r="F28" s="310" t="s">
        <v>1591</v>
      </c>
    </row>
    <row r="31" spans="1:6" ht="15" x14ac:dyDescent="0.2">
      <c r="A31" s="310" t="s">
        <v>1634</v>
      </c>
      <c r="B31" s="313">
        <f>'DOE25'!G466</f>
        <v>135325.26</v>
      </c>
      <c r="F31" s="310" t="s">
        <v>1592</v>
      </c>
    </row>
    <row r="33" spans="1:6" ht="15" x14ac:dyDescent="0.2">
      <c r="A33" s="310" t="s">
        <v>1635</v>
      </c>
      <c r="B33" s="313">
        <f>'DOE25'!G477</f>
        <v>449637.81999999983</v>
      </c>
      <c r="F33" s="310" t="s">
        <v>1593</v>
      </c>
    </row>
    <row r="36" spans="1:6" ht="15" x14ac:dyDescent="0.2">
      <c r="A36" s="310" t="s">
        <v>1579</v>
      </c>
      <c r="B36" s="324">
        <v>82778.490000000005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17" sqref="H1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Goffstown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12173123.27</v>
      </c>
      <c r="C9" s="228">
        <f>'DOE25'!G198+'DOE25'!G216+'DOE25'!G234+'DOE25'!G277+'DOE25'!G296+'DOE25'!G315</f>
        <v>5820942.419999999</v>
      </c>
    </row>
    <row r="10" spans="1:3" x14ac:dyDescent="0.2">
      <c r="A10" t="s">
        <v>775</v>
      </c>
      <c r="B10" s="239">
        <v>11292967.920000002</v>
      </c>
      <c r="C10" s="239">
        <v>5400069.8551397454</v>
      </c>
    </row>
    <row r="11" spans="1:3" x14ac:dyDescent="0.2">
      <c r="A11" t="s">
        <v>776</v>
      </c>
      <c r="B11" s="239"/>
      <c r="C11" s="239">
        <v>0</v>
      </c>
    </row>
    <row r="12" spans="1:3" x14ac:dyDescent="0.2">
      <c r="A12" t="s">
        <v>777</v>
      </c>
      <c r="B12" s="239">
        <v>880155.35</v>
      </c>
      <c r="C12" s="239">
        <v>420872.56486025435</v>
      </c>
    </row>
    <row r="13" spans="1:3" x14ac:dyDescent="0.2">
      <c r="A13" t="str">
        <f>IF(B9=B13,IF(C9=C13,"Check Total OK","Check Total Error"),"Check Total Error")</f>
        <v>Check Total OK</v>
      </c>
      <c r="B13" s="230">
        <f>SUM(B10:B12)</f>
        <v>12173123.270000001</v>
      </c>
      <c r="C13" s="230">
        <f>SUM(C10:C12)</f>
        <v>5820942.4199999999</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5570614.8999999994</v>
      </c>
      <c r="C18" s="228">
        <f>'DOE25'!G199+'DOE25'!G217+'DOE25'!G235+'DOE25'!G278+'DOE25'!G297+'DOE25'!G316</f>
        <v>2757644.0699999994</v>
      </c>
    </row>
    <row r="19" spans="1:3" x14ac:dyDescent="0.2">
      <c r="A19" t="s">
        <v>775</v>
      </c>
      <c r="B19" s="239">
        <v>3188559.0799999996</v>
      </c>
      <c r="C19" s="239">
        <v>1578445.3236583727</v>
      </c>
    </row>
    <row r="20" spans="1:3" x14ac:dyDescent="0.2">
      <c r="A20" t="s">
        <v>776</v>
      </c>
      <c r="B20" s="239">
        <v>2021844.5</v>
      </c>
      <c r="C20" s="239">
        <v>1000881.876772188</v>
      </c>
    </row>
    <row r="21" spans="1:3" x14ac:dyDescent="0.2">
      <c r="A21" t="s">
        <v>777</v>
      </c>
      <c r="B21" s="239">
        <v>360211.32</v>
      </c>
      <c r="C21" s="239">
        <v>178316.86956943877</v>
      </c>
    </row>
    <row r="22" spans="1:3" x14ac:dyDescent="0.2">
      <c r="A22" t="str">
        <f>IF(B18=B22,IF(C18=C22,"Check Total OK","Check Total Error"),"Check Total Error")</f>
        <v>Check Total OK</v>
      </c>
      <c r="B22" s="230">
        <f>SUM(B19:B21)</f>
        <v>5570614.9000000004</v>
      </c>
      <c r="C22" s="230">
        <f>SUM(C19:C21)</f>
        <v>2757644.07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429794.34</v>
      </c>
      <c r="C36" s="234">
        <f>'DOE25'!G201+'DOE25'!G219+'DOE25'!G237+'DOE25'!G280+'DOE25'!G299+'DOE25'!G318</f>
        <v>132975.26999999999</v>
      </c>
    </row>
    <row r="37" spans="1:3" x14ac:dyDescent="0.2">
      <c r="A37" t="s">
        <v>775</v>
      </c>
      <c r="B37" s="239"/>
      <c r="C37" s="239"/>
    </row>
    <row r="38" spans="1:3" x14ac:dyDescent="0.2">
      <c r="A38" t="s">
        <v>776</v>
      </c>
      <c r="B38" s="239"/>
      <c r="C38" s="239"/>
    </row>
    <row r="39" spans="1:3" x14ac:dyDescent="0.2">
      <c r="A39" t="s">
        <v>777</v>
      </c>
      <c r="B39" s="239">
        <v>429794.34</v>
      </c>
      <c r="C39" s="239">
        <v>132975.26999999999</v>
      </c>
    </row>
    <row r="40" spans="1:3" x14ac:dyDescent="0.2">
      <c r="A40" t="str">
        <f>IF(B36=B40,IF(C36=C40,"Check Total OK","Check Total Error"),"Check Total Error")</f>
        <v>Check Total OK</v>
      </c>
      <c r="B40" s="230">
        <f>SUM(B37:B39)</f>
        <v>429794.34</v>
      </c>
      <c r="C40" s="230">
        <f>SUM(C37:C39)</f>
        <v>132975.26999999999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Goffstown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28909642.100000001</v>
      </c>
      <c r="D5" s="20">
        <f>SUM('DOE25'!L198:L201)+SUM('DOE25'!L216:L219)+SUM('DOE25'!L234:L237)-F5-G5-H5</f>
        <v>28608422.010000002</v>
      </c>
      <c r="E5" s="242"/>
      <c r="F5" s="243"/>
      <c r="G5" s="53">
        <f>SUM('DOE25'!J198:J201)+SUM('DOE25'!J216:J219)+SUM('DOE25'!J234:J237)</f>
        <v>276577.84000000003</v>
      </c>
      <c r="H5" s="53">
        <f>SUM('DOE25'!K198:K201)+SUM('DOE25'!K216:K219)+SUM('DOE25'!K234:K237)</f>
        <v>24642.25</v>
      </c>
      <c r="I5" s="255"/>
    </row>
    <row r="6" spans="1:9" x14ac:dyDescent="0.2">
      <c r="A6" s="32">
        <v>2100</v>
      </c>
      <c r="B6" t="s">
        <v>796</v>
      </c>
      <c r="C6" s="274">
        <f t="shared" si="0"/>
        <v>2866594.22</v>
      </c>
      <c r="D6" s="20">
        <f>'DOE25'!L203+'DOE25'!L221+'DOE25'!L239-F6-G6-H6</f>
        <v>2577882.19</v>
      </c>
      <c r="E6" s="242"/>
      <c r="F6" s="243">
        <v>285947.28999999998</v>
      </c>
      <c r="G6" s="53">
        <f>'DOE25'!J203+'DOE25'!J221+'DOE25'!J239</f>
        <v>1306.8900000000001</v>
      </c>
      <c r="H6" s="53">
        <f>'DOE25'!K203+'DOE25'!K221+'DOE25'!K239</f>
        <v>1457.85</v>
      </c>
      <c r="I6" s="255"/>
    </row>
    <row r="7" spans="1:9" x14ac:dyDescent="0.2">
      <c r="A7" s="32">
        <v>2200</v>
      </c>
      <c r="B7" t="s">
        <v>821</v>
      </c>
      <c r="C7" s="274">
        <f t="shared" si="0"/>
        <v>795095.31</v>
      </c>
      <c r="D7" s="20">
        <f>'DOE25'!L204+'DOE25'!L222+'DOE25'!L240-F7-G7-H7</f>
        <v>793795</v>
      </c>
      <c r="E7" s="242"/>
      <c r="F7" s="243"/>
      <c r="G7" s="53">
        <f>'DOE25'!J204+'DOE25'!J222+'DOE25'!J240</f>
        <v>1300.31</v>
      </c>
      <c r="H7" s="53">
        <f>'DOE25'!K204+'DOE25'!K222+'DOE25'!K240</f>
        <v>0</v>
      </c>
      <c r="I7" s="255"/>
    </row>
    <row r="8" spans="1:9" x14ac:dyDescent="0.2">
      <c r="A8" s="32">
        <v>2300</v>
      </c>
      <c r="B8" t="s">
        <v>797</v>
      </c>
      <c r="C8" s="274">
        <f t="shared" si="0"/>
        <v>1435246.393616</v>
      </c>
      <c r="D8" s="242"/>
      <c r="E8" s="20">
        <f>'DOE25'!L205+'DOE25'!L223+'DOE25'!L241-F8-G8-H8-D9-D11</f>
        <v>1426755.723616</v>
      </c>
      <c r="F8" s="243"/>
      <c r="G8" s="53">
        <f>'DOE25'!J205+'DOE25'!J223+'DOE25'!J241</f>
        <v>0</v>
      </c>
      <c r="H8" s="53">
        <f>'DOE25'!K205+'DOE25'!K223+'DOE25'!K241</f>
        <v>8490.67</v>
      </c>
      <c r="I8" s="255"/>
    </row>
    <row r="9" spans="1:9" ht="14.25" x14ac:dyDescent="0.2">
      <c r="A9" s="32">
        <v>2310</v>
      </c>
      <c r="B9" s="184" t="s">
        <v>888</v>
      </c>
      <c r="C9" s="274">
        <f t="shared" si="0"/>
        <v>38887.54</v>
      </c>
      <c r="D9" s="243">
        <v>38887.54</v>
      </c>
      <c r="E9" s="242"/>
      <c r="F9" s="252"/>
      <c r="G9" s="252"/>
      <c r="H9" s="252"/>
      <c r="I9" s="255"/>
    </row>
    <row r="10" spans="1:9" ht="14.25" x14ac:dyDescent="0.2">
      <c r="A10" s="32">
        <v>2317</v>
      </c>
      <c r="B10" s="184" t="s">
        <v>889</v>
      </c>
      <c r="C10" s="274">
        <f t="shared" si="0"/>
        <v>16120</v>
      </c>
      <c r="D10" s="242"/>
      <c r="E10" s="243">
        <v>16120</v>
      </c>
      <c r="F10" s="252"/>
      <c r="G10" s="252"/>
      <c r="H10" s="252"/>
      <c r="I10" s="255"/>
    </row>
    <row r="11" spans="1:9" ht="14.25" x14ac:dyDescent="0.2">
      <c r="A11" s="32">
        <v>2321</v>
      </c>
      <c r="B11" s="184" t="s">
        <v>890</v>
      </c>
      <c r="C11" s="274">
        <f t="shared" si="0"/>
        <v>411210.69638399995</v>
      </c>
      <c r="D11" s="243">
        <v>411210.69638399995</v>
      </c>
      <c r="E11" s="242"/>
      <c r="F11" s="252"/>
      <c r="G11" s="252"/>
      <c r="H11" s="252"/>
      <c r="I11" s="255"/>
    </row>
    <row r="12" spans="1:9" x14ac:dyDescent="0.2">
      <c r="A12" s="32">
        <v>2400</v>
      </c>
      <c r="B12" t="s">
        <v>711</v>
      </c>
      <c r="C12" s="274">
        <f t="shared" si="0"/>
        <v>2821042.74</v>
      </c>
      <c r="D12" s="20">
        <f>'DOE25'!L206+'DOE25'!L224+'DOE25'!L242-F12-G12-H12</f>
        <v>2777238.4200000004</v>
      </c>
      <c r="E12" s="242"/>
      <c r="F12" s="243"/>
      <c r="G12" s="53">
        <f>'DOE25'!J206+'DOE25'!J224+'DOE25'!J242</f>
        <v>0</v>
      </c>
      <c r="H12" s="53">
        <f>'DOE25'!K206+'DOE25'!K224+'DOE25'!K242</f>
        <v>43804.32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3660017.93</v>
      </c>
      <c r="D14" s="20">
        <f>'DOE25'!L208+'DOE25'!L226+'DOE25'!L244-F14-G14-H14</f>
        <v>3463815.0700000003</v>
      </c>
      <c r="E14" s="242"/>
      <c r="F14" s="243"/>
      <c r="G14" s="53">
        <f>'DOE25'!J208+'DOE25'!J226+'DOE25'!J244</f>
        <v>196202.86000000002</v>
      </c>
      <c r="H14" s="53">
        <f>'DOE25'!K208+'DOE25'!K226+'DOE25'!K244</f>
        <v>0</v>
      </c>
      <c r="I14" s="255"/>
    </row>
    <row r="15" spans="1:9" x14ac:dyDescent="0.2">
      <c r="A15" s="32">
        <v>2700</v>
      </c>
      <c r="B15" t="s">
        <v>799</v>
      </c>
      <c r="C15" s="274">
        <f t="shared" si="0"/>
        <v>1824522.94</v>
      </c>
      <c r="D15" s="20">
        <f>'DOE25'!L209+'DOE25'!L227+'DOE25'!L245-F15-G15-H15</f>
        <v>75000</v>
      </c>
      <c r="E15" s="242"/>
      <c r="F15" s="243">
        <v>1749522.94</v>
      </c>
      <c r="G15" s="53">
        <f>'DOE25'!J209+'DOE25'!J227+'DOE25'!J245</f>
        <v>0</v>
      </c>
      <c r="H15" s="53">
        <f>'DOE25'!K209+'DOE25'!K227+'DOE25'!K245</f>
        <v>0</v>
      </c>
      <c r="I15" s="255"/>
    </row>
    <row r="16" spans="1:9" x14ac:dyDescent="0.2">
      <c r="A16" s="32">
        <v>2800</v>
      </c>
      <c r="B16" t="s">
        <v>800</v>
      </c>
      <c r="C16" s="274">
        <f t="shared" si="0"/>
        <v>4774</v>
      </c>
      <c r="D16" s="242"/>
      <c r="E16" s="20">
        <f>'DOE25'!L210+'DOE25'!L228+'DOE25'!L246-F16-G16-H16</f>
        <v>4774</v>
      </c>
      <c r="F16" s="243"/>
      <c r="G16" s="53">
        <f>'DOE25'!J210+'DOE25'!J228+'DOE25'!J246</f>
        <v>0</v>
      </c>
      <c r="H16" s="53">
        <f>'DOE25'!K210+'DOE25'!K228+'DOE25'!K246</f>
        <v>0</v>
      </c>
      <c r="I16" s="255"/>
    </row>
    <row r="17" spans="1:9" x14ac:dyDescent="0.2">
      <c r="A17" s="32">
        <v>1600</v>
      </c>
      <c r="B17" t="s">
        <v>801</v>
      </c>
      <c r="C17" s="274">
        <f t="shared" si="0"/>
        <v>65852.319999999992</v>
      </c>
      <c r="D17" s="20">
        <f>'DOE25'!L252-F17-G17-H17</f>
        <v>63907.329999999994</v>
      </c>
      <c r="E17" s="242"/>
      <c r="F17" s="243"/>
      <c r="G17" s="53">
        <f>'DOE25'!J252</f>
        <v>444.99</v>
      </c>
      <c r="H17" s="53">
        <f>'DOE25'!K252</f>
        <v>1500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5000</v>
      </c>
      <c r="D19" s="20">
        <f>'DOE25'!L254-F19-G19-H19</f>
        <v>5000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363970.2</v>
      </c>
      <c r="D22" s="242"/>
      <c r="E22" s="242"/>
      <c r="F22" s="242"/>
      <c r="G22" s="53">
        <f>'DOE25'!L256+'DOE25'!L337</f>
        <v>363970.2</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569105.49</v>
      </c>
      <c r="D25" s="242"/>
      <c r="E25" s="242"/>
      <c r="F25" s="254"/>
      <c r="G25" s="252"/>
      <c r="H25" s="252"/>
      <c r="I25" s="253">
        <f>'DOE25'!L261+'DOE25'!L262+'DOE25'!L342+'DOE25'!L343</f>
        <v>569105.49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694141.45</v>
      </c>
      <c r="D29" s="282">
        <f>'DOE25'!L359+'DOE25'!L360+'DOE25'!L361-'DOE25'!I368-F29-G29-H29</f>
        <v>685593.12</v>
      </c>
      <c r="E29" s="242"/>
      <c r="F29" s="243"/>
      <c r="G29" s="53">
        <f>'DOE25'!J359+'DOE25'!J360+'DOE25'!J361</f>
        <v>0</v>
      </c>
      <c r="H29" s="53">
        <f>'DOE25'!K359+'DOE25'!K360+'DOE25'!K361</f>
        <v>8548.3300000000017</v>
      </c>
      <c r="I29" s="255"/>
    </row>
    <row r="30" spans="1:9" x14ac:dyDescent="0.2">
      <c r="A30" s="32"/>
      <c r="C30" s="275"/>
      <c r="D30" s="20"/>
      <c r="E30" s="279"/>
      <c r="F30" s="269"/>
      <c r="G30" s="53"/>
      <c r="H30" s="53"/>
      <c r="I30" s="255"/>
    </row>
    <row r="31" spans="1:9" x14ac:dyDescent="0.2">
      <c r="A31" s="32" t="s">
        <v>818</v>
      </c>
      <c r="B31" t="s">
        <v>817</v>
      </c>
      <c r="C31" s="274">
        <f>SUM(D31:I31)</f>
        <v>1704180.31</v>
      </c>
      <c r="D31" s="20">
        <f>'DOE25'!L291+'DOE25'!L310+'DOE25'!L329+'DOE25'!L334+'DOE25'!L335+'DOE25'!L336-F31-G31-H31</f>
        <v>1675122.6800000002</v>
      </c>
      <c r="E31" s="242"/>
      <c r="F31" s="243"/>
      <c r="G31" s="53">
        <f>'DOE25'!J291+'DOE25'!J310+'DOE25'!J329+'DOE25'!J334+'DOE25'!J335+'DOE25'!J336</f>
        <v>27566.94</v>
      </c>
      <c r="H31" s="53">
        <f>'DOE25'!K291+'DOE25'!K310+'DOE25'!K329+'DOE25'!K334+'DOE25'!K335+'DOE25'!K336</f>
        <v>1490.6899999999998</v>
      </c>
      <c r="I31" s="255"/>
    </row>
    <row r="32" spans="1:9" ht="12" thickBot="1" x14ac:dyDescent="0.25">
      <c r="C32" s="275"/>
      <c r="G32" s="250"/>
      <c r="H32" s="250"/>
      <c r="I32" s="257"/>
    </row>
    <row r="33" spans="1:9" ht="12" thickTop="1" x14ac:dyDescent="0.2">
      <c r="B33" t="s">
        <v>809</v>
      </c>
      <c r="D33" s="244">
        <f t="shared" ref="D33:I33" si="1">SUM(D5:D31)</f>
        <v>41175874.056383997</v>
      </c>
      <c r="E33" s="244">
        <f t="shared" si="1"/>
        <v>1447649.723616</v>
      </c>
      <c r="F33" s="244">
        <f t="shared" si="1"/>
        <v>2035470.23</v>
      </c>
      <c r="G33" s="244">
        <f t="shared" si="1"/>
        <v>867370.03</v>
      </c>
      <c r="H33" s="244">
        <f t="shared" si="1"/>
        <v>89934.11</v>
      </c>
      <c r="I33" s="244">
        <f t="shared" si="1"/>
        <v>569105.49</v>
      </c>
    </row>
    <row r="35" spans="1:9" ht="12" thickBot="1" x14ac:dyDescent="0.25">
      <c r="B35" s="250" t="s">
        <v>831</v>
      </c>
      <c r="D35" s="251">
        <f>E33</f>
        <v>1447649.723616</v>
      </c>
      <c r="E35" s="247"/>
      <c r="F35" s="328" t="s">
        <v>1617</v>
      </c>
      <c r="G35" s="329"/>
      <c r="H35" s="329"/>
      <c r="I35" s="329"/>
    </row>
    <row r="36" spans="1:9" ht="12" thickTop="1" x14ac:dyDescent="0.2">
      <c r="B36" t="s">
        <v>810</v>
      </c>
      <c r="D36" s="20">
        <f>D33</f>
        <v>41175874.056383997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M22" sqref="M2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Goffstown</v>
      </c>
      <c r="B2" s="126">
        <f>'DOE25'!B2</f>
        <v>199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13577096.698099999</v>
      </c>
      <c r="G4" s="299">
        <f>'DOE25'!L212+'DOE25'!L291</f>
        <v>13577096.698100002</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2393776.8380999998</v>
      </c>
      <c r="E5" s="290">
        <v>192290.72999999998</v>
      </c>
      <c r="F5" s="303">
        <f>D5+E5</f>
        <v>2586067.5680999998</v>
      </c>
      <c r="G5" s="293"/>
      <c r="H5" s="293"/>
      <c r="I5" s="385"/>
      <c r="N5"/>
    </row>
    <row r="6" spans="1:18" x14ac:dyDescent="0.2">
      <c r="A6" s="126" t="str" cm="1">
        <f t="array" ref="A6">IFERROR(INDEX('School Tables'!$A$4:$G$325,'School Tables'!$J4,3),"")</f>
        <v>Bartlett Elementary School</v>
      </c>
      <c r="B6" s="300">
        <f>IFERROR(VLOOKUP(A6,'School Tables'!$C$3:$D$365,2,FALSE),"")</f>
        <v>20695</v>
      </c>
      <c r="C6" s="293" t="str">
        <f>IFERROR(INDEX('School Tables'!$B$3:$B$365,MATCH('School Level Expenditures'!B6,'School Tables'!$D$3:$D$365,0)),"")</f>
        <v>Goffstown</v>
      </c>
      <c r="D6" s="290">
        <v>2759961.9899999998</v>
      </c>
      <c r="E6" s="290">
        <v>438323.9</v>
      </c>
      <c r="F6" s="303">
        <f t="shared" ref="F6:F20" si="0">D6+E6</f>
        <v>3198285.8899999997</v>
      </c>
      <c r="G6" s="293"/>
      <c r="H6" s="293"/>
      <c r="I6" s="385"/>
      <c r="N6"/>
    </row>
    <row r="7" spans="1:18" x14ac:dyDescent="0.2">
      <c r="A7" s="126" t="str" cm="1">
        <f t="array" ref="A7">IFERROR(INDEX('School Tables'!$A$4:$G$325,'School Tables'!$J5,3),"")</f>
        <v>Glen Lake School</v>
      </c>
      <c r="B7" s="300">
        <f>IFERROR(VLOOKUP(A7,'School Tables'!$C$3:$D$365,2,FALSE),"")</f>
        <v>28525</v>
      </c>
      <c r="C7" s="293" t="str">
        <f>IFERROR(INDEX('School Tables'!$B$3:$B$365,MATCH('School Level Expenditures'!B7,'School Tables'!$D$3:$D$365,0)),"")</f>
        <v>Goffstown</v>
      </c>
      <c r="D7" s="290">
        <v>2157350.91</v>
      </c>
      <c r="E7" s="290">
        <v>61574.81</v>
      </c>
      <c r="F7" s="303">
        <f t="shared" si="0"/>
        <v>2218925.7200000002</v>
      </c>
      <c r="G7" s="293"/>
      <c r="H7" s="293"/>
      <c r="I7" s="341"/>
      <c r="N7"/>
    </row>
    <row r="8" spans="1:18" x14ac:dyDescent="0.2">
      <c r="A8" s="126" t="str" cm="1">
        <f t="array" ref="A8">IFERROR(INDEX('School Tables'!$A$4:$G$325,'School Tables'!$J6,3),"")</f>
        <v>Maple Avenue School (Goffstown)</v>
      </c>
      <c r="B8" s="300">
        <f>IFERROR(VLOOKUP(A8,'School Tables'!$C$3:$D$365,2,FALSE),"")</f>
        <v>20690</v>
      </c>
      <c r="C8" s="293" t="str">
        <f>IFERROR(INDEX('School Tables'!$B$3:$B$365,MATCH('School Level Expenditures'!B8,'School Tables'!$D$3:$D$365,0)),"")</f>
        <v>Goffstown</v>
      </c>
      <c r="D8" s="290">
        <v>5505296.5599999996</v>
      </c>
      <c r="E8" s="290">
        <v>68520.959999999992</v>
      </c>
      <c r="F8" s="303">
        <f t="shared" si="0"/>
        <v>5573817.5199999996</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12816386.298099998</v>
      </c>
      <c r="E21" s="338">
        <f>SUM(E5:E20)</f>
        <v>760710.39999999991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13403145.132800002</v>
      </c>
      <c r="G24" s="299">
        <f>'DOE25'!L230+'DOE25'!L310</f>
        <v>13403145.1328</v>
      </c>
      <c r="H24" s="340">
        <f>F24-G24</f>
        <v>0</v>
      </c>
      <c r="I24" s="384" t="str">
        <f>IF(H24=0,"","ISSUES!! Please review page 8 and 12 totals in comparison with total on this page")</f>
        <v/>
      </c>
      <c r="N24"/>
    </row>
    <row r="25" spans="1:14" x14ac:dyDescent="0.2">
      <c r="A25" s="126" t="s">
        <v>1548</v>
      </c>
      <c r="B25" s="300">
        <v>99999</v>
      </c>
      <c r="C25" s="293" t="s">
        <v>1548</v>
      </c>
      <c r="D25" s="290">
        <v>2753179.1727999998</v>
      </c>
      <c r="E25" s="290">
        <v>185367.03999999998</v>
      </c>
      <c r="F25" s="303">
        <f>D25+E25</f>
        <v>2938546.2127999999</v>
      </c>
      <c r="G25" s="293"/>
      <c r="H25" s="293"/>
      <c r="I25" s="385"/>
      <c r="N25"/>
    </row>
    <row r="26" spans="1:14" x14ac:dyDescent="0.2">
      <c r="A26" s="126" t="str" cm="1">
        <f t="array" ref="A26">IFERROR(INDEX('School Tables'!$L$4:$R$75,'School Tables'!$U4,3),"")</f>
        <v>Mountain View Middle School</v>
      </c>
      <c r="B26" s="300">
        <f>IFERROR(VLOOKUP(A26,'School Tables'!$N$4:$O$75,2,FALSE),"")</f>
        <v>26820</v>
      </c>
      <c r="C26" s="293" t="str">
        <f>IFERROR(INDEX('School Tables'!$M$4:$M$75,MATCH('School Level Expenditures'!A26,'School Tables'!$N$4:$N$75,0)),"")</f>
        <v>Goffstown</v>
      </c>
      <c r="D26" s="290">
        <v>10195441.380000001</v>
      </c>
      <c r="E26" s="290">
        <v>269157.54000000004</v>
      </c>
      <c r="F26" s="303">
        <f t="shared" ref="F26:F32" si="1">D26+E26</f>
        <v>10464598.920000002</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12948620.5528</v>
      </c>
      <c r="E33" s="338">
        <f>SUM(E25:E32)</f>
        <v>454524.58</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17427676.8191</v>
      </c>
      <c r="G36" s="299">
        <f>'DOE25'!L248+'DOE25'!L329</f>
        <v>17427676.819099996</v>
      </c>
      <c r="H36" s="340">
        <f>F36-G36</f>
        <v>0</v>
      </c>
      <c r="I36" s="384" t="str">
        <f>IF(H36=0,"","ISSUES!! Please review page 9 and 13 totals in comparison with total on this page")</f>
        <v/>
      </c>
      <c r="N36"/>
    </row>
    <row r="37" spans="1:14" x14ac:dyDescent="0.2">
      <c r="A37" s="126" t="s">
        <v>1548</v>
      </c>
      <c r="B37" s="300">
        <v>99999</v>
      </c>
      <c r="C37" s="293" t="s">
        <v>1548</v>
      </c>
      <c r="D37" s="290">
        <v>3666298.1191000012</v>
      </c>
      <c r="E37" s="290">
        <v>225916.08000000007</v>
      </c>
      <c r="F37" s="303">
        <f t="shared" ref="F37:F42" si="2">D37+E37</f>
        <v>3892214.1991000012</v>
      </c>
      <c r="G37" s="293"/>
      <c r="H37" s="293"/>
      <c r="I37" s="385"/>
      <c r="N37"/>
    </row>
    <row r="38" spans="1:14" x14ac:dyDescent="0.2">
      <c r="A38" s="126" t="str" cm="1">
        <f t="array" ref="A38">IFERROR(INDEX('School Tables'!$W$4:$AC$100,'School Tables'!$AF4,3),"")</f>
        <v>Goffstown High School</v>
      </c>
      <c r="B38" s="300">
        <f>IFERROR(VLOOKUP(A38,'School Tables'!$Y$4:$Z$100,2,FALSE),"")</f>
        <v>20700</v>
      </c>
      <c r="C38" s="293" t="str">
        <f>IFERROR(INDEX('School Tables'!$X$4:$X$100,MATCH('School Level Expenditures'!A38,'School Tables'!$Y$4:$Y$100,0)),"")</f>
        <v>Goffstown</v>
      </c>
      <c r="D38" s="290">
        <v>13335728.899999999</v>
      </c>
      <c r="E38" s="290">
        <v>199733.72</v>
      </c>
      <c r="F38" s="303">
        <f t="shared" si="2"/>
        <v>13535462.619999999</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17002027.019099999</v>
      </c>
      <c r="E43" s="339">
        <f>SUM(E37:E42)</f>
        <v>425649.80000000005</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Goffstown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5247761.87</v>
      </c>
      <c r="D8" s="95">
        <f>'DOE25'!G9</f>
        <v>127919.34</v>
      </c>
      <c r="E8" s="95">
        <f>'DOE25'!H9</f>
        <v>26805</v>
      </c>
      <c r="F8" s="95">
        <f>'DOE25'!I9</f>
        <v>0</v>
      </c>
      <c r="G8" s="95">
        <f>'DOE25'!J9</f>
        <v>0</v>
      </c>
      <c r="H8" s="124">
        <f>SUM(C8:G8)</f>
        <v>5402486.21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448588.94</v>
      </c>
      <c r="D11" s="95">
        <f>'DOE25'!G12</f>
        <v>0</v>
      </c>
      <c r="E11" s="95">
        <f>'DOE25'!H12</f>
        <v>0</v>
      </c>
      <c r="F11" s="95">
        <f>'DOE25'!I12</f>
        <v>0</v>
      </c>
      <c r="G11" s="95">
        <f>'DOE25'!J12</f>
        <v>0</v>
      </c>
      <c r="H11" s="124">
        <f t="shared" si="0"/>
        <v>448588.94</v>
      </c>
      <c r="I11" s="124"/>
    </row>
    <row r="12" spans="1:9" x14ac:dyDescent="0.2">
      <c r="A12" s="1" t="s">
        <v>143</v>
      </c>
      <c r="B12" s="6">
        <v>140</v>
      </c>
      <c r="C12" s="95">
        <f>'DOE25'!F13</f>
        <v>35611.01</v>
      </c>
      <c r="D12" s="95">
        <f>'DOE25'!G13</f>
        <v>389623.58</v>
      </c>
      <c r="E12" s="95">
        <f>'DOE25'!H13</f>
        <v>756416.84</v>
      </c>
      <c r="F12" s="95">
        <f>'DOE25'!I13</f>
        <v>0</v>
      </c>
      <c r="G12" s="95">
        <f>'DOE25'!J13</f>
        <v>324242.19</v>
      </c>
      <c r="H12" s="124">
        <f t="shared" si="0"/>
        <v>1505893.6199999999</v>
      </c>
      <c r="I12" s="124"/>
    </row>
    <row r="13" spans="1:9" x14ac:dyDescent="0.2">
      <c r="A13" s="1" t="s">
        <v>144</v>
      </c>
      <c r="B13" s="6">
        <v>150</v>
      </c>
      <c r="C13" s="95">
        <f>'DOE25'!F14</f>
        <v>22440.760000000002</v>
      </c>
      <c r="D13" s="95">
        <f>'DOE25'!G14</f>
        <v>0</v>
      </c>
      <c r="E13" s="95">
        <f>'DOE25'!H14</f>
        <v>0</v>
      </c>
      <c r="F13" s="95">
        <f>'DOE25'!I14</f>
        <v>0</v>
      </c>
      <c r="G13" s="95">
        <f>'DOE25'!J14</f>
        <v>0</v>
      </c>
      <c r="H13" s="124">
        <f t="shared" si="0"/>
        <v>22440.760000000002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22698.25</v>
      </c>
      <c r="D15" s="95">
        <f>'DOE25'!G16</f>
        <v>0</v>
      </c>
      <c r="E15" s="95">
        <f>'DOE25'!H16</f>
        <v>0</v>
      </c>
      <c r="F15" s="95">
        <f>'DOE25'!I16</f>
        <v>0</v>
      </c>
      <c r="G15" s="24" t="s">
        <v>288</v>
      </c>
      <c r="H15" s="124">
        <f t="shared" si="0"/>
        <v>22698.25</v>
      </c>
      <c r="I15" s="124"/>
    </row>
    <row r="16" spans="1:9" x14ac:dyDescent="0.2">
      <c r="A16" s="1" t="s">
        <v>147</v>
      </c>
      <c r="B16" s="6">
        <v>180</v>
      </c>
      <c r="C16" s="95">
        <f>'DOE25'!F17</f>
        <v>82453.149999999994</v>
      </c>
      <c r="D16" s="95">
        <f>'DOE25'!G17</f>
        <v>0</v>
      </c>
      <c r="E16" s="95">
        <f>'DOE25'!H17</f>
        <v>0</v>
      </c>
      <c r="F16" s="95">
        <f>'DOE25'!I17</f>
        <v>0</v>
      </c>
      <c r="G16" s="95">
        <f>'DOE25'!J17</f>
        <v>0</v>
      </c>
      <c r="H16" s="124">
        <f t="shared" si="0"/>
        <v>82453.149999999994</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5859553.9800000004</v>
      </c>
      <c r="D18" s="41">
        <f>SUM(D8:D17)</f>
        <v>517542.92000000004</v>
      </c>
      <c r="E18" s="41">
        <f>SUM(E8:E17)</f>
        <v>783221.84</v>
      </c>
      <c r="F18" s="41">
        <f>SUM(F8:F17)</f>
        <v>0</v>
      </c>
      <c r="G18" s="41">
        <f>SUM(G8:G17)</f>
        <v>324242.19</v>
      </c>
      <c r="H18" s="41">
        <f t="shared" si="0"/>
        <v>7484560.9300000006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448588.94</v>
      </c>
      <c r="F21" s="95">
        <f>'DOE25'!I22</f>
        <v>0</v>
      </c>
      <c r="G21" s="95">
        <f>'DOE25'!J22</f>
        <v>0</v>
      </c>
      <c r="H21" s="124">
        <f t="shared" ref="H21:H31" si="1">SUM(C21:G21)</f>
        <v>448588.94</v>
      </c>
      <c r="I21" s="124"/>
    </row>
    <row r="22" spans="1:9" x14ac:dyDescent="0.2">
      <c r="A22" s="1" t="s">
        <v>151</v>
      </c>
      <c r="B22" s="6">
        <v>410</v>
      </c>
      <c r="C22" s="95">
        <f>'DOE25'!F23</f>
        <v>1145472.49</v>
      </c>
      <c r="D22" s="95">
        <f>'DOE25'!G23</f>
        <v>0</v>
      </c>
      <c r="E22" s="95">
        <f>'DOE25'!H23</f>
        <v>1602.32</v>
      </c>
      <c r="F22" s="95">
        <f>'DOE25'!I23</f>
        <v>0</v>
      </c>
      <c r="G22" s="95">
        <f>'DOE25'!J23</f>
        <v>0</v>
      </c>
      <c r="H22" s="124">
        <f t="shared" si="1"/>
        <v>1147074.81</v>
      </c>
      <c r="I22" s="124"/>
    </row>
    <row r="23" spans="1:9" x14ac:dyDescent="0.2">
      <c r="A23" s="1" t="s">
        <v>152</v>
      </c>
      <c r="B23" s="6">
        <v>420</v>
      </c>
      <c r="C23" s="95">
        <f>'DOE25'!F24</f>
        <v>275728.17</v>
      </c>
      <c r="D23" s="95">
        <f>'DOE25'!G24</f>
        <v>36575.919999999998</v>
      </c>
      <c r="E23" s="95">
        <f>'DOE25'!H24</f>
        <v>280550.08</v>
      </c>
      <c r="F23" s="95">
        <f>'DOE25'!I24</f>
        <v>609</v>
      </c>
      <c r="G23" s="95">
        <f>'DOE25'!J24</f>
        <v>0</v>
      </c>
      <c r="H23" s="124">
        <f t="shared" si="1"/>
        <v>593463.16999999993</v>
      </c>
      <c r="I23" s="124"/>
    </row>
    <row r="24" spans="1:9" x14ac:dyDescent="0.2">
      <c r="A24" s="1" t="s">
        <v>153</v>
      </c>
      <c r="B24" s="6">
        <v>430</v>
      </c>
      <c r="C24" s="95">
        <f>'DOE25'!F25</f>
        <v>0</v>
      </c>
      <c r="D24" s="95">
        <f>'DOE25'!G25</f>
        <v>0</v>
      </c>
      <c r="E24" s="95">
        <f>'DOE25'!H25</f>
        <v>14737.37</v>
      </c>
      <c r="F24" s="95">
        <f>'DOE25'!I25</f>
        <v>0</v>
      </c>
      <c r="G24" s="24" t="s">
        <v>288</v>
      </c>
      <c r="H24" s="124">
        <f t="shared" si="1"/>
        <v>14737.37</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87220.74</v>
      </c>
      <c r="D27" s="95">
        <f>'DOE25'!G28</f>
        <v>1220.6300000000001</v>
      </c>
      <c r="E27" s="95">
        <f>'DOE25'!H28</f>
        <v>8804.5499999999993</v>
      </c>
      <c r="F27" s="95">
        <f>'DOE25'!I28</f>
        <v>0</v>
      </c>
      <c r="G27" s="24" t="s">
        <v>288</v>
      </c>
      <c r="H27" s="124">
        <f t="shared" si="1"/>
        <v>97245.920000000013</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18100</v>
      </c>
      <c r="D29" s="95">
        <f>'DOE25'!G30</f>
        <v>30077.9</v>
      </c>
      <c r="E29" s="95">
        <f>'DOE25'!H30</f>
        <v>28938.579999999998</v>
      </c>
      <c r="F29" s="95">
        <f>'DOE25'!I30</f>
        <v>0</v>
      </c>
      <c r="G29" s="24" t="s">
        <v>288</v>
      </c>
      <c r="H29" s="124">
        <f t="shared" si="1"/>
        <v>77116.479999999996</v>
      </c>
      <c r="I29" s="124"/>
    </row>
    <row r="30" spans="1:9" ht="12" thickBot="1" x14ac:dyDescent="0.25">
      <c r="A30" s="1" t="s">
        <v>159</v>
      </c>
      <c r="B30" s="71">
        <v>490</v>
      </c>
      <c r="C30" s="95">
        <f>'DOE25'!F31</f>
        <v>2577</v>
      </c>
      <c r="D30" s="95">
        <f>'DOE25'!G31</f>
        <v>30.65</v>
      </c>
      <c r="E30" s="95">
        <f>'DOE25'!H31</f>
        <v>0</v>
      </c>
      <c r="F30" s="95">
        <f>'DOE25'!I31</f>
        <v>0</v>
      </c>
      <c r="G30" s="95">
        <f>'DOE25'!J31</f>
        <v>0</v>
      </c>
      <c r="H30" s="124">
        <f t="shared" si="1"/>
        <v>2607.65</v>
      </c>
      <c r="I30" s="124"/>
    </row>
    <row r="31" spans="1:9" ht="12" thickTop="1" x14ac:dyDescent="0.2">
      <c r="A31" s="38" t="s">
        <v>160</v>
      </c>
      <c r="B31" s="2"/>
      <c r="C31" s="41">
        <f>SUM(C21:C30)</f>
        <v>1529098.4</v>
      </c>
      <c r="D31" s="41">
        <f>SUM(D21:D30)</f>
        <v>67905.099999999991</v>
      </c>
      <c r="E31" s="41">
        <f>SUM(E21:E30)</f>
        <v>783221.84000000008</v>
      </c>
      <c r="F31" s="41">
        <f>SUM(F21:F30)</f>
        <v>609</v>
      </c>
      <c r="G31" s="41">
        <f>SUM(G21:G30)</f>
        <v>0</v>
      </c>
      <c r="H31" s="41">
        <f t="shared" si="1"/>
        <v>2380834.34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22698.25</v>
      </c>
      <c r="D34" s="95">
        <f>'DOE25'!G35</f>
        <v>0</v>
      </c>
      <c r="E34" s="95">
        <f>'DOE25'!H35</f>
        <v>0</v>
      </c>
      <c r="F34" s="95">
        <f>'DOE25'!I35</f>
        <v>0</v>
      </c>
      <c r="G34" s="24" t="s">
        <v>288</v>
      </c>
      <c r="H34" s="124">
        <f t="shared" ref="H34:H51" si="2">SUM(C34:G34)</f>
        <v>22698.25</v>
      </c>
      <c r="I34" s="124"/>
    </row>
    <row r="35" spans="1:9" x14ac:dyDescent="0.2">
      <c r="A35" s="1" t="s">
        <v>850</v>
      </c>
      <c r="B35" s="6">
        <v>752</v>
      </c>
      <c r="C35" s="95">
        <f>'DOE25'!F36</f>
        <v>82453.149999999994</v>
      </c>
      <c r="D35" s="95">
        <f>'DOE25'!G36</f>
        <v>0</v>
      </c>
      <c r="E35" s="95">
        <f>'DOE25'!H36</f>
        <v>0</v>
      </c>
      <c r="F35" s="95">
        <f>'DOE25'!I36</f>
        <v>0</v>
      </c>
      <c r="G35" s="24" t="s">
        <v>288</v>
      </c>
      <c r="H35" s="124">
        <f t="shared" si="2"/>
        <v>82453.149999999994</v>
      </c>
      <c r="I35" s="124"/>
    </row>
    <row r="36" spans="1:9" x14ac:dyDescent="0.2">
      <c r="A36" s="1" t="s">
        <v>856</v>
      </c>
      <c r="B36" s="6">
        <v>756</v>
      </c>
      <c r="C36" s="95">
        <f>'DOE25'!F37</f>
        <v>0</v>
      </c>
      <c r="D36" s="95">
        <f>'DOE25'!G37</f>
        <v>0</v>
      </c>
      <c r="E36" s="95">
        <f>'DOE25'!H37</f>
        <v>0</v>
      </c>
      <c r="F36" s="95">
        <f>'DOE25'!I37</f>
        <v>0</v>
      </c>
      <c r="G36" s="95">
        <f>'DOE25'!J37</f>
        <v>35722</v>
      </c>
      <c r="H36" s="124">
        <f t="shared" si="2"/>
        <v>35722</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4484.75</v>
      </c>
      <c r="H38" s="124">
        <f t="shared" si="2"/>
        <v>4484.75</v>
      </c>
      <c r="I38" s="124"/>
    </row>
    <row r="39" spans="1:9" x14ac:dyDescent="0.2">
      <c r="A39" s="1" t="s">
        <v>861</v>
      </c>
      <c r="B39" s="6"/>
      <c r="C39" s="24" t="s">
        <v>288</v>
      </c>
      <c r="D39" s="95">
        <f>'DOE25'!G40</f>
        <v>449637.82</v>
      </c>
      <c r="E39" s="24" t="s">
        <v>288</v>
      </c>
      <c r="F39" s="24" t="s">
        <v>288</v>
      </c>
      <c r="G39" s="24" t="s">
        <v>288</v>
      </c>
      <c r="H39" s="124">
        <f t="shared" si="2"/>
        <v>449637.82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200000</v>
      </c>
      <c r="D43" s="95">
        <f>'DOE25'!G44</f>
        <v>0</v>
      </c>
      <c r="E43" s="95">
        <f>'DOE25'!H44</f>
        <v>0</v>
      </c>
      <c r="F43" s="95">
        <f>'DOE25'!I44</f>
        <v>0</v>
      </c>
      <c r="G43" s="24" t="s">
        <v>288</v>
      </c>
      <c r="H43" s="124">
        <f t="shared" si="2"/>
        <v>200000</v>
      </c>
      <c r="I43" s="124"/>
    </row>
    <row r="44" spans="1:9" x14ac:dyDescent="0.2">
      <c r="A44" s="1" t="s">
        <v>864</v>
      </c>
      <c r="B44" s="6">
        <v>753</v>
      </c>
      <c r="C44" s="95">
        <f>'DOE25'!F45</f>
        <v>345587.28</v>
      </c>
      <c r="D44" s="95">
        <f>'DOE25'!G45</f>
        <v>0</v>
      </c>
      <c r="E44" s="95">
        <f>'DOE25'!H45</f>
        <v>0</v>
      </c>
      <c r="F44" s="95">
        <f>'DOE25'!I45</f>
        <v>0</v>
      </c>
      <c r="G44" s="95">
        <f>'DOE25'!J45</f>
        <v>0</v>
      </c>
      <c r="H44" s="124">
        <f t="shared" si="2"/>
        <v>345587.28</v>
      </c>
      <c r="I44" s="124"/>
    </row>
    <row r="45" spans="1:9" x14ac:dyDescent="0.2">
      <c r="A45" s="1" t="s">
        <v>880</v>
      </c>
      <c r="B45" s="6"/>
      <c r="C45" s="95">
        <f>'DOE25'!F46</f>
        <v>865000</v>
      </c>
      <c r="D45" s="24" t="s">
        <v>288</v>
      </c>
      <c r="E45" s="24" t="s">
        <v>288</v>
      </c>
      <c r="F45" s="24" t="s">
        <v>288</v>
      </c>
      <c r="G45" s="24" t="s">
        <v>288</v>
      </c>
      <c r="H45" s="124">
        <f t="shared" si="2"/>
        <v>865000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-609</v>
      </c>
      <c r="G47" s="95">
        <f>'DOE25'!J48</f>
        <v>284035.44</v>
      </c>
      <c r="H47" s="124">
        <f t="shared" si="2"/>
        <v>283426.44</v>
      </c>
      <c r="I47" s="124"/>
    </row>
    <row r="48" spans="1:9" x14ac:dyDescent="0.2">
      <c r="A48" s="1" t="s">
        <v>882</v>
      </c>
      <c r="B48" s="6">
        <v>753</v>
      </c>
      <c r="C48" s="95">
        <f>'DOE25'!F49</f>
        <v>0</v>
      </c>
      <c r="D48" s="95" t="str">
        <f>'DOE25'!G49</f>
        <v xml:space="preserve"> </v>
      </c>
      <c r="E48" s="95">
        <f>'DOE25'!H49</f>
        <v>0</v>
      </c>
      <c r="F48" s="95">
        <f>'DOE25'!I49</f>
        <v>0</v>
      </c>
      <c r="G48" s="95">
        <f>'DOE25'!J49</f>
        <v>0</v>
      </c>
      <c r="H48" s="124">
        <f t="shared" si="2"/>
        <v>0</v>
      </c>
      <c r="I48" s="124"/>
    </row>
    <row r="49" spans="1:9" ht="12" thickBot="1" x14ac:dyDescent="0.25">
      <c r="A49" s="29" t="s">
        <v>883</v>
      </c>
      <c r="B49" s="71">
        <v>770</v>
      </c>
      <c r="C49" s="95">
        <f>'DOE25'!F50</f>
        <v>2814716.9</v>
      </c>
      <c r="D49" s="24" t="s">
        <v>288</v>
      </c>
      <c r="E49" s="24" t="s">
        <v>288</v>
      </c>
      <c r="F49" s="24" t="s">
        <v>288</v>
      </c>
      <c r="G49" s="24" t="s">
        <v>288</v>
      </c>
      <c r="H49" s="124">
        <f t="shared" si="2"/>
        <v>2814716.9</v>
      </c>
      <c r="I49" s="124"/>
    </row>
    <row r="50" spans="1:9" ht="12.75" thickTop="1" thickBot="1" x14ac:dyDescent="0.25">
      <c r="A50" s="38" t="s">
        <v>884</v>
      </c>
      <c r="B50" s="48"/>
      <c r="C50" s="41">
        <f>SUM(C34:C49)</f>
        <v>4330455.58</v>
      </c>
      <c r="D50" s="41">
        <f>SUM(D34:D49)</f>
        <v>449637.82</v>
      </c>
      <c r="E50" s="41">
        <f>SUM(E34:E49)</f>
        <v>0</v>
      </c>
      <c r="F50" s="41">
        <f>SUM(F34:F49)</f>
        <v>-609</v>
      </c>
      <c r="G50" s="41">
        <f>SUM(G34:G49)</f>
        <v>324242.19</v>
      </c>
      <c r="H50" s="41">
        <f t="shared" si="2"/>
        <v>5103726.5900000008</v>
      </c>
      <c r="I50" s="124"/>
    </row>
    <row r="51" spans="1:9" ht="12" thickTop="1" x14ac:dyDescent="0.2">
      <c r="A51" s="38" t="s">
        <v>885</v>
      </c>
      <c r="B51" s="2"/>
      <c r="C51" s="41">
        <f>C50+C31</f>
        <v>5859553.9800000004</v>
      </c>
      <c r="D51" s="41">
        <f>D50+D31</f>
        <v>517542.92</v>
      </c>
      <c r="E51" s="41">
        <f>E50+E31</f>
        <v>783221.84000000008</v>
      </c>
      <c r="F51" s="41">
        <f>F50+F31</f>
        <v>0</v>
      </c>
      <c r="G51" s="41">
        <f>G50+G31</f>
        <v>324242.19</v>
      </c>
      <c r="H51" s="41">
        <f t="shared" si="2"/>
        <v>7484560.9300000006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23272991</v>
      </c>
      <c r="D56" s="95">
        <f>'DOE25'!G60</f>
        <v>0</v>
      </c>
      <c r="E56" s="95">
        <f>'DOE25'!H60</f>
        <v>0</v>
      </c>
      <c r="F56" s="95">
        <f>'DOE25'!I60</f>
        <v>0</v>
      </c>
      <c r="G56" s="95">
        <f>'DOE25'!J60</f>
        <v>0</v>
      </c>
      <c r="H56" s="124">
        <f t="shared" ref="H56:H63" si="3">SUM(C56:G56)</f>
        <v>23272991</v>
      </c>
      <c r="I56"/>
    </row>
    <row r="57" spans="1:9" x14ac:dyDescent="0.2">
      <c r="A57" s="1" t="s">
        <v>164</v>
      </c>
      <c r="B57" s="6" t="s">
        <v>165</v>
      </c>
      <c r="C57" s="95">
        <f>'DOE25'!F79</f>
        <v>7499627.25</v>
      </c>
      <c r="D57" s="24" t="s">
        <v>288</v>
      </c>
      <c r="E57" s="95">
        <f>'DOE25'!H79</f>
        <v>0</v>
      </c>
      <c r="F57" s="24" t="s">
        <v>288</v>
      </c>
      <c r="G57" s="24" t="s">
        <v>288</v>
      </c>
      <c r="H57" s="124">
        <f t="shared" si="3"/>
        <v>7499627.25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9749.23</v>
      </c>
      <c r="D59" s="95">
        <f>'DOE25'!G96</f>
        <v>0</v>
      </c>
      <c r="E59" s="95">
        <f>'DOE25'!H96</f>
        <v>0</v>
      </c>
      <c r="F59" s="95">
        <f>'DOE25'!I96</f>
        <v>0</v>
      </c>
      <c r="G59" s="95">
        <f>'DOE25'!J96</f>
        <v>1621.91</v>
      </c>
      <c r="H59" s="124">
        <f t="shared" si="3"/>
        <v>11371.14</v>
      </c>
      <c r="I59"/>
    </row>
    <row r="60" spans="1:9" x14ac:dyDescent="0.2">
      <c r="A60" s="1" t="s">
        <v>170</v>
      </c>
      <c r="B60" s="118" t="s">
        <v>171</v>
      </c>
      <c r="C60" s="24" t="s">
        <v>288</v>
      </c>
      <c r="D60" s="95">
        <f>'DOE25'!G97</f>
        <v>116752.39</v>
      </c>
      <c r="E60" s="24" t="s">
        <v>288</v>
      </c>
      <c r="F60" s="24" t="s">
        <v>288</v>
      </c>
      <c r="G60" s="24" t="s">
        <v>288</v>
      </c>
      <c r="H60" s="124">
        <f t="shared" si="3"/>
        <v>116752.39</v>
      </c>
      <c r="I60"/>
    </row>
    <row r="61" spans="1:9" ht="12" thickBot="1" x14ac:dyDescent="0.25">
      <c r="A61" s="1" t="s">
        <v>172</v>
      </c>
      <c r="B61" s="118" t="s">
        <v>173</v>
      </c>
      <c r="C61" s="95">
        <f>SUM('DOE25'!F98:F110)</f>
        <v>577758.06999999995</v>
      </c>
      <c r="D61" s="95">
        <f>SUM('DOE25'!G98:G110)</f>
        <v>0</v>
      </c>
      <c r="E61" s="95">
        <f>SUM('DOE25'!H98:H110)</f>
        <v>5559.5</v>
      </c>
      <c r="F61" s="95">
        <f>SUM('DOE25'!I98:I110)</f>
        <v>0</v>
      </c>
      <c r="G61" s="95">
        <f>SUM('DOE25'!J98:J110)</f>
        <v>0</v>
      </c>
      <c r="H61" s="124">
        <f t="shared" si="3"/>
        <v>583317.56999999995</v>
      </c>
      <c r="I61"/>
    </row>
    <row r="62" spans="1:9" ht="12.75" thickTop="1" thickBot="1" x14ac:dyDescent="0.25">
      <c r="A62" s="29" t="s">
        <v>174</v>
      </c>
      <c r="B62" s="6"/>
      <c r="C62" s="130">
        <f>SUM(C57:C61)</f>
        <v>8087134.5500000007</v>
      </c>
      <c r="D62" s="130">
        <f>SUM(D57:D61)</f>
        <v>116752.39</v>
      </c>
      <c r="E62" s="130">
        <f>SUM(E57:E61)</f>
        <v>5559.5</v>
      </c>
      <c r="F62" s="130">
        <f>SUM(F57:F61)</f>
        <v>0</v>
      </c>
      <c r="G62" s="130">
        <f>SUM(G57:G61)</f>
        <v>1621.91</v>
      </c>
      <c r="H62" s="124">
        <f t="shared" si="3"/>
        <v>8211068.3500000006</v>
      </c>
      <c r="I62"/>
    </row>
    <row r="63" spans="1:9" ht="12" thickTop="1" x14ac:dyDescent="0.2">
      <c r="A63" s="29" t="s">
        <v>175</v>
      </c>
      <c r="B63" s="6"/>
      <c r="C63" s="22">
        <f>C56+C62</f>
        <v>31360125.550000001</v>
      </c>
      <c r="D63" s="22">
        <f>D56+D62</f>
        <v>116752.39</v>
      </c>
      <c r="E63" s="22">
        <f>E56+E62</f>
        <v>5559.5</v>
      </c>
      <c r="F63" s="22">
        <f>F56+F62</f>
        <v>0</v>
      </c>
      <c r="G63" s="22">
        <f>G56+G62</f>
        <v>1621.91</v>
      </c>
      <c r="H63" s="124">
        <f t="shared" si="3"/>
        <v>31484059.350000001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7826735.8300000001</v>
      </c>
      <c r="D66" s="24" t="s">
        <v>288</v>
      </c>
      <c r="E66" s="24" t="s">
        <v>288</v>
      </c>
      <c r="F66" s="24" t="s">
        <v>288</v>
      </c>
      <c r="G66" s="24" t="s">
        <v>288</v>
      </c>
      <c r="H66" s="124">
        <f t="shared" ref="H66:H81" si="4">SUM(C66:G66)</f>
        <v>7826735.8300000001</v>
      </c>
      <c r="I66"/>
    </row>
    <row r="67" spans="1:9" x14ac:dyDescent="0.2">
      <c r="A67" s="1" t="s">
        <v>770</v>
      </c>
      <c r="B67" s="6">
        <v>3112</v>
      </c>
      <c r="C67" s="95">
        <f>'DOE25'!F118</f>
        <v>3364276</v>
      </c>
      <c r="D67" s="24"/>
      <c r="E67" s="24"/>
      <c r="F67" s="24"/>
      <c r="G67" s="24"/>
      <c r="H67" s="124">
        <f t="shared" si="4"/>
        <v>3364276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21651.02</v>
      </c>
      <c r="D69" s="95">
        <f>'DOE25'!G120</f>
        <v>0</v>
      </c>
      <c r="E69" s="95">
        <f>'DOE25'!H120</f>
        <v>0</v>
      </c>
      <c r="F69" s="95">
        <f>'DOE25'!I120</f>
        <v>0</v>
      </c>
      <c r="G69" s="95">
        <f>'DOE25'!J120</f>
        <v>0</v>
      </c>
      <c r="H69" s="124">
        <f t="shared" si="4"/>
        <v>21651.02</v>
      </c>
      <c r="I69"/>
    </row>
    <row r="70" spans="1:9" ht="12" thickTop="1" x14ac:dyDescent="0.2">
      <c r="A70" s="29" t="s">
        <v>252</v>
      </c>
      <c r="B70" s="2"/>
      <c r="C70" s="139">
        <f>SUM(C66:C69)</f>
        <v>11212662.85</v>
      </c>
      <c r="D70" s="139">
        <f>D69</f>
        <v>0</v>
      </c>
      <c r="E70" s="139">
        <f>E69</f>
        <v>0</v>
      </c>
      <c r="F70" s="139">
        <f>F69</f>
        <v>0</v>
      </c>
      <c r="G70" s="139">
        <f>G69</f>
        <v>0</v>
      </c>
      <c r="H70" s="124">
        <f t="shared" si="4"/>
        <v>11212662.85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262445.82</v>
      </c>
      <c r="D72" s="24" t="s">
        <v>288</v>
      </c>
      <c r="E72" s="24" t="s">
        <v>288</v>
      </c>
      <c r="F72" s="95">
        <f>'DOE25'!I123</f>
        <v>0</v>
      </c>
      <c r="G72" s="24" t="s">
        <v>288</v>
      </c>
      <c r="H72" s="124">
        <f t="shared" si="4"/>
        <v>262445.82</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417536.21</v>
      </c>
      <c r="D75" s="24" t="s">
        <v>288</v>
      </c>
      <c r="E75" s="24" t="s">
        <v>288</v>
      </c>
      <c r="F75" s="24" t="s">
        <v>288</v>
      </c>
      <c r="G75" s="24" t="s">
        <v>288</v>
      </c>
      <c r="H75" s="124">
        <f t="shared" si="4"/>
        <v>417536.21</v>
      </c>
      <c r="I75"/>
    </row>
    <row r="76" spans="1:9" x14ac:dyDescent="0.2">
      <c r="A76" s="1" t="s">
        <v>257</v>
      </c>
      <c r="B76" s="6" t="s">
        <v>179</v>
      </c>
      <c r="C76" s="95">
        <f>SUM('DOE25'!F127:F130)</f>
        <v>30682</v>
      </c>
      <c r="D76" s="24" t="s">
        <v>288</v>
      </c>
      <c r="E76" s="95">
        <f>SUM('DOE25'!H127:H130)</f>
        <v>0</v>
      </c>
      <c r="F76" s="95">
        <f>SUM('DOE25'!I127:I130)</f>
        <v>0</v>
      </c>
      <c r="G76" s="24" t="s">
        <v>288</v>
      </c>
      <c r="H76" s="124">
        <f t="shared" si="4"/>
        <v>30682</v>
      </c>
      <c r="I76"/>
    </row>
    <row r="77" spans="1:9" ht="12" thickBot="1" x14ac:dyDescent="0.25">
      <c r="A77" s="1" t="s">
        <v>258</v>
      </c>
      <c r="B77" s="6" t="s">
        <v>180</v>
      </c>
      <c r="C77" s="95">
        <f>SUM('DOE25'!F131:F135)</f>
        <v>0</v>
      </c>
      <c r="D77" s="95">
        <f>SUM('DOE25'!G131:G135)</f>
        <v>12374.61</v>
      </c>
      <c r="E77" s="95">
        <f>SUM('DOE25'!H131:H135)</f>
        <v>91573.85</v>
      </c>
      <c r="F77" s="95">
        <f>SUM('DOE25'!I131:I135)</f>
        <v>0</v>
      </c>
      <c r="G77" s="95">
        <f>SUM('DOE25'!J131:J135)</f>
        <v>0</v>
      </c>
      <c r="H77" s="124">
        <f t="shared" si="4"/>
        <v>103948.46</v>
      </c>
      <c r="I77"/>
    </row>
    <row r="78" spans="1:9" ht="12.75" thickTop="1" thickBot="1" x14ac:dyDescent="0.25">
      <c r="A78" s="29" t="s">
        <v>259</v>
      </c>
      <c r="B78" s="6"/>
      <c r="C78" s="130">
        <f>SUM(C72:C77)</f>
        <v>710664.03</v>
      </c>
      <c r="D78" s="130">
        <f>SUM(D72:D77)</f>
        <v>12374.61</v>
      </c>
      <c r="E78" s="130">
        <f>SUM(E72:E77)</f>
        <v>91573.85</v>
      </c>
      <c r="F78" s="130">
        <f>SUM(F72:F77)</f>
        <v>0</v>
      </c>
      <c r="G78" s="130">
        <f>SUM(G72:G77)</f>
        <v>0</v>
      </c>
      <c r="H78" s="124">
        <f t="shared" si="4"/>
        <v>814612.49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11923326.879999999</v>
      </c>
      <c r="D81" s="130">
        <f>SUM(D79:D80)+D78+D70</f>
        <v>12374.61</v>
      </c>
      <c r="E81" s="130">
        <f>SUM(E79:E80)+E78+E70</f>
        <v>91573.85</v>
      </c>
      <c r="F81" s="130">
        <f>SUM(F79:F80)+F78+F70</f>
        <v>0</v>
      </c>
      <c r="G81" s="130">
        <f>SUM(G79:G80)+G78+G70</f>
        <v>0</v>
      </c>
      <c r="H81" s="130">
        <f t="shared" si="4"/>
        <v>12027275.339999998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31934.68</v>
      </c>
      <c r="D88" s="326">
        <f>SUM('DOE25'!G153:G162)</f>
        <v>1468704.0000000002</v>
      </c>
      <c r="E88" s="326">
        <f>SUM('DOE25'!H153:H162)</f>
        <v>1972474.1500000001</v>
      </c>
      <c r="F88" s="326">
        <f>SUM('DOE25'!I153:I162)</f>
        <v>0</v>
      </c>
      <c r="G88" s="24" t="s">
        <v>288</v>
      </c>
      <c r="H88" s="124">
        <f t="shared" si="5"/>
        <v>3473112.83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31934.68</v>
      </c>
      <c r="D91" s="131">
        <f>SUM(D85:D90)</f>
        <v>1468704.0000000002</v>
      </c>
      <c r="E91" s="131">
        <f>SUM(E85:E90)</f>
        <v>1972474.1500000001</v>
      </c>
      <c r="F91" s="131">
        <f>SUM(F85:F90)</f>
        <v>0</v>
      </c>
      <c r="G91" s="24" t="s">
        <v>288</v>
      </c>
      <c r="H91" s="124">
        <f t="shared" si="5"/>
        <v>3473112.83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64.599999999999994</v>
      </c>
      <c r="E96" s="95">
        <f>'DOE25'!H180</f>
        <v>0</v>
      </c>
      <c r="F96" s="95">
        <f>'DOE25'!I180</f>
        <v>0</v>
      </c>
      <c r="G96" s="95">
        <f>'DOE25'!J180</f>
        <v>200000</v>
      </c>
      <c r="H96" s="124">
        <f t="shared" si="5"/>
        <v>200064.6</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'DOE25'!I187</f>
        <v>162025</v>
      </c>
      <c r="G99" s="24" t="s">
        <v>288</v>
      </c>
      <c r="H99" s="124">
        <f t="shared" si="5"/>
        <v>162025</v>
      </c>
    </row>
    <row r="100" spans="1:8" x14ac:dyDescent="0.2">
      <c r="A100" t="s">
        <v>757</v>
      </c>
      <c r="B100" s="32" t="s">
        <v>190</v>
      </c>
      <c r="C100" s="95">
        <f>SUM('DOE25'!F187:F188)</f>
        <v>0</v>
      </c>
      <c r="D100" s="95">
        <f>SUM('DOE25'!G187:G188)</f>
        <v>0</v>
      </c>
      <c r="E100" s="95">
        <f>SUM('DOE25'!H187:H188)</f>
        <v>0</v>
      </c>
      <c r="F100" s="95">
        <f>SUM('DOE25'!I187:I188)</f>
        <v>162025</v>
      </c>
      <c r="G100" s="24" t="s">
        <v>288</v>
      </c>
      <c r="H100" s="124">
        <f t="shared" si="5"/>
        <v>162025</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64.599999999999994</v>
      </c>
      <c r="E103" s="86">
        <f>SUM(E93:E102)</f>
        <v>0</v>
      </c>
      <c r="F103" s="86">
        <f>SUM(F93:F102)</f>
        <v>324050</v>
      </c>
      <c r="G103" s="86">
        <f>SUM(G93:G102)</f>
        <v>200000</v>
      </c>
      <c r="H103" s="86">
        <f t="shared" si="5"/>
        <v>524114.6</v>
      </c>
    </row>
    <row r="104" spans="1:8" ht="12.75" thickTop="1" thickBot="1" x14ac:dyDescent="0.25">
      <c r="A104" s="33" t="s">
        <v>761</v>
      </c>
      <c r="C104" s="86">
        <f>C63+C81+C91+C103</f>
        <v>43315387.109999999</v>
      </c>
      <c r="D104" s="86">
        <f>D63+D81+D91+D103</f>
        <v>1597895.6000000003</v>
      </c>
      <c r="E104" s="86">
        <f>E63+E81+E91+E103</f>
        <v>2069607.5000000002</v>
      </c>
      <c r="F104" s="86">
        <f>F63+F81+F91+F103</f>
        <v>324050</v>
      </c>
      <c r="G104" s="86">
        <f>G63+G81+G103</f>
        <v>201621.91</v>
      </c>
      <c r="H104" s="86">
        <f t="shared" si="5"/>
        <v>47508562.119999997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18587159.039999999</v>
      </c>
      <c r="D109" s="24" t="s">
        <v>288</v>
      </c>
      <c r="E109" s="95">
        <f>('DOE25'!L277)+('DOE25'!L296)+('DOE25'!L315)</f>
        <v>649848.18999999994</v>
      </c>
      <c r="F109" s="24" t="s">
        <v>288</v>
      </c>
      <c r="G109" s="24" t="s">
        <v>288</v>
      </c>
      <c r="H109" s="124">
        <f t="shared" ref="H109:H115" si="6">SUM(C109:G109)</f>
        <v>19237007.23</v>
      </c>
    </row>
    <row r="110" spans="1:8" x14ac:dyDescent="0.2">
      <c r="A110" t="s">
        <v>198</v>
      </c>
      <c r="B110" s="32" t="s">
        <v>199</v>
      </c>
      <c r="C110" s="95">
        <f>('DOE25'!L199)+('DOE25'!L217)+('DOE25'!L235)</f>
        <v>9336813.9000000004</v>
      </c>
      <c r="D110" s="24" t="s">
        <v>288</v>
      </c>
      <c r="E110" s="95">
        <f>('DOE25'!L278)+('DOE25'!L297)+('DOE25'!L316)</f>
        <v>682677.87</v>
      </c>
      <c r="F110" s="24" t="s">
        <v>288</v>
      </c>
      <c r="G110" s="24" t="s">
        <v>288</v>
      </c>
      <c r="H110" s="124">
        <f t="shared" si="6"/>
        <v>10019491.77</v>
      </c>
    </row>
    <row r="111" spans="1:8" x14ac:dyDescent="0.2">
      <c r="A111" t="s">
        <v>200</v>
      </c>
      <c r="B111" s="32" t="s">
        <v>165</v>
      </c>
      <c r="C111" s="95">
        <f>('DOE25'!L200)+('DOE25'!L218)+('DOE25'!L236)</f>
        <v>131661.93</v>
      </c>
      <c r="D111" s="24" t="s">
        <v>288</v>
      </c>
      <c r="E111" s="95">
        <f>('DOE25'!L279)+('DOE25'!L298)+('DOE25'!L317)</f>
        <v>0</v>
      </c>
      <c r="F111" s="24" t="s">
        <v>288</v>
      </c>
      <c r="G111" s="24" t="s">
        <v>288</v>
      </c>
      <c r="H111" s="124">
        <f t="shared" si="6"/>
        <v>131661.93</v>
      </c>
    </row>
    <row r="112" spans="1:8" x14ac:dyDescent="0.2">
      <c r="A112" t="s">
        <v>201</v>
      </c>
      <c r="B112" s="32" t="s">
        <v>167</v>
      </c>
      <c r="C112" s="95">
        <f>('DOE25'!L201)+('DOE25'!L219)+('DOE25'!L237)</f>
        <v>854007.2300000001</v>
      </c>
      <c r="D112" s="24" t="s">
        <v>288</v>
      </c>
      <c r="E112" s="95">
        <f>+('DOE25'!L280)+('DOE25'!L299)+('DOE25'!L318)</f>
        <v>4348.3200000000006</v>
      </c>
      <c r="F112" s="24" t="s">
        <v>288</v>
      </c>
      <c r="G112" s="24" t="s">
        <v>288</v>
      </c>
      <c r="H112" s="124">
        <f t="shared" si="6"/>
        <v>858355.55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70852.319999999992</v>
      </c>
      <c r="D114" s="24" t="s">
        <v>288</v>
      </c>
      <c r="E114" s="95">
        <f>+ SUM('DOE25'!L334:L336)</f>
        <v>63295.530000000006</v>
      </c>
      <c r="F114" s="24" t="s">
        <v>288</v>
      </c>
      <c r="G114" s="24" t="s">
        <v>288</v>
      </c>
      <c r="H114" s="124">
        <f t="shared" si="6"/>
        <v>134147.85</v>
      </c>
    </row>
    <row r="115" spans="1:8" ht="12.75" thickTop="1" thickBot="1" x14ac:dyDescent="0.25">
      <c r="A115" s="33" t="s">
        <v>205</v>
      </c>
      <c r="C115" s="86">
        <f>SUM(C109:C114)</f>
        <v>28980494.419999998</v>
      </c>
      <c r="D115" s="86">
        <f>SUM(D109:D114)</f>
        <v>0</v>
      </c>
      <c r="E115" s="86">
        <f>SUM(E109:E114)</f>
        <v>1400169.9100000001</v>
      </c>
      <c r="F115" s="86">
        <f>SUM(F109:F114)</f>
        <v>0</v>
      </c>
      <c r="G115" s="86">
        <f>SUM(G109:G114)</f>
        <v>0</v>
      </c>
      <c r="H115" s="86">
        <f t="shared" si="6"/>
        <v>30380664.329999998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2866594.22</v>
      </c>
      <c r="D118" s="24" t="s">
        <v>288</v>
      </c>
      <c r="E118" s="95">
        <f>+('DOE25'!L282)+('DOE25'!L301)+('DOE25'!L320)</f>
        <v>41912.639999999999</v>
      </c>
      <c r="F118" s="24" t="s">
        <v>288</v>
      </c>
      <c r="G118" s="24" t="s">
        <v>288</v>
      </c>
      <c r="H118" s="124">
        <f t="shared" ref="H118:H145" si="7">SUM(C118:G118)</f>
        <v>2908506.8600000003</v>
      </c>
    </row>
    <row r="119" spans="1:8" x14ac:dyDescent="0.2">
      <c r="A119" t="s">
        <v>208</v>
      </c>
      <c r="B119" s="32" t="s">
        <v>209</v>
      </c>
      <c r="C119" s="95">
        <f>('DOE25'!L204)+('DOE25'!L222)+('DOE25'!L240)</f>
        <v>795095.31</v>
      </c>
      <c r="D119" s="24" t="s">
        <v>288</v>
      </c>
      <c r="E119" s="95">
        <f>+('DOE25'!L283)+('DOE25'!L302)+('DOE25'!L321)</f>
        <v>258598.93</v>
      </c>
      <c r="F119" s="24" t="s">
        <v>288</v>
      </c>
      <c r="G119" s="24" t="s">
        <v>288</v>
      </c>
      <c r="H119" s="124">
        <f t="shared" si="7"/>
        <v>1053694.24</v>
      </c>
    </row>
    <row r="120" spans="1:8" x14ac:dyDescent="0.2">
      <c r="A120" t="s">
        <v>210</v>
      </c>
      <c r="B120" s="32" t="s">
        <v>211</v>
      </c>
      <c r="C120" s="95">
        <f>('DOE25'!L205)+('DOE25'!L223)+('DOE25'!L241)</f>
        <v>1885344.63</v>
      </c>
      <c r="D120" s="24" t="s">
        <v>288</v>
      </c>
      <c r="E120" s="95">
        <f>+('DOE25'!L284)+('DOE25'!L303)+('DOE25'!L322)</f>
        <v>0</v>
      </c>
      <c r="F120" s="24" t="s">
        <v>288</v>
      </c>
      <c r="G120" s="24" t="s">
        <v>288</v>
      </c>
      <c r="H120" s="124">
        <f t="shared" si="7"/>
        <v>1885344.63</v>
      </c>
    </row>
    <row r="121" spans="1:8" x14ac:dyDescent="0.2">
      <c r="A121" t="s">
        <v>212</v>
      </c>
      <c r="B121" s="32" t="s">
        <v>213</v>
      </c>
      <c r="C121" s="95">
        <f>('DOE25'!L206)+('DOE25'!L224)+('DOE25'!L242)</f>
        <v>2821042.74</v>
      </c>
      <c r="D121" s="24" t="s">
        <v>288</v>
      </c>
      <c r="E121" s="95">
        <f>+('DOE25'!L285)+('DOE25'!L304)+('DOE25'!L323)</f>
        <v>0</v>
      </c>
      <c r="F121" s="24" t="s">
        <v>288</v>
      </c>
      <c r="G121" s="24" t="s">
        <v>288</v>
      </c>
      <c r="H121" s="124">
        <f t="shared" si="7"/>
        <v>2821042.74</v>
      </c>
    </row>
    <row r="122" spans="1:8" x14ac:dyDescent="0.2">
      <c r="A122" t="s">
        <v>214</v>
      </c>
      <c r="B122" s="32" t="s">
        <v>215</v>
      </c>
      <c r="C122" s="95">
        <f>('DOE25'!L207)+('DOE25'!L225)+('DOE25'!L243)</f>
        <v>0</v>
      </c>
      <c r="D122" s="24" t="s">
        <v>288</v>
      </c>
      <c r="E122" s="95">
        <f>+('DOE25'!L286)+('DOE25'!L305)+('DOE25'!L324)</f>
        <v>90.69</v>
      </c>
      <c r="F122" s="24" t="s">
        <v>288</v>
      </c>
      <c r="G122" s="24" t="s">
        <v>288</v>
      </c>
      <c r="H122" s="124">
        <f t="shared" si="7"/>
        <v>90.69</v>
      </c>
    </row>
    <row r="123" spans="1:8" x14ac:dyDescent="0.2">
      <c r="A123" t="s">
        <v>216</v>
      </c>
      <c r="B123" s="32" t="s">
        <v>217</v>
      </c>
      <c r="C123" s="95">
        <f>('DOE25'!L208)+('DOE25'!L226)+('DOE25'!L244)</f>
        <v>3660017.93</v>
      </c>
      <c r="D123" s="24" t="s">
        <v>288</v>
      </c>
      <c r="E123" s="95">
        <f>+('DOE25'!L287)+('DOE25'!L306)+('DOE25'!L325)</f>
        <v>1211.18</v>
      </c>
      <c r="F123" s="24" t="s">
        <v>288</v>
      </c>
      <c r="G123" s="24" t="s">
        <v>288</v>
      </c>
      <c r="H123" s="124">
        <f t="shared" si="7"/>
        <v>3661229.1100000003</v>
      </c>
    </row>
    <row r="124" spans="1:8" x14ac:dyDescent="0.2">
      <c r="A124" t="s">
        <v>218</v>
      </c>
      <c r="B124" s="32" t="s">
        <v>219</v>
      </c>
      <c r="C124" s="95">
        <f>('DOE25'!L209)+('DOE25'!L227)+('DOE25'!L245+'DOE25'!L255)</f>
        <v>1824522.94</v>
      </c>
      <c r="D124" s="24" t="s">
        <v>288</v>
      </c>
      <c r="E124" s="95">
        <f>+('DOE25'!L288)+('DOE25'!L307)+('DOE25'!L326)</f>
        <v>2196.96</v>
      </c>
      <c r="F124" s="24" t="s">
        <v>288</v>
      </c>
      <c r="G124" s="24" t="s">
        <v>288</v>
      </c>
      <c r="H124" s="124">
        <f t="shared" si="7"/>
        <v>1826719.9</v>
      </c>
    </row>
    <row r="125" spans="1:8" x14ac:dyDescent="0.2">
      <c r="A125" t="s">
        <v>220</v>
      </c>
      <c r="B125" s="32" t="s">
        <v>221</v>
      </c>
      <c r="C125" s="95">
        <f>('DOE25'!L210)+('DOE25'!L228)+('DOE25'!L246)</f>
        <v>4774</v>
      </c>
      <c r="D125" s="24" t="s">
        <v>288</v>
      </c>
      <c r="E125" s="95">
        <f>+('DOE25'!L289)+('DOE25'!L308)+('DOE25'!L327)</f>
        <v>0</v>
      </c>
      <c r="F125" s="24" t="s">
        <v>288</v>
      </c>
      <c r="G125" s="24" t="s">
        <v>288</v>
      </c>
      <c r="H125" s="124">
        <f t="shared" si="7"/>
        <v>4774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1283583.04</v>
      </c>
      <c r="E127" s="24" t="s">
        <v>288</v>
      </c>
      <c r="F127" s="24" t="s">
        <v>288</v>
      </c>
      <c r="G127" s="24" t="s">
        <v>288</v>
      </c>
      <c r="H127" s="124">
        <f t="shared" si="7"/>
        <v>1283583.04</v>
      </c>
    </row>
    <row r="128" spans="1:8" ht="12.75" thickTop="1" thickBot="1" x14ac:dyDescent="0.25">
      <c r="A128" s="33" t="s">
        <v>226</v>
      </c>
      <c r="C128" s="86">
        <f>SUM(C118:C127)</f>
        <v>13857391.77</v>
      </c>
      <c r="D128" s="86">
        <f>SUM(D118:D127)</f>
        <v>1283583.04</v>
      </c>
      <c r="E128" s="86">
        <f>SUM(E118:E127)</f>
        <v>304010.40000000002</v>
      </c>
      <c r="F128" s="86">
        <f>SUM(F118:F127)</f>
        <v>0</v>
      </c>
      <c r="G128" s="86">
        <f>SUM(G118:G127)</f>
        <v>0</v>
      </c>
      <c r="H128" s="86">
        <f t="shared" si="7"/>
        <v>15444985.209999999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161</v>
      </c>
      <c r="D130" s="24" t="s">
        <v>288</v>
      </c>
      <c r="E130" s="129">
        <f>'DOE25'!L337</f>
        <v>363809.2</v>
      </c>
      <c r="F130" s="129">
        <f>SUM('DOE25'!L375:'DOE25'!L381)</f>
        <v>162634</v>
      </c>
      <c r="G130" s="24" t="s">
        <v>288</v>
      </c>
      <c r="H130" s="124">
        <f t="shared" si="7"/>
        <v>526604.19999999995</v>
      </c>
    </row>
    <row r="131" spans="1:8" x14ac:dyDescent="0.2">
      <c r="A131" t="s">
        <v>229</v>
      </c>
      <c r="B131" s="32">
        <v>5110</v>
      </c>
      <c r="C131" s="95">
        <f>'DOE25'!L261</f>
        <v>555000</v>
      </c>
      <c r="D131" s="24" t="s">
        <v>288</v>
      </c>
      <c r="E131" s="129">
        <f>'DOE25'!L342</f>
        <v>1602.32</v>
      </c>
      <c r="F131" s="24" t="s">
        <v>288</v>
      </c>
      <c r="G131" s="24" t="s">
        <v>288</v>
      </c>
      <c r="H131" s="124">
        <f t="shared" si="7"/>
        <v>556602.31999999995</v>
      </c>
    </row>
    <row r="132" spans="1:8" x14ac:dyDescent="0.2">
      <c r="A132" t="s">
        <v>230</v>
      </c>
      <c r="B132" s="32">
        <v>5120</v>
      </c>
      <c r="C132" s="95">
        <f>'DOE25'!L262</f>
        <v>12487.5</v>
      </c>
      <c r="D132" s="24" t="s">
        <v>288</v>
      </c>
      <c r="E132" s="129">
        <f>'DOE25'!L343</f>
        <v>15.67</v>
      </c>
      <c r="F132" s="24" t="s">
        <v>288</v>
      </c>
      <c r="G132" s="24" t="s">
        <v>288</v>
      </c>
      <c r="H132" s="124">
        <f t="shared" si="7"/>
        <v>12503.17</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162025</v>
      </c>
      <c r="H134" s="124">
        <f t="shared" si="7"/>
        <v>162025</v>
      </c>
    </row>
    <row r="135" spans="1:8" x14ac:dyDescent="0.2">
      <c r="A135" t="s">
        <v>233</v>
      </c>
      <c r="B135" s="32" t="s">
        <v>234</v>
      </c>
      <c r="C135" s="95">
        <f>'DOE25'!L264</f>
        <v>64.599999999999994</v>
      </c>
      <c r="D135" s="24" t="s">
        <v>288</v>
      </c>
      <c r="E135" s="129">
        <f>'DOE25'!L346</f>
        <v>0</v>
      </c>
      <c r="F135" s="24" t="s">
        <v>288</v>
      </c>
      <c r="G135" s="24" t="s">
        <v>288</v>
      </c>
      <c r="H135" s="124">
        <f t="shared" si="7"/>
        <v>64.599999999999994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200857.58</v>
      </c>
      <c r="D138" s="24" t="s">
        <v>288</v>
      </c>
      <c r="E138" s="24" t="s">
        <v>288</v>
      </c>
      <c r="F138" s="24" t="s">
        <v>288</v>
      </c>
      <c r="G138" s="24" t="s">
        <v>288</v>
      </c>
      <c r="H138" s="124">
        <f t="shared" si="7"/>
        <v>200857.58</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764.33</v>
      </c>
      <c r="D140" s="24" t="s">
        <v>288</v>
      </c>
      <c r="E140" s="24" t="s">
        <v>288</v>
      </c>
      <c r="F140" s="24" t="s">
        <v>288</v>
      </c>
      <c r="G140" s="24" t="s">
        <v>288</v>
      </c>
      <c r="H140" s="124">
        <f t="shared" si="7"/>
        <v>764.33</v>
      </c>
    </row>
    <row r="141" spans="1:8" x14ac:dyDescent="0.2">
      <c r="A141" t="s">
        <v>762</v>
      </c>
      <c r="B141" s="32">
        <v>5254</v>
      </c>
      <c r="C141" s="95">
        <f>('DOE25'!L267+'DOE25'!K348) - (C138+C139+C140)</f>
        <v>-1621.9099999999744</v>
      </c>
      <c r="D141" s="24" t="s">
        <v>288</v>
      </c>
      <c r="E141" s="24" t="s">
        <v>288</v>
      </c>
      <c r="F141" s="24" t="s">
        <v>288</v>
      </c>
      <c r="G141" s="24" t="s">
        <v>288</v>
      </c>
      <c r="H141" s="124">
        <f t="shared" si="7"/>
        <v>-1621.9099999999744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767713.09999999986</v>
      </c>
      <c r="D144" s="141">
        <f>SUM(D130:D143)</f>
        <v>0</v>
      </c>
      <c r="E144" s="141">
        <f>SUM(E130:E143)</f>
        <v>365427.19</v>
      </c>
      <c r="F144" s="141">
        <f>SUM(F130:F143)</f>
        <v>162634</v>
      </c>
      <c r="G144" s="141">
        <f>SUM(G130:G143)</f>
        <v>162025</v>
      </c>
      <c r="H144" s="141">
        <f t="shared" si="7"/>
        <v>1457799.2899999998</v>
      </c>
    </row>
    <row r="145" spans="1:9" ht="12.75" thickTop="1" thickBot="1" x14ac:dyDescent="0.25">
      <c r="A145" s="33" t="s">
        <v>244</v>
      </c>
      <c r="C145" s="86">
        <f>(C115+C128+C144)</f>
        <v>43605599.289999999</v>
      </c>
      <c r="D145" s="86">
        <f>(D115+D128+D144)</f>
        <v>1283583.04</v>
      </c>
      <c r="E145" s="86">
        <f>(E115+E128+E144)</f>
        <v>2069607.5</v>
      </c>
      <c r="F145" s="86">
        <f>(F115+F128+F144)</f>
        <v>162634</v>
      </c>
      <c r="G145" s="86">
        <f>(G115+G128+G144)</f>
        <v>162025</v>
      </c>
      <c r="H145" s="86">
        <f t="shared" si="7"/>
        <v>47283448.829999998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Goffstown</v>
      </c>
    </row>
    <row r="3" spans="1:4" x14ac:dyDescent="0.2">
      <c r="B3" s="187" t="s">
        <v>1799</v>
      </c>
    </row>
    <row r="4" spans="1:4" x14ac:dyDescent="0.2">
      <c r="B4" t="s">
        <v>61</v>
      </c>
      <c r="C4" s="178">
        <f>IF('DOE25'!F666+'DOE25'!F671=0,0,ROUND('DOE25'!F673,0))</f>
        <v>16477</v>
      </c>
    </row>
    <row r="5" spans="1:4" x14ac:dyDescent="0.2">
      <c r="B5" t="s">
        <v>700</v>
      </c>
      <c r="C5" s="178">
        <f>IF('DOE25'!G666+'DOE25'!G671=0,0,ROUND('DOE25'!G673,0))</f>
        <v>14787</v>
      </c>
    </row>
    <row r="6" spans="1:4" x14ac:dyDescent="0.2">
      <c r="B6" t="s">
        <v>62</v>
      </c>
      <c r="C6" s="178">
        <f>IF('DOE25'!H666+'DOE25'!H671=0,0,ROUND('DOE25'!H673,0))</f>
        <v>16765</v>
      </c>
    </row>
    <row r="7" spans="1:4" x14ac:dyDescent="0.2">
      <c r="B7" t="s">
        <v>701</v>
      </c>
      <c r="C7" s="178">
        <f>IF('DOE25'!I666+'DOE25'!I671=0,0,ROUND('DOE25'!I673,0))</f>
        <v>16029</v>
      </c>
    </row>
    <row r="9" spans="1:4" x14ac:dyDescent="0.2">
      <c r="A9" s="186" t="s">
        <v>94</v>
      </c>
      <c r="B9" s="187" t="s">
        <v>1800</v>
      </c>
      <c r="C9" s="180" t="s">
        <v>720</v>
      </c>
      <c r="D9" s="180" t="s">
        <v>721</v>
      </c>
    </row>
    <row r="10" spans="1:4" x14ac:dyDescent="0.2">
      <c r="A10">
        <v>1100</v>
      </c>
      <c r="B10" t="s">
        <v>702</v>
      </c>
      <c r="C10" s="178">
        <f>ROUND('DOE25'!L198+'DOE25'!L216+'DOE25'!L234+'DOE25'!L277+'DOE25'!L296+'DOE25'!L315,0)</f>
        <v>19237007</v>
      </c>
      <c r="D10" s="181">
        <f>ROUND((C10/$C$28)*100,1)</f>
        <v>42.1</v>
      </c>
    </row>
    <row r="11" spans="1:4" x14ac:dyDescent="0.2">
      <c r="A11">
        <v>1200</v>
      </c>
      <c r="B11" t="s">
        <v>703</v>
      </c>
      <c r="C11" s="178">
        <f>ROUND('DOE25'!L199+'DOE25'!L217+'DOE25'!L235+'DOE25'!L278+'DOE25'!L297+'DOE25'!L316,0)</f>
        <v>10019492</v>
      </c>
      <c r="D11" s="181">
        <f>ROUND((C11/$C$28)*100,1)</f>
        <v>21.9</v>
      </c>
    </row>
    <row r="12" spans="1:4" x14ac:dyDescent="0.2">
      <c r="A12">
        <v>1300</v>
      </c>
      <c r="B12" t="s">
        <v>704</v>
      </c>
      <c r="C12" s="178">
        <f>ROUND('DOE25'!L200+'DOE25'!L218+'DOE25'!L236+'DOE25'!L279+'DOE25'!L298+'DOE25'!L317,0)</f>
        <v>131662</v>
      </c>
      <c r="D12" s="181">
        <f>ROUND((C12/$C$28)*100,1)</f>
        <v>0.3</v>
      </c>
    </row>
    <row r="13" spans="1:4" x14ac:dyDescent="0.2">
      <c r="A13">
        <v>1400</v>
      </c>
      <c r="B13" t="s">
        <v>705</v>
      </c>
      <c r="C13" s="178">
        <f>ROUND('DOE25'!L201+'DOE25'!L219+'DOE25'!L237+'DOE25'!L280+'DOE25'!L299+'DOE25'!L318,0)</f>
        <v>858356</v>
      </c>
      <c r="D13" s="181">
        <f>ROUND((C13/$C$28)*100,1)</f>
        <v>1.9</v>
      </c>
    </row>
    <row r="14" spans="1:4" x14ac:dyDescent="0.2">
      <c r="D14" s="181"/>
    </row>
    <row r="15" spans="1:4" x14ac:dyDescent="0.2">
      <c r="A15">
        <v>2100</v>
      </c>
      <c r="B15" t="s">
        <v>706</v>
      </c>
      <c r="C15" s="178">
        <f>ROUND('DOE25'!L203+'DOE25'!L221+'DOE25'!L239+'DOE25'!L282+'DOE25'!L301+'DOE25'!L320,0)</f>
        <v>2908507</v>
      </c>
      <c r="D15" s="181">
        <f t="shared" ref="D15:D27" si="0">ROUND((C15/$C$28)*100,1)</f>
        <v>6.4</v>
      </c>
    </row>
    <row r="16" spans="1:4" x14ac:dyDescent="0.2">
      <c r="A16">
        <v>2200</v>
      </c>
      <c r="B16" t="s">
        <v>707</v>
      </c>
      <c r="C16" s="178">
        <f>ROUND('DOE25'!L204+'DOE25'!L222+'DOE25'!L240+'DOE25'!L283+'DOE25'!L302+'DOE25'!L321,0)</f>
        <v>1053694</v>
      </c>
      <c r="D16" s="181">
        <f t="shared" si="0"/>
        <v>2.2999999999999998</v>
      </c>
    </row>
    <row r="17" spans="1:4" x14ac:dyDescent="0.2">
      <c r="A17" s="182" t="s">
        <v>723</v>
      </c>
      <c r="B17" t="s">
        <v>738</v>
      </c>
      <c r="C17" s="178">
        <f>ROUND('DOE25'!L205+'DOE25'!L210+'DOE25'!L223+'DOE25'!L228+'DOE25'!L241+'DOE25'!L246+'DOE25'!L284+'DOE25'!L289+'DOE25'!L303+'DOE25'!L308+'DOE25'!L322+'DOE25'!L327,0)</f>
        <v>1890119</v>
      </c>
      <c r="D17" s="181">
        <f t="shared" si="0"/>
        <v>4.0999999999999996</v>
      </c>
    </row>
    <row r="18" spans="1:4" x14ac:dyDescent="0.2">
      <c r="A18">
        <v>2400</v>
      </c>
      <c r="B18" t="s">
        <v>711</v>
      </c>
      <c r="C18" s="178">
        <f>ROUND('DOE25'!L206+'DOE25'!L224+'DOE25'!L242+'DOE25'!L285+'DOE25'!L304+'DOE25'!L323,0)</f>
        <v>2821043</v>
      </c>
      <c r="D18" s="181">
        <f t="shared" si="0"/>
        <v>6.2</v>
      </c>
    </row>
    <row r="19" spans="1:4" x14ac:dyDescent="0.2">
      <c r="A19">
        <v>2500</v>
      </c>
      <c r="B19" t="s">
        <v>708</v>
      </c>
      <c r="C19" s="178">
        <f>ROUND('DOE25'!L207+'DOE25'!L225+'DOE25'!L243+'DOE25'!L286+'DOE25'!L305+'DOE25'!L324,0)</f>
        <v>91</v>
      </c>
      <c r="D19" s="181">
        <f t="shared" si="0"/>
        <v>0</v>
      </c>
    </row>
    <row r="20" spans="1:4" x14ac:dyDescent="0.2">
      <c r="A20">
        <v>2600</v>
      </c>
      <c r="B20" t="s">
        <v>709</v>
      </c>
      <c r="C20" s="178">
        <f>ROUND('DOE25'!L208+'DOE25'!L226+'DOE25'!L244+'DOE25'!L287+'DOE25'!L306+'DOE25'!L325,0)</f>
        <v>3661229</v>
      </c>
      <c r="D20" s="181">
        <f t="shared" si="0"/>
        <v>8</v>
      </c>
    </row>
    <row r="21" spans="1:4" x14ac:dyDescent="0.2">
      <c r="A21">
        <v>2700</v>
      </c>
      <c r="B21" t="s">
        <v>710</v>
      </c>
      <c r="C21" s="178">
        <f>ROUND('DOE25'!L209+'DOE25'!L227+'DOE25'!L245+'DOE25'!L288+'DOE25'!L307+'DOE25'!L326,0)</f>
        <v>1826720</v>
      </c>
      <c r="D21" s="181">
        <f t="shared" si="0"/>
        <v>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134148</v>
      </c>
      <c r="D24" s="181">
        <f t="shared" si="0"/>
        <v>0.3</v>
      </c>
    </row>
    <row r="25" spans="1:4" x14ac:dyDescent="0.2">
      <c r="A25">
        <v>5120</v>
      </c>
      <c r="B25" t="s">
        <v>716</v>
      </c>
      <c r="C25" s="178">
        <f>ROUND('DOE25'!L262+'DOE25'!L343,0)</f>
        <v>12503</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1166830.6100000001</v>
      </c>
      <c r="D27" s="181">
        <f t="shared" si="0"/>
        <v>2.6</v>
      </c>
    </row>
    <row r="28" spans="1:4" x14ac:dyDescent="0.2">
      <c r="B28" s="186" t="s">
        <v>719</v>
      </c>
      <c r="C28" s="179">
        <f>SUM(C10:C27)</f>
        <v>45721401.609999999</v>
      </c>
      <c r="D28" s="183">
        <f>ROUND(SUM(D10:D27),0)</f>
        <v>100</v>
      </c>
    </row>
    <row r="29" spans="1:4" x14ac:dyDescent="0.2">
      <c r="A29">
        <v>4000</v>
      </c>
      <c r="B29" t="s">
        <v>724</v>
      </c>
      <c r="C29" s="178">
        <f>ROUND('DOE25'!L256+'DOE25'!L337+'DOE25'!L375+'DOE25'!L376+'DOE25'!L377+'DOE25'!L378+'DOE25'!L379+'DOE25'!L380+'DOE25'!L381,0)</f>
        <v>526604</v>
      </c>
    </row>
    <row r="30" spans="1:4" x14ac:dyDescent="0.2">
      <c r="B30" s="186" t="s">
        <v>725</v>
      </c>
      <c r="C30" s="179">
        <f>SUM(C28:C29)</f>
        <v>46248005.609999999</v>
      </c>
    </row>
    <row r="31" spans="1:4" x14ac:dyDescent="0.2">
      <c r="B31" s="33"/>
      <c r="C31" s="179"/>
    </row>
    <row r="32" spans="1:4" x14ac:dyDescent="0.2">
      <c r="A32">
        <v>5100</v>
      </c>
      <c r="B32" s="33" t="s">
        <v>726</v>
      </c>
      <c r="C32" s="179">
        <f>ROUND('DOE25'!L261+'DOE25'!L342,0)</f>
        <v>556602</v>
      </c>
    </row>
    <row r="34" spans="1:4" x14ac:dyDescent="0.2">
      <c r="A34" s="186" t="s">
        <v>94</v>
      </c>
      <c r="B34" s="187" t="s">
        <v>1801</v>
      </c>
      <c r="C34" s="180" t="s">
        <v>720</v>
      </c>
      <c r="D34" s="180" t="s">
        <v>721</v>
      </c>
    </row>
    <row r="35" spans="1:4" x14ac:dyDescent="0.2">
      <c r="A35">
        <v>1100</v>
      </c>
      <c r="B35" s="184" t="s">
        <v>727</v>
      </c>
      <c r="C35" s="178">
        <f>ROUND('DOE25'!F60+'DOE25'!G60+'DOE25'!H60+'DOE25'!I60+'DOE25'!J60,0)</f>
        <v>23272991</v>
      </c>
      <c r="D35" s="181">
        <f t="shared" ref="D35:D40" si="1">ROUND((C35/$C$41)*100,1)</f>
        <v>49.7</v>
      </c>
    </row>
    <row r="36" spans="1:4" x14ac:dyDescent="0.2">
      <c r="B36" s="184" t="s">
        <v>739</v>
      </c>
      <c r="C36" s="178">
        <f>SUM('DOE25'!F112:J112)-SUM('DOE25'!G97:G110)+('DOE25'!F175+'DOE25'!F176+'DOE25'!I175+'DOE25'!I176)-C35</f>
        <v>8094315.9600000009</v>
      </c>
      <c r="D36" s="181">
        <f t="shared" si="1"/>
        <v>17.3</v>
      </c>
    </row>
    <row r="37" spans="1:4" x14ac:dyDescent="0.2">
      <c r="A37" s="182" t="s">
        <v>835</v>
      </c>
      <c r="B37" s="184" t="s">
        <v>728</v>
      </c>
      <c r="C37" s="178">
        <f>ROUND('DOE25'!F117+'DOE25'!F118,0)</f>
        <v>11191012</v>
      </c>
      <c r="D37" s="181">
        <f t="shared" si="1"/>
        <v>23.9</v>
      </c>
    </row>
    <row r="38" spans="1:4" x14ac:dyDescent="0.2">
      <c r="A38" s="182" t="s">
        <v>734</v>
      </c>
      <c r="B38" s="184" t="s">
        <v>729</v>
      </c>
      <c r="C38" s="178">
        <f>ROUND(SUM('DOE25'!F140:J140)-SUM('DOE25'!F117:F119),0)</f>
        <v>836264</v>
      </c>
      <c r="D38" s="181">
        <f t="shared" si="1"/>
        <v>1.8</v>
      </c>
    </row>
    <row r="39" spans="1:4" x14ac:dyDescent="0.2">
      <c r="A39">
        <v>4000</v>
      </c>
      <c r="B39" s="184" t="s">
        <v>730</v>
      </c>
      <c r="C39" s="178">
        <f>ROUND('DOE25'!F170+'DOE25'!G170+'DOE25'!H170+'DOE25'!I170,0)</f>
        <v>3473113</v>
      </c>
      <c r="D39" s="181">
        <f t="shared" si="1"/>
        <v>7.4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46867695.960000001</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Goffstown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v>1</v>
      </c>
      <c r="B4" s="218">
        <v>33</v>
      </c>
      <c r="C4" s="388" t="s">
        <v>1803</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48</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99</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171</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f>IF('School Level Expenditures'!$B$2=A20,'School Tables'!H20,"")</f>
        <v>17</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f>IF('School Level Expenditures'!$B$2='School Tables'!W27,'School Tables'!AD27,"")</f>
        <v>24</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f>IF('School Level Expenditures'!$B$2='School Tables'!L51,'School Tables'!S51,"")</f>
        <v>48</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f>IF('School Level Expenditures'!$B$2=A102,'School Tables'!H102,"")</f>
        <v>99</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f>IF('School Level Expenditures'!$B$2=A174,'School Tables'!H174,"")</f>
        <v>171</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2022-08-27T19:07:43Z</cp:lastPrinted>
  <dcterms:created xsi:type="dcterms:W3CDTF">1997-12-04T19:04:30Z</dcterms:created>
  <dcterms:modified xsi:type="dcterms:W3CDTF">2022-12-19T15:23:23Z</dcterms:modified>
</cp:coreProperties>
</file>