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EA559F8-9795-4EAE-9164-E043BD22EB5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51" i="1" l="1"/>
  <c r="F460" i="1"/>
  <c r="H401" i="1"/>
  <c r="H389" i="1"/>
  <c r="J180" i="1"/>
  <c r="E9" i="17" l="1"/>
  <c r="H605" i="1"/>
  <c r="H592" i="1" l="1"/>
  <c r="F473" i="1"/>
  <c r="F12" i="1"/>
  <c r="F209" i="1"/>
  <c r="G158" i="1" l="1"/>
  <c r="G132" i="1"/>
  <c r="G97" i="1"/>
  <c r="F24" i="1" l="1"/>
  <c r="H256" i="1"/>
  <c r="H203" i="1"/>
  <c r="G203" i="1"/>
  <c r="F203" i="1"/>
  <c r="I199" i="1"/>
  <c r="H199" i="1"/>
  <c r="G199" i="1"/>
  <c r="F19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H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F85" i="2"/>
  <c r="C87" i="2"/>
  <c r="E87" i="2"/>
  <c r="F87" i="2"/>
  <c r="C89" i="2"/>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G477" i="1" l="1"/>
  <c r="H28" i="2"/>
  <c r="H25" i="2"/>
  <c r="H137" i="2"/>
  <c r="H125" i="2"/>
  <c r="H102" i="2"/>
  <c r="H101" i="2"/>
  <c r="H100" i="2"/>
  <c r="H99" i="2"/>
  <c r="H98" i="2"/>
  <c r="H79" i="2"/>
  <c r="H76" i="2"/>
  <c r="H73" i="2"/>
  <c r="H58" i="2"/>
  <c r="H36" i="2"/>
  <c r="H16" i="2"/>
  <c r="H15" i="2"/>
  <c r="H113" i="2"/>
  <c r="H132" i="2"/>
  <c r="H42" i="2"/>
  <c r="H43" i="2"/>
  <c r="H44" i="2"/>
  <c r="H48" i="2"/>
  <c r="H94" i="2"/>
  <c r="C85" i="2"/>
  <c r="H69" i="2"/>
  <c r="H30" i="2"/>
  <c r="H27" i="2"/>
  <c r="H24" i="2"/>
  <c r="H17" i="2"/>
  <c r="H120" i="2"/>
  <c r="H97" i="2"/>
  <c r="H89" i="2"/>
  <c r="H87" i="2"/>
  <c r="H29" i="2"/>
  <c r="E121" i="2"/>
  <c r="H38" i="2"/>
  <c r="H9" i="2"/>
  <c r="H11" i="2"/>
  <c r="I409" i="1"/>
  <c r="G409" i="1"/>
  <c r="H646" i="1" s="1"/>
  <c r="J646" i="1" s="1"/>
  <c r="H477" i="1"/>
  <c r="H625" i="1" s="1"/>
  <c r="H61" i="2"/>
  <c r="H22" i="2"/>
  <c r="H112" i="2"/>
  <c r="A40" i="12"/>
  <c r="G662" i="1"/>
  <c r="D78" i="2"/>
  <c r="H77" i="2"/>
  <c r="H23" i="2"/>
  <c r="H21" i="2"/>
  <c r="H13" i="2"/>
  <c r="H12" i="2"/>
  <c r="H8" i="2"/>
  <c r="J652" i="1"/>
  <c r="C12" i="10"/>
  <c r="C110" i="2"/>
  <c r="C121" i="2"/>
  <c r="D6" i="13"/>
  <c r="C6" i="13" s="1"/>
  <c r="C119" i="2"/>
  <c r="D15" i="13"/>
  <c r="C15" i="13"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78" i="2" l="1"/>
  <c r="H121" i="2"/>
  <c r="F194" i="1"/>
  <c r="E115" i="2"/>
  <c r="E145" i="2" s="1"/>
  <c r="H123" i="2"/>
  <c r="H114" i="2"/>
  <c r="L572" i="1"/>
  <c r="H85" i="2"/>
  <c r="H31" i="2"/>
  <c r="G144" i="2"/>
  <c r="G145" i="2" s="1"/>
  <c r="H134" i="2"/>
  <c r="H91" i="2"/>
  <c r="H57" i="2"/>
  <c r="E51" i="2"/>
  <c r="H118" i="2"/>
  <c r="G24" i="14"/>
  <c r="H24" i="14" s="1"/>
  <c r="I24" i="14" s="1"/>
  <c r="H119" i="2"/>
  <c r="E128" i="2"/>
  <c r="H110" i="2"/>
  <c r="H109" i="2"/>
  <c r="H103" i="2"/>
  <c r="D128" i="2"/>
  <c r="D145" i="2" s="1"/>
  <c r="H127" i="2"/>
  <c r="H62" i="2"/>
  <c r="H50" i="2"/>
  <c r="D51" i="2"/>
  <c r="H18" i="2"/>
  <c r="C81" i="2"/>
  <c r="H81" i="2" s="1"/>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128" i="2"/>
  <c r="H673" i="1"/>
  <c r="C6" i="10" s="1"/>
  <c r="C104" i="2"/>
  <c r="H104" i="2" s="1"/>
  <c r="H63"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<sst xmlns="http://schemas.openxmlformats.org/spreadsheetml/2006/main" count="6537" uniqueCount="1809">
  <si>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</si>
  <si>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</si>
  <si>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</si>
  <si>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</si>
  <si>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</si>
  <si>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</si>
  <si>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</si>
  <si>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</si>
  <si>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</si>
  <si>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</si>
  <si>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</si>
  <si>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</si>
  <si>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</si>
  <si>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</si>
  <si>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</si>
  <si>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</si>
  <si>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</si>
  <si>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</si>
  <si>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</si>
  <si>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</si>
  <si>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</si>
  <si>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</si>
  <si>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</si>
  <si>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</si>
  <si>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</si>
  <si>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</si>
  <si>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</si>
  <si>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</si>
  <si>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</si>
  <si>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</si>
  <si>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</si>
  <si>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</si>
  <si>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</si>
  <si>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</si>
  <si>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</si>
  <si>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</si>
  <si>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</si>
  <si>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</si>
  <si>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</si>
  <si>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</si>
  <si>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</si>
  <si>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</si>
  <si>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</si>
  <si>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</si>
  <si>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</si>
  <si>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</si>
  <si>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</si>
  <si>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</si>
  <si>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</si>
  <si>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</si>
  <si>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</si>
  <si>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</si>
  <si>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</si>
  <si>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</si>
  <si>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</si>
  <si>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</si>
  <si>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</si>
  <si>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</si>
  <si>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</si>
  <si>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</si>
  <si>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</si>
  <si>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</si>
  <si>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</si>
  <si>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</si>
  <si>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</si>
  <si>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</si>
  <si>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</si>
  <si>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</si>
  <si>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</si>
  <si>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</si>
  <si>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</si>
  <si>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</si>
  <si>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</si>
  <si>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</si>
  <si>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</si>
  <si>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</si>
  <si>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</si>
  <si>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</si>
  <si>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</si>
  <si>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</si>
  <si>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</si>
  <si>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</si>
  <si>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</si>
  <si>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</si>
  <si>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</si>
  <si>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</si>
  <si>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</si>
  <si>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</si>
  <si>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</si>
  <si>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</si>
  <si>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</si>
  <si>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</si>
  <si>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</si>
  <si>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</si>
  <si>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</si>
  <si>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</si>
  <si>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</si>
  <si>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</si>
  <si>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</si>
  <si>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</si>
  <si>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</si>
  <si>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</si>
  <si>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</si>
  <si>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</si>
  <si>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</si>
  <si>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</si>
  <si>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</si>
  <si>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</si>
  <si>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</si>
  <si>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</si>
  <si>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</si>
  <si>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</si>
  <si>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</si>
  <si>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</si>
  <si>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</si>
  <si>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</si>
  <si>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</si>
  <si>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</si>
  <si>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</si>
  <si>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</si>
  <si>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</si>
  <si>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</si>
  <si>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</si>
  <si>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</si>
  <si>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</si>
  <si>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</si>
  <si>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</si>
  <si>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</si>
  <si>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</si>
  <si>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</si>
  <si>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</si>
  <si>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</si>
  <si>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</si>
  <si>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</si>
  <si>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</si>
  <si>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</si>
  <si>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</si>
  <si>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</si>
  <si>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</si>
  <si>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</si>
  <si>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</si>
  <si>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</si>
  <si>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</si>
  <si>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</si>
  <si>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</si>
  <si>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</si>
  <si>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</si>
  <si>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</si>
  <si>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</si>
  <si>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</si>
  <si>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</si>
  <si>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</si>
  <si>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</si>
  <si>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</si>
  <si>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</si>
  <si>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</si>
  <si>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</si>
  <si>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</si>
  <si>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</si>
  <si>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</si>
  <si>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</si>
  <si>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</si>
  <si>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</si>
  <si>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</si>
  <si>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</si>
  <si>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</si>
  <si>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</si>
  <si>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</si>
  <si>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</si>
  <si>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</si>
  <si>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</si>
  <si>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</si>
  <si>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</si>
  <si>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</si>
  <si>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</si>
  <si>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</si>
  <si>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</si>
  <si>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</si>
  <si>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</si>
  <si>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</si>
  <si>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</si>
  <si>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</si>
  <si>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</si>
  <si>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</si>
  <si>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</si>
  <si>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</si>
  <si>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</si>
  <si>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</si>
  <si>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</si>
  <si>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</si>
  <si>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</si>
  <si>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</si>
  <si>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</si>
  <si>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</si>
  <si>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</si>
  <si>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</si>
  <si>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</si>
  <si>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</si>
  <si>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</si>
  <si>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</si>
  <si>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</si>
  <si>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</si>
  <si>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</si>
  <si>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</si>
  <si>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</si>
  <si>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</si>
  <si>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</si>
  <si>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</si>
  <si>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</si>
  <si>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</si>
  <si>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</si>
  <si>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</si>
  <si>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</si>
  <si>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</si>
  <si>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</si>
  <si>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</si>
  <si>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</si>
  <si>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</si>
  <si>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</si>
  <si>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</si>
  <si>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</si>
  <si>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</si>
  <si>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</si>
  <si>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</si>
  <si>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</si>
  <si>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</si>
  <si>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</si>
  <si>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</si>
  <si>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</si>
  <si>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</si>
  <si>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</si>
  <si>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</si>
  <si>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</si>
  <si>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</si>
  <si>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</si>
  <si>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</si>
  <si>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</si>
  <si>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</si>
  <si>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</si>
  <si>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</si>
  <si>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</si>
  <si>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</si>
  <si>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</si>
  <si>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</si>
  <si>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</si>
  <si>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</si>
  <si>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</si>
  <si>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</si>
  <si>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</si>
  <si>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</si>
  <si>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</si>
  <si>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</si>
  <si>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</si>
  <si>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</si>
  <si>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</si>
  <si>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</si>
  <si>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</si>
  <si>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</si>
  <si>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</si>
  <si>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</si>
  <si>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</si>
  <si>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</si>
  <si>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</si>
  <si>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</si>
  <si>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</si>
  <si>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</si>
  <si>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</si>
  <si>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</si>
  <si>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</si>
  <si>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</si>
  <si>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</si>
  <si>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</si>
  <si>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</si>
  <si>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</si>
  <si>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</si>
  <si>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</si>
  <si>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</si>
  <si>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</si>
  <si>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</si>
  <si>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</si>
  <si>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</si>
  <si>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</si>
  <si>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</si>
  <si>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</si>
  <si>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</si>
  <si>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</si>
  <si>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</si>
  <si>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</si>
  <si>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</si>
  <si>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</si>
  <si>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</si>
  <si>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</si>
  <si>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</si>
  <si>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</si>
  <si>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</si>
  <si>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</si>
  <si>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</si>
  <si>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</si>
  <si>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</si>
  <si>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</si>
  <si>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</si>
  <si>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</si>
  <si>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</si>
  <si>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</si>
  <si>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</si>
  <si>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</si>
  <si>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</si>
  <si>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</si>
  <si>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</si>
  <si>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</si>
  <si>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</si>
  <si>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</si>
  <si>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</si>
  <si>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</si>
  <si>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</si>
  <si>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</si>
  <si>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</si>
  <si>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</si>
  <si>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</si>
  <si>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</si>
  <si>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</si>
  <si>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</si>
  <si>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</si>
  <si>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</si>
  <si>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</si>
  <si>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</si>
  <si>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</si>
  <si>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</si>
  <si>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</si>
  <si>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</si>
  <si>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</si>
  <si>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</si>
  <si>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</si>
  <si>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</si>
  <si>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</si>
  <si>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</si>
  <si>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</si>
  <si>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</si>
  <si>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</si>
  <si>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</si>
  <si>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</si>
  <si>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</si>
  <si>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</si>
  <si>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</si>
  <si>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</si>
  <si>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</si>
  <si>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</si>
  <si>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</si>
  <si>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</si>
  <si>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</si>
  <si>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</si>
  <si>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</si>
  <si>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</si>
  <si>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</si>
  <si>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</si>
  <si>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</si>
  <si>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</si>
  <si>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</si>
  <si>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</si>
  <si>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</si>
  <si>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</si>
  <si>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</si>
  <si>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</si>
  <si>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</si>
  <si>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</si>
  <si>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</si>
  <si>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</si>
  <si>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</si>
  <si>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</si>
  <si>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</si>
  <si>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</si>
  <si>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</si>
  <si>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</si>
  <si>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</si>
  <si>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</si>
  <si>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</si>
  <si>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</si>
  <si>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</si>
  <si>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</si>
  <si>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</si>
  <si>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</si>
  <si>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</si>
  <si>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</si>
  <si>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</si>
  <si>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</si>
  <si>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</si>
  <si>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</si>
  <si>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</si>
  <si>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</si>
  <si>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</si>
  <si>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</si>
  <si>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</si>
  <si>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</si>
  <si>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</si>
  <si>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</si>
  <si>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</si>
  <si>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</si>
  <si>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</si>
  <si>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</si>
  <si>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</si>
  <si>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</si>
  <si>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</si>
  <si>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</si>
  <si>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</si>
  <si>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</si>
  <si>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</si>
  <si>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</si>
  <si>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</si>
  <si>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</si>
  <si>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</si>
  <si>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</si>
  <si>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</si>
  <si>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</si>
  <si>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</si>
  <si>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</si>
  <si>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</si>
  <si>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</si>
  <si>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</si>
  <si>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</si>
  <si>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</si>
  <si>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</si>
  <si>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</si>
  <si>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</si>
  <si>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</si>
  <si>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</si>
  <si>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</si>
  <si>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</si>
  <si>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</si>
  <si>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</si>
  <si>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</si>
  <si>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</si>
  <si>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</si>
  <si>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</si>
  <si>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</si>
  <si>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</si>
  <si>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</si>
  <si>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</si>
  <si>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</si>
  <si>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</si>
  <si>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</si>
  <si>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</si>
  <si>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</si>
  <si>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</si>
  <si>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</si>
  <si>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</si>
  <si>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</si>
  <si>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</si>
  <si>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</si>
  <si>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</si>
  <si>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</si>
  <si>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</si>
  <si>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</si>
  <si>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</si>
  <si>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</si>
  <si>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</si>
  <si>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</si>
  <si>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</si>
  <si>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</si>
  <si>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</si>
  <si>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</si>
  <si>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</si>
  <si>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</si>
  <si>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</si>
  <si>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</si>
  <si>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</si>
  <si>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</si>
  <si>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</si>
  <si>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</si>
  <si>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</si>
  <si>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</si>
  <si>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</si>
  <si>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</si>
  <si>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</si>
  <si>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</si>
  <si>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</si>
  <si>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</si>
  <si>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</si>
  <si>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</si>
  <si>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</si>
  <si>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</si>
  <si>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</si>
  <si>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</si>
  <si>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</si>
  <si>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</si>
  <si>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</si>
  <si>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</si>
  <si>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</si>
  <si>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</si>
  <si>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</si>
  <si>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</si>
  <si>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</si>
  <si>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</si>
  <si>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</si>
  <si>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</si>
  <si>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</si>
  <si>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</si>
  <si>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</si>
  <si>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</si>
  <si>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</si>
  <si>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</si>
  <si>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</si>
  <si>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</si>
  <si>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</si>
  <si>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</si>
  <si>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</si>
  <si>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</si>
  <si>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</si>
  <si>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</si>
  <si>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</si>
  <si>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</si>
  <si>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</si>
  <si>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</si>
  <si>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</si>
  <si>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</si>
  <si>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</si>
  <si>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</si>
  <si>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</si>
  <si>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</si>
  <si>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</si>
  <si>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</si>
  <si>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</si>
  <si>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</si>
  <si>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</si>
  <si>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</si>
  <si>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</si>
  <si>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</si>
  <si>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</si>
  <si>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</si>
  <si>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</si>
  <si>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</si>
  <si>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</si>
  <si>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</si>
  <si>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</si>
  <si>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</si>
  <si>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</si>
  <si>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</si>
  <si>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</si>
  <si>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</si>
  <si>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</si>
  <si>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</si>
  <si>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</si>
  <si>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</si>
  <si>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</si>
  <si>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</si>
  <si>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</si>
  <si>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</si>
  <si>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</si>
  <si>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</si>
  <si>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</si>
  <si>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</si>
  <si>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</si>
  <si>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</si>
  <si>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</si>
  <si>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</si>
  <si>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</si>
  <si>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</si>
  <si>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</si>
  <si>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</si>
  <si>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</si>
  <si>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</si>
  <si>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</si>
  <si>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</si>
  <si>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</si>
  <si>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</si>
  <si>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</si>
  <si>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</si>
  <si>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</si>
  <si>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</si>
  <si>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</si>
  <si>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</si>
  <si>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</si>
  <si>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</si>
  <si>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</si>
  <si>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</si>
  <si>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</si>
  <si>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</si>
  <si>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</si>
  <si>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</si>
  <si>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</si>
  <si>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</si>
  <si>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</si>
  <si>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</si>
  <si>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</si>
  <si>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</si>
  <si>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</si>
  <si>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</si>
  <si>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</si>
  <si>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</si>
  <si>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</si>
  <si>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</si>
  <si>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</si>
  <si>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</si>
  <si>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</si>
  <si>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</si>
  <si>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</si>
  <si>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</si>
  <si>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</si>
  <si>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</si>
  <si>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</si>
  <si>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</si>
  <si>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</si>
  <si>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</si>
  <si>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</si>
  <si>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</si>
  <si>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</si>
  <si>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</si>
  <si>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</si>
  <si>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</si>
  <si>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</si>
  <si>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</si>
  <si>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</si>
  <si>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</si>
  <si>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</si>
  <si>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</si>
  <si>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</si>
  <si>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</si>
  <si>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</si>
  <si>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</si>
  <si>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</si>
  <si>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</si>
  <si>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</si>
  <si>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</si>
  <si>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</si>
  <si>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</si>
  <si>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</si>
  <si>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</si>
  <si>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</si>
  <si>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</si>
  <si>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</si>
  <si>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</si>
  <si>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</si>
  <si>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</si>
  <si>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</si>
  <si>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</si>
  <si>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</si>
  <si>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</si>
  <si>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</si>
  <si>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</si>
  <si>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</si>
  <si>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</si>
  <si>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</si>
  <si>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</si>
  <si>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</si>
  <si>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</si>
  <si>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</si>
  <si>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</si>
  <si>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</si>
  <si>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</si>
  <si>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</si>
  <si>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</si>
  <si>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</si>
  <si>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</si>
  <si>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</si>
  <si>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</si>
  <si>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</si>
  <si>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</si>
  <si>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</si>
  <si>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</si>
  <si>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</si>
  <si>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</si>
  <si>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</si>
  <si>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</si>
  <si>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</si>
  <si>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</si>
  <si>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</si>
  <si>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</si>
  <si>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</si>
  <si>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</si>
  <si>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</si>
  <si>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</si>
  <si>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</si>
  <si>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</si>
  <si>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</si>
  <si>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</si>
  <si>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</si>
  <si>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</si>
  <si>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</si>
  <si>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</si>
  <si>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</si>
  <si>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</si>
  <si>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</si>
  <si>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</si>
  <si>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</si>
  <si>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</si>
  <si>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</si>
  <si>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</si>
  <si>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</si>
  <si>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</si>
  <si>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</si>
  <si>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</si>
  <si>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</si>
  <si>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</si>
  <si>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</si>
  <si>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</si>
  <si>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</si>
  <si>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</si>
  <si>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</si>
  <si>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</si>
  <si>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</si>
  <si>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</si>
  <si>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</si>
  <si>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</si>
  <si>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</si>
  <si>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</si>
  <si>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</si>
  <si>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</si>
  <si>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</si>
  <si>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</si>
  <si>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</si>
  <si>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</si>
  <si>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</si>
  <si>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</si>
  <si>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</si>
  <si>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</si>
  <si>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</si>
  <si>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</si>
  <si>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</si>
  <si>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</si>
  <si>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</si>
  <si>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</si>
  <si>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</si>
  <si>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</si>
  <si>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</si>
  <si>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</si>
  <si>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</si>
  <si>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</si>
  <si>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</si>
  <si>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</si>
  <si>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</si>
  <si>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</si>
  <si>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</si>
  <si>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</si>
  <si>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</si>
  <si>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</si>
  <si>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</si>
  <si>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</si>
  <si>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</si>
  <si>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</si>
  <si>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</si>
  <si>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</si>
  <si>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</si>
  <si>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</si>
  <si>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</si>
  <si>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</si>
  <si>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</si>
  <si>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</si>
  <si>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</si>
  <si>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</si>
  <si>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</si>
  <si>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</si>
  <si>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</si>
  <si>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</si>
  <si>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</si>
  <si>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</si>
  <si>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</si>
  <si>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</si>
  <si>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</si>
  <si>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</si>
  <si>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</si>
  <si>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</si>
  <si>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</si>
  <si>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</si>
  <si>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</si>
  <si>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</si>
  <si>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</si>
  <si>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</si>
  <si>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</si>
  <si>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</si>
  <si>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</si>
  <si>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</si>
  <si>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</si>
  <si>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</si>
  <si>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</si>
  <si>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</si>
  <si>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</si>
  <si>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</si>
  <si>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</si>
  <si>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</si>
  <si>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</si>
  <si>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</si>
  <si>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</si>
  <si>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</si>
  <si>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</si>
  <si>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</si>
  <si>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</si>
  <si>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</si>
  <si>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</si>
  <si>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</si>
  <si>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</si>
  <si>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</si>
  <si>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</si>
  <si>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</si>
  <si>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</si>
  <si>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</si>
  <si>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</si>
  <si>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</si>
  <si>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</si>
  <si>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</si>
  <si>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</si>
  <si>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</si>
  <si>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</si>
  <si>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</si>
  <si>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</si>
  <si>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</si>
  <si>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</si>
  <si>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</si>
  <si>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</si>
  <si>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</si>
  <si>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</si>
  <si>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</si>
  <si>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</si>
  <si>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</si>
  <si>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</si>
  <si>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</si>
  <si>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</si>
  <si>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</si>
  <si>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</si>
  <si>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</si>
  <si>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</si>
  <si>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</si>
  <si>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</si>
  <si>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</si>
  <si>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</si>
  <si>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</si>
  <si>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</si>
  <si>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</si>
  <si>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</si>
  <si>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</si>
  <si>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</si>
  <si>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</si>
  <si>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</si>
  <si>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</si>
  <si>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</si>
  <si>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</si>
  <si>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</si>
  <si>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</si>
  <si>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</si>
  <si>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</si>
  <si>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</si>
  <si>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</si>
  <si>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</si>
  <si>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</si>
  <si>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</si>
  <si>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</si>
  <si>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</si>
  <si>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</si>
  <si>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</si>
  <si>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</si>
  <si>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</si>
  <si>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</si>
  <si>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</si>
  <si>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</si>
  <si>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</si>
  <si>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</si>
  <si>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</si>
  <si>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</si>
  <si>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</si>
  <si>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</si>
  <si>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</si>
  <si>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</si>
  <si>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</si>
  <si>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</si>
  <si>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</si>
  <si>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</si>
  <si>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</si>
  <si>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</si>
  <si>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</si>
  <si>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</si>
  <si>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</si>
  <si>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</si>
  <si>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</si>
  <si>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</si>
  <si>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</si>
  <si>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</si>
  <si>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</si>
  <si>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</si>
  <si>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</si>
  <si>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</si>
  <si>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</si>
  <si>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</si>
  <si>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</si>
  <si>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</si>
  <si>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</si>
  <si>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</si>
  <si>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</si>
  <si>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</si>
  <si>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</si>
  <si>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</si>
  <si>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</si>
  <si>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</si>
  <si>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</si>
  <si>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</si>
  <si>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</si>
  <si>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</si>
  <si>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</si>
  <si>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</si>
  <si>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</si>
  <si>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</si>
  <si>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</si>
  <si>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</si>
  <si>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</si>
  <si>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</si>
  <si>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</si>
  <si>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</si>
  <si>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</si>
  <si>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</si>
  <si>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</si>
  <si>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</si>
  <si>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</si>
  <si>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</si>
  <si>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</si>
  <si>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</si>
  <si>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</si>
  <si>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</si>
  <si>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</si>
  <si>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</si>
  <si>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</si>
  <si>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</si>
  <si>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</si>
  <si>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</si>
  <si>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</si>
  <si>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</si>
  <si>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</si>
  <si>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</si>
  <si>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</si>
  <si>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</si>
  <si>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</si>
  <si>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</si>
  <si>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</si>
  <si>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</si>
  <si>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</si>
  <si>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</si>
  <si>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</si>
  <si>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</si>
  <si>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</si>
  <si>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</si>
  <si>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</si>
  <si>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</si>
  <si>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</si>
  <si>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</si>
  <si>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</si>
  <si>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</si>
  <si>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</si>
  <si>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</si>
  <si>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</si>
  <si>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</si>
  <si>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</si>
  <si>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</si>
  <si>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</si>
  <si>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</si>
  <si>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</si>
  <si>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</si>
  <si>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</si>
  <si>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</si>
  <si>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</si>
  <si>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</si>
  <si>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</si>
  <si>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</si>
  <si>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</si>
  <si>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</si>
  <si>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</si>
  <si>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</si>
  <si>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</si>
  <si>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</si>
  <si>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</si>
  <si>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</si>
  <si>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</si>
  <si>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</si>
  <si>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</si>
  <si>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</si>
  <si>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</si>
  <si>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</si>
  <si>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</si>
  <si>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</si>
  <si>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</si>
  <si>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</si>
  <si>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</si>
  <si>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</si>
  <si>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</si>
  <si>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</si>
  <si>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</si>
  <si>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</si>
  <si>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</si>
  <si>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</si>
  <si>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</si>
  <si>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</si>
  <si>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</si>
  <si>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</si>
  <si>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</si>
  <si>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</si>
  <si>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</si>
  <si>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</si>
  <si>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</si>
  <si>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</si>
  <si>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</si>
  <si>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</si>
  <si>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</si>
  <si>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</si>
  <si>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</si>
  <si>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</si>
  <si>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</si>
  <si>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</si>
  <si>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</si>
  <si>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</si>
  <si>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</si>
  <si>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</si>
  <si>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</si>
  <si>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</si>
  <si>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</si>
  <si>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</si>
  <si>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</si>
  <si>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</si>
  <si>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</si>
  <si>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</si>
  <si>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</si>
  <si>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</si>
  <si>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</si>
  <si>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</si>
  <si>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</si>
  <si>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</si>
  <si>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</si>
  <si>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</si>
  <si>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</si>
  <si>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</si>
  <si>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</si>
  <si>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</si>
  <si>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</si>
  <si>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</si>
  <si>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</si>
  <si>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</si>
  <si>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</si>
  <si>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</si>
  <si>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</si>
  <si>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</si>
  <si>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</si>
  <si>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</si>
  <si>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</si>
  <si>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</si>
  <si>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</si>
  <si>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</si>
  <si>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</si>
  <si>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</si>
  <si>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</si>
  <si>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</si>
  <si>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</si>
  <si>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</si>
  <si>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</si>
  <si>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</si>
  <si>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</si>
  <si>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</si>
  <si>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</si>
  <si>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</si>
  <si>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</si>
  <si>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</si>
  <si>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</si>
  <si>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</si>
  <si>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</si>
  <si>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</si>
  <si>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</si>
  <si>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</si>
  <si>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</si>
  <si>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</si>
  <si>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</si>
  <si>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</si>
  <si>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</si>
  <si>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</si>
  <si>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</si>
  <si>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</si>
  <si>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</si>
  <si>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</si>
  <si>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</si>
  <si>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</si>
  <si>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</si>
  <si>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</si>
  <si>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</si>
  <si>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</si>
  <si>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</si>
  <si>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</si>
  <si>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</si>
  <si>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</si>
  <si>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</si>
  <si>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</si>
  <si>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</si>
  <si>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</si>
  <si>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</si>
  <si>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</si>
  <si>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</si>
  <si>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</si>
  <si>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</si>
  <si>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</si>
  <si>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</si>
  <si>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</si>
  <si>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</si>
  <si>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</si>
  <si>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</si>
  <si>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</si>
  <si>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</si>
  <si>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</si>
  <si>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</si>
  <si>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</si>
  <si>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</si>
  <si>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</si>
  <si>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</si>
  <si>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</si>
  <si>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</si>
  <si>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</si>
  <si>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</si>
  <si>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</si>
  <si>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</si>
  <si>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</si>
  <si>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</si>
  <si>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</si>
  <si>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</si>
  <si>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</si>
  <si>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</si>
  <si>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</si>
  <si>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</si>
  <si>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</si>
  <si>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</si>
  <si>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</si>
  <si>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</si>
  <si>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</si>
  <si>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</si>
  <si>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</si>
  <si>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</si>
  <si>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</si>
  <si>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</si>
  <si>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</si>
  <si>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</si>
  <si>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</si>
  <si>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</si>
  <si>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</si>
  <si>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</si>
  <si>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</si>
  <si>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</si>
  <si>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</si>
  <si>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</si>
  <si>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</si>
  <si>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</si>
  <si>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</si>
  <si>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</si>
  <si>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</si>
  <si>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</si>
  <si>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</si>
  <si>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</si>
  <si>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</si>
  <si>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</si>
  <si>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</si>
  <si>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</si>
  <si>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</si>
  <si>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</si>
  <si>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</si>
  <si>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</si>
  <si>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</si>
  <si>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</si>
  <si>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</si>
  <si>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</si>
  <si>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</si>
  <si>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</si>
  <si>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</si>
  <si>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</si>
  <si>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</si>
  <si>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</si>
  <si>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</si>
  <si>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</si>
  <si>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</si>
  <si>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</si>
  <si>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</si>
  <si>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</si>
  <si>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</si>
  <si>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</si>
  <si>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</si>
  <si>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</si>
  <si>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</si>
  <si>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</si>
  <si>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</si>
  <si>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</si>
  <si>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</si>
  <si>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</si>
  <si>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</si>
  <si>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</si>
  <si>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</si>
  <si>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</si>
  <si>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</si>
  <si>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</si>
  <si>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</si>
  <si>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</si>
  <si>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</si>
  <si>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</si>
  <si>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</si>
  <si>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</si>
  <si>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</si>
  <si>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</si>
  <si>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</si>
  <si>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</si>
  <si>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</si>
  <si>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</si>
  <si>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</si>
  <si>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</si>
  <si>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</si>
  <si>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</si>
  <si>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</si>
  <si>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</si>
  <si>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</si>
  <si>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</si>
  <si>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</si>
  <si>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</si>
  <si>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</si>
  <si>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</si>
  <si>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</si>
  <si>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</si>
  <si>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</si>
  <si>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</si>
  <si>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</si>
  <si>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</si>
  <si>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</si>
  <si>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</si>
  <si>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</si>
  <si>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</si>
  <si>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</si>
  <si>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</si>
  <si>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</si>
  <si>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</si>
  <si>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</si>
  <si>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</si>
  <si>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</si>
  <si>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</si>
  <si>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</si>
  <si>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</si>
  <si>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</si>
  <si>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</si>
  <si>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</si>
  <si>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</si>
  <si>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</si>
  <si>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</si>
  <si>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</si>
  <si>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</si>
  <si>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</si>
  <si>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</si>
  <si>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</si>
  <si>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</si>
  <si>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</si>
  <si>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</si>
  <si>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</si>
  <si>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</si>
  <si>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</si>
  <si>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</si>
  <si>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</si>
  <si>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</si>
  <si>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</si>
  <si>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</si>
  <si>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</si>
  <si>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</si>
  <si>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</si>
  <si>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</si>
  <si>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</si>
  <si>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</si>
  <si>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</si>
  <si>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</si>
  <si>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</si>
  <si>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</si>
  <si>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</si>
  <si>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</si>
  <si>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</si>
  <si>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</si>
  <si>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</si>
  <si>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</si>
  <si>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</si>
  <si>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</si>
  <si>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</si>
  <si>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</si>
  <si>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</si>
  <si>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</si>
  <si>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</si>
  <si>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</si>
  <si>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</si>
  <si>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</si>
  <si>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</si>
  <si>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</si>
  <si>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</si>
  <si>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</si>
  <si>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</si>
  <si>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</si>
  <si>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</si>
  <si>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</si>
  <si>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</si>
  <si>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</si>
  <si>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</si>
  <si>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</si>
  <si>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</si>
  <si>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</si>
  <si>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</si>
  <si>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</si>
  <si>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</si>
  <si>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</si>
  <si>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</si>
  <si>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</si>
  <si>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</si>
  <si>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</si>
  <si>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</si>
  <si>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</si>
  <si>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</si>
  <si>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</si>
  <si>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</si>
  <si>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</si>
  <si>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</si>
  <si>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</si>
  <si>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</si>
  <si>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</si>
  <si>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</si>
  <si>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</si>
  <si>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</si>
  <si>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</si>
  <si>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</si>
  <si>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</si>
  <si>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</si>
  <si>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</si>
  <si>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</si>
  <si>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</si>
  <si>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</si>
  <si>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</si>
  <si>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</si>
  <si>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</si>
  <si>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</si>
  <si>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</si>
  <si>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</si>
  <si>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</si>
  <si>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</si>
  <si>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</si>
  <si>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</si>
  <si>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</si>
  <si>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</si>
  <si>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</si>
  <si>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</si>
  <si>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</si>
  <si>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</si>
  <si>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</si>
  <si>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</si>
  <si>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</si>
  <si>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</si>
  <si>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</si>
  <si>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</si>
  <si>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</si>
  <si>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</si>
  <si>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</si>
  <si>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</si>
  <si>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</si>
  <si>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</si>
  <si>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</si>
  <si>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</si>
  <si>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</si>
  <si>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</si>
  <si>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</si>
  <si>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</si>
  <si>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</si>
  <si>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</si>
  <si>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</si>
  <si>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</si>
  <si>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</si>
  <si>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</si>
  <si>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</si>
  <si>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</si>
  <si>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</si>
  <si>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</si>
  <si>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</si>
  <si>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</si>
  <si>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</si>
  <si>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</si>
  <si>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</si>
  <si>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</si>
  <si>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</si>
  <si>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</si>
  <si>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</si>
  <si>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</si>
  <si>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</si>
  <si>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</si>
  <si>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</si>
  <si>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</si>
  <si>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</si>
  <si>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</si>
  <si>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</si>
  <si>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</si>
  <si>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</si>
  <si>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</si>
  <si>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</si>
  <si>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</si>
  <si>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</si>
  <si>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</si>
  <si>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</si>
  <si>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</si>
  <si>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</si>
  <si>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</si>
  <si>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</si>
  <si>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</si>
  <si>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</si>
  <si>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</si>
  <si>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</si>
  <si>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</si>
  <si>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</si>
  <si>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</si>
  <si>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</si>
  <si>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</si>
  <si>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</si>
  <si>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</si>
  <si>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</si>
  <si>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</si>
  <si>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</si>
  <si>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</si>
  <si>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</si>
  <si>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</si>
  <si>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</si>
  <si>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</si>
  <si>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</si>
  <si>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</si>
  <si>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</si>
  <si>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</si>
  <si>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</si>
  <si>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</si>
  <si>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</si>
  <si>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</si>
  <si>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</si>
  <si>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</si>
  <si>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</si>
  <si>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</si>
  <si>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</si>
  <si>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</si>
  <si>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</si>
  <si>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</si>
  <si>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</si>
  <si>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</si>
  <si>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</si>
  <si>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</si>
  <si>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</si>
  <si>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</si>
  <si>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</si>
  <si>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</si>
  <si>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</si>
  <si>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</si>
  <si>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</si>
  <si>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</si>
  <si>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</si>
  <si>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</si>
  <si>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</si>
  <si>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</si>
  <si>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</si>
  <si>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</si>
  <si>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</si>
  <si>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</si>
  <si>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</si>
  <si>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</si>
  <si>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</si>
  <si>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</si>
  <si>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</si>
  <si>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</si>
  <si>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</si>
  <si>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</si>
  <si>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</si>
  <si>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</si>
  <si>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</si>
  <si>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</si>
  <si>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</si>
  <si>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</si>
  <si>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</si>
  <si>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</si>
  <si>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</si>
  <si>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</si>
  <si>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</si>
  <si>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</si>
  <si>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</si>
  <si>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</si>
  <si>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</si>
  <si>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</si>
  <si>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</si>
  <si>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</si>
  <si>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</si>
  <si>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</si>
  <si>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</si>
  <si>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</si>
  <si>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</si>
  <si>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</si>
  <si>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</si>
  <si>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</si>
  <si>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</si>
  <si>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</si>
  <si>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</si>
  <si>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</si>
  <si>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</si>
  <si>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</si>
  <si>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</si>
  <si>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</si>
  <si>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</si>
  <si>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</si>
  <si>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</si>
  <si>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</si>
  <si>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</si>
  <si>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</si>
  <si>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</si>
  <si>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</si>
  <si>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</si>
  <si>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</si>
  <si>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</si>
  <si>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</si>
  <si>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</si>
  <si>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</si>
  <si>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</si>
  <si>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</si>
  <si>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</si>
  <si>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</si>
  <si>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</si>
  <si>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</si>
  <si>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</si>
  <si>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</si>
  <si>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</si>
  <si>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</si>
  <si>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</si>
  <si>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</si>
  <si>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</si>
  <si>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</si>
  <si>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</si>
  <si>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</si>
  <si>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</si>
  <si>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</si>
  <si>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</si>
  <si>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</si>
  <si>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</si>
  <si>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</si>
  <si>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</si>
  <si>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</si>
  <si>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</si>
  <si>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</si>
  <si>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</si>
  <si>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</si>
  <si>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</si>
  <si>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</si>
  <si>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</si>
  <si>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</si>
  <si>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</si>
  <si>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</si>
  <si>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</si>
  <si>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</si>
  <si>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</si>
  <si>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</si>
  <si>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</si>
  <si>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</si>
  <si>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</si>
  <si>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</si>
  <si>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</si>
  <si>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</si>
  <si>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</si>
  <si>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</si>
  <si>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</si>
  <si>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</si>
  <si>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</si>
  <si>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</si>
  <si>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</si>
  <si>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</si>
  <si>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</si>
  <si>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</si>
  <si>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</si>
  <si>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</si>
  <si>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</si>
  <si>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</si>
  <si>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</si>
  <si>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</si>
  <si>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</si>
  <si>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</si>
  <si>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</si>
  <si>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</si>
  <si>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</si>
  <si>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</si>
  <si>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</si>
  <si>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</si>
  <si>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</si>
  <si>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</si>
  <si>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</si>
  <si>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</si>
  <si>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</si>
  <si>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</si>
  <si>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</si>
  <si>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</si>
  <si>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</si>
  <si>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</si>
  <si>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</si>
  <si>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</si>
  <si>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</si>
  <si>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</si>
  <si>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</si>
  <si>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</si>
  <si>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</si>
  <si>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</si>
  <si>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</si>
  <si>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</si>
  <si>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</si>
  <si>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</si>
  <si>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</si>
  <si>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</si>
  <si>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</si>
  <si>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</si>
  <si>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</si>
  <si>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</si>
  <si>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</si>
  <si>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</si>
  <si>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</si>
  <si>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</si>
  <si>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</si>
  <si>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</si>
  <si>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</si>
  <si>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</si>
  <si>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</si>
  <si>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</si>
  <si>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</si>
  <si>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</si>
  <si>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</si>
  <si>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</si>
  <si>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</si>
  <si>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</si>
  <si>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</si>
  <si>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</si>
  <si>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</si>
  <si>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</si>
  <si>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</si>
  <si>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</si>
  <si>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</si>
  <si>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</si>
  <si>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</si>
  <si>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</si>
  <si>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</si>
  <si>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</si>
  <si>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</si>
  <si>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</si>
  <si>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</si>
  <si>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</si>
  <si>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</si>
  <si>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</si>
  <si>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</si>
  <si>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</si>
  <si>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</si>
  <si>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</si>
  <si>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</si>
  <si>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</si>
  <si>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</si>
  <si>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</si>
  <si>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</si>
  <si>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</si>
  <si>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</si>
  <si>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</si>
  <si>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</si>
  <si>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</si>
  <si>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</si>
  <si>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</si>
  <si>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</si>
  <si>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</si>
  <si>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</si>
  <si>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</si>
  <si>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</si>
  <si>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</si>
  <si>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</si>
  <si>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</si>
  <si>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</si>
  <si>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</si>
  <si>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</si>
  <si>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</si>
  <si>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</si>
  <si>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</si>
  <si>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</si>
  <si>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</si>
  <si>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</si>
  <si>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</si>
  <si>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</si>
  <si>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</si>
  <si>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</si>
  <si>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</si>
  <si>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</si>
  <si>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</si>
  <si>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</si>
  <si>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</si>
  <si>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</si>
  <si>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</si>
  <si>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</si>
  <si>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</si>
  <si>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</si>
  <si>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</si>
  <si>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</si>
  <si>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</si>
  <si>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</si>
  <si>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</si>
  <si>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</si>
  <si>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</si>
  <si>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</si>
  <si>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</si>
  <si>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</si>
  <si>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</si>
  <si>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</si>
  <si>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</si>
  <si>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</si>
  <si>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</si>
  <si>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</si>
  <si>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</si>
  <si>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</si>
  <si>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</si>
  <si>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</si>
  <si>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</si>
  <si>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</si>
  <si>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</si>
  <si>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</si>
  <si>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</si>
  <si>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</si>
  <si>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</si>
  <si>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</si>
  <si>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</si>
  <si>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</si>
  <si>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</si>
  <si>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</si>
  <si>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</si>
  <si>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</si>
  <si>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</si>
  <si>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</si>
  <si>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</si>
  <si>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</si>
  <si>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</si>
  <si>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</si>
  <si>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</si>
  <si>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</si>
  <si>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</si>
  <si>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</si>
  <si>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</si>
  <si>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</si>
  <si>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</si>
  <si>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</si>
  <si>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</si>
  <si>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</si>
  <si>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</si>
  <si>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</si>
  <si>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</si>
  <si>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</si>
  <si>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</si>
  <si>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</si>
  <si>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</si>
  <si>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</si>
  <si>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</si>
  <si>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</si>
  <si>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</si>
  <si>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</si>
  <si>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</si>
  <si>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</si>
  <si>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</si>
  <si>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</si>
  <si>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</si>
  <si>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</si>
  <si>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</si>
  <si>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</si>
  <si>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</si>
  <si>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</si>
  <si>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</si>
  <si>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</si>
  <si>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</si>
  <si>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</si>
  <si>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</si>
  <si>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</si>
  <si>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</si>
  <si>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</si>
  <si>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</si>
  <si>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</si>
  <si>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</si>
  <si>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</si>
  <si>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</si>
  <si>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</si>
  <si>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</si>
  <si>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</si>
  <si>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</si>
  <si>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</si>
  <si>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</si>
  <si>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</si>
  <si>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</si>
  <si>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</si>
  <si>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</si>
  <si>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</si>
  <si>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</si>
  <si>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</si>
  <si>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</si>
  <si>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</si>
  <si>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</si>
  <si>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</si>
  <si>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</si>
  <si>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</si>
  <si>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</si>
  <si>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</si>
  <si>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</si>
  <si>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</si>
  <si>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</si>
  <si>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</si>
  <si>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</si>
  <si>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</si>
  <si>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</si>
  <si>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</si>
  <si>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</si>
  <si>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</si>
  <si>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</si>
  <si>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</si>
  <si>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</si>
  <si>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</si>
  <si>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</si>
  <si>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Moved benefits to purchase Services column </t>
  </si>
  <si>
    <t>1-3</t>
  </si>
  <si>
    <t>Added missing benefits in the amount of $272.21 for a total of $590.89</t>
  </si>
  <si>
    <t>21-22</t>
  </si>
  <si>
    <t xml:space="preserve">Seprated residential from tuition </t>
  </si>
  <si>
    <t xml:space="preserve">4 &amp; 9 </t>
  </si>
  <si>
    <t xml:space="preserve">Seprated Charter aide and special education aide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</si>
</sst>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1" fontId="0" fillId="0" borderId="0" xfId="0" quotePrefix="1" applyNumberFormat="1" applyBorder="1" applyAlignment="1" applyProtection="1">
      <alignment horizontal="right"/>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7" zoomScale="120" zoomScaleNormal="12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1068</v>
      </c>
      <c r="B2" s="126">
        <f>INDEX('School Tables'!$AH$3:$AH$208,MATCH('DOE25'!A2,'School Tables'!$AJ$3:$AJ$208,0))</f>
        <v>203</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101571.48</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719617.28</v>
      </c>
      <c r="G10" s="18"/>
      <c r="H10" s="18"/>
      <c r="I10" s="18"/>
      <c r="J10" s="67">
        <f>SUM(I441)</f>
        <v>1021492.45</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71730.63-0.05</f>
        <v>71730.58</v>
      </c>
      <c r="G12" s="18"/>
      <c r="H12" s="18"/>
      <c r="I12" s="18"/>
      <c r="J12" s="67">
        <f>SUM(I442)</f>
        <v>2953.42</v>
      </c>
      <c r="K12" s="24" t="s">
        <v>288</v>
      </c>
      <c r="L12" s="24" t="s">
        <v>288</v>
      </c>
      <c r="M12" s="8"/>
      <c r="N12" s="265"/>
    </row>
    <row r="13" spans="1:14" s="3" customFormat="1" ht="12.2" customHeight="1" x14ac:dyDescent="0.15">
      <c r="A13" s="1" t="s">
        <v>604</v>
      </c>
      <c r="B13" s="2" t="s">
        <v>289</v>
      </c>
      <c r="C13" s="6">
        <v>5</v>
      </c>
      <c r="D13" s="2" t="s">
        <v>428</v>
      </c>
      <c r="E13" s="6">
        <v>140</v>
      </c>
      <c r="F13" s="18">
        <v>60048.54</v>
      </c>
      <c r="G13" s="18">
        <v>74930.679999999993</v>
      </c>
      <c r="H13" s="18">
        <v>170795.89</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3015.01</v>
      </c>
      <c r="G14" s="18">
        <v>20</v>
      </c>
      <c r="H14" s="18">
        <v>2688.4</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955982.89</v>
      </c>
      <c r="G19" s="41">
        <f>SUM(G9:G18)</f>
        <v>74950.679999999993</v>
      </c>
      <c r="H19" s="41">
        <f>SUM(H9:H18)</f>
        <v>173484.29</v>
      </c>
      <c r="I19" s="41">
        <f>SUM(I9:I18)</f>
        <v>0</v>
      </c>
      <c r="J19" s="41">
        <f>SUM(J9:J18)</f>
        <v>1024445.87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3499.23</v>
      </c>
      <c r="H22" s="18">
        <v>71184.77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2275.0700000000002</v>
      </c>
      <c r="G23" s="18"/>
      <c r="H23" s="18">
        <v>3005.69</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13484.96+89126.02</f>
        <v>102610.98000000001</v>
      </c>
      <c r="G24" s="18">
        <v>22667.82</v>
      </c>
      <c r="H24" s="18">
        <v>18322.5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42127.8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80971.33</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147013.85000000003</v>
      </c>
      <c r="G32" s="41">
        <f>SUM(G22:G31)</f>
        <v>26167.05</v>
      </c>
      <c r="H32" s="41">
        <f>SUM(H22:H31)</f>
        <v>173484.29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21049.42</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442.86</v>
      </c>
      <c r="K39" s="24" t="s">
        <v>288</v>
      </c>
      <c r="L39" s="24" t="s">
        <v>288</v>
      </c>
      <c r="M39" s="8"/>
      <c r="N39" s="265"/>
    </row>
    <row r="40" spans="1:14" s="3" customFormat="1" ht="12.2" customHeight="1" x14ac:dyDescent="0.15">
      <c r="A40" s="1" t="s">
        <v>860</v>
      </c>
      <c r="B40" s="6">
        <v>1</v>
      </c>
      <c r="C40" s="6">
        <v>27</v>
      </c>
      <c r="D40" s="2"/>
      <c r="E40" s="6"/>
      <c r="F40" s="24" t="s">
        <v>288</v>
      </c>
      <c r="G40" s="18">
        <v>48783.63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296417.90000000002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1002953.59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512551.14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808969.04</v>
      </c>
      <c r="G51" s="41">
        <f>SUM(G35:G50)</f>
        <v>48783.63</v>
      </c>
      <c r="H51" s="41">
        <f>SUM(H35:H50)</f>
        <v>0</v>
      </c>
      <c r="I51" s="41">
        <f>SUM(I35:I50)</f>
        <v>0</v>
      </c>
      <c r="J51" s="41">
        <f>SUM(J35:J50)</f>
        <v>1024445.87</v>
      </c>
      <c r="K51" s="45" t="s">
        <v>288</v>
      </c>
      <c r="L51" s="45" t="s">
        <v>288</v>
      </c>
      <c r="N51" s="263"/>
    </row>
    <row r="52" spans="1:14" s="3" customFormat="1" ht="12.2" customHeight="1" thickTop="1" x14ac:dyDescent="0.15">
      <c r="A52" s="38" t="s">
        <v>455</v>
      </c>
      <c r="B52" s="39" t="s">
        <v>289</v>
      </c>
      <c r="C52" s="6">
        <v>37</v>
      </c>
      <c r="D52" s="39" t="s">
        <v>653</v>
      </c>
      <c r="E52" s="39"/>
      <c r="F52" s="41">
        <f>F51+F32</f>
        <v>955982.89000000013</v>
      </c>
      <c r="G52" s="41">
        <f>G51+G32</f>
        <v>74950.679999999993</v>
      </c>
      <c r="H52" s="41">
        <f>H51+H32</f>
        <v>173484.29</v>
      </c>
      <c r="I52" s="41">
        <f>I51+I32</f>
        <v>0</v>
      </c>
      <c r="J52" s="41">
        <f>J51+J32</f>
        <v>1024445.87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5336012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5336012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v>1500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168880.15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168880.15</v>
      </c>
      <c r="G79" s="45" t="s">
        <v>288</v>
      </c>
      <c r="H79" s="41">
        <f>SUM(H63:H78)</f>
        <v>1500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2851.46</v>
      </c>
      <c r="G96" s="18"/>
      <c r="H96" s="18"/>
      <c r="I96" s="18"/>
      <c r="J96" s="18">
        <v>2126.6999999999998</v>
      </c>
      <c r="K96" s="24" t="s">
        <v>288</v>
      </c>
      <c r="L96" s="24" t="s">
        <v>288</v>
      </c>
      <c r="M96" s="8"/>
      <c r="N96" s="265"/>
    </row>
    <row r="97" spans="1:14" s="3" customFormat="1" ht="12.2" customHeight="1" x14ac:dyDescent="0.15">
      <c r="A97" s="1" t="s">
        <v>503</v>
      </c>
      <c r="B97" s="2" t="s">
        <v>315</v>
      </c>
      <c r="C97" s="6">
        <v>12</v>
      </c>
      <c r="D97" s="2" t="s">
        <v>430</v>
      </c>
      <c r="E97" s="6">
        <v>1600</v>
      </c>
      <c r="F97" s="24" t="s">
        <v>288</v>
      </c>
      <c r="G97" s="18">
        <f>18414.19+2835</f>
        <v>21249.19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36490.720000000001</v>
      </c>
      <c r="I102" s="18"/>
      <c r="J102" s="18">
        <v>500</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100915.26</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103766.72</v>
      </c>
      <c r="G111" s="41">
        <f>SUM(G96:G110)</f>
        <v>21249.19</v>
      </c>
      <c r="H111" s="41">
        <f>SUM(H96:H110)</f>
        <v>36490.720000000001</v>
      </c>
      <c r="I111" s="41">
        <f>SUM(I96:I110)</f>
        <v>0</v>
      </c>
      <c r="J111" s="41">
        <f>SUM(J96:J110)</f>
        <v>2626.7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5608658.8700000001</v>
      </c>
      <c r="G112" s="41">
        <f>G60+G111</f>
        <v>21249.19</v>
      </c>
      <c r="H112" s="41">
        <f>H60+H79+H94+H111</f>
        <v>37990.720000000001</v>
      </c>
      <c r="I112" s="41">
        <f>I60+I111</f>
        <v>0</v>
      </c>
      <c r="J112" s="41">
        <f>J60+J111</f>
        <v>2626.7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2166806.31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623007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1319.03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2791132.34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362030.8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4445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1038.81+3703.24</f>
        <v>4742.0499999999993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366475.8</v>
      </c>
      <c r="G136" s="41">
        <f>SUM(G123:G135)</f>
        <v>4742.0499999999993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3157608.1399999997</v>
      </c>
      <c r="G140" s="41">
        <f>G121+SUM(G136:G137)</f>
        <v>4742.0499999999993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96839.01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40824.699999999997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273459.96+10719.18</f>
        <v>284179.14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129538.62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168.58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139115.42000000001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168.58</v>
      </c>
      <c r="G163" s="41">
        <f>SUM(G150:G162)</f>
        <v>284179.14</v>
      </c>
      <c r="H163" s="41">
        <f>SUM(H150:H162)</f>
        <v>406317.75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26391.21</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v>16934.849999999999</v>
      </c>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26559.79</v>
      </c>
      <c r="G170" s="41">
        <f>G147+G163+SUM(G164:G169)</f>
        <v>301113.99</v>
      </c>
      <c r="H170" s="41">
        <f>H147+H163+SUM(H164:H169)</f>
        <v>406317.75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f>10000+30661</f>
        <v>40661</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40661</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60000</v>
      </c>
      <c r="G186" s="18"/>
      <c r="H186" s="18"/>
      <c r="I186" s="18">
        <v>26900</v>
      </c>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60000</v>
      </c>
      <c r="G189" s="41">
        <f>SUM(G186:G188)</f>
        <v>0</v>
      </c>
      <c r="H189" s="41">
        <f>SUM(H186:H188)</f>
        <v>0</v>
      </c>
      <c r="I189" s="41">
        <f>SUM(I186:I188)</f>
        <v>26900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60000</v>
      </c>
      <c r="G193" s="41">
        <f>G184+SUM(G189:G192)</f>
        <v>0</v>
      </c>
      <c r="H193" s="41">
        <f>+H184+SUM(H189:H192)</f>
        <v>0</v>
      </c>
      <c r="I193" s="41">
        <f>I178+I184+SUM(I189:I192)</f>
        <v>26900</v>
      </c>
      <c r="J193" s="41">
        <f>J184</f>
        <v>40661</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8852826.7999999989</v>
      </c>
      <c r="G194" s="47">
        <f>G112+G140+G170+G193</f>
        <v>327105.23</v>
      </c>
      <c r="H194" s="47">
        <f>H112+H140+H170+H193</f>
        <v>444308.47</v>
      </c>
      <c r="I194" s="47">
        <f>I112+I140+I170+I193</f>
        <v>26900</v>
      </c>
      <c r="J194" s="47">
        <f>J112+J140+J193</f>
        <v>43287.7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645529.78000000014</v>
      </c>
      <c r="G198" s="18">
        <v>364824.86000000004</v>
      </c>
      <c r="H198" s="18">
        <v>2077.4899999999998</v>
      </c>
      <c r="I198" s="18">
        <v>41428.600000000006</v>
      </c>
      <c r="J198" s="18">
        <v>15787.57</v>
      </c>
      <c r="K198" s="18">
        <v>1310</v>
      </c>
      <c r="L198" s="19">
        <f>SUM(F198:K198)</f>
        <v>1070958.3000000003</v>
      </c>
      <c r="M198" s="8"/>
      <c r="N198" s="265"/>
    </row>
    <row r="199" spans="1:14" s="3" customFormat="1" ht="12.2" customHeight="1" x14ac:dyDescent="0.15">
      <c r="A199" s="1" t="s">
        <v>439</v>
      </c>
      <c r="B199" s="2" t="s">
        <v>341</v>
      </c>
      <c r="C199" s="2" t="s">
        <v>291</v>
      </c>
      <c r="D199" s="2" t="s">
        <v>431</v>
      </c>
      <c r="E199" s="6">
        <v>1200</v>
      </c>
      <c r="F199" s="18">
        <f>319929.95</f>
        <v>319929.95</v>
      </c>
      <c r="G199" s="18">
        <f>192181.69+3.34</f>
        <v>192185.03</v>
      </c>
      <c r="H199" s="18">
        <f>471897.04+5023.89</f>
        <v>476920.93</v>
      </c>
      <c r="I199" s="18">
        <f>3543.37+301.16</f>
        <v>3844.5299999999997</v>
      </c>
      <c r="J199" s="18">
        <v>4421.87</v>
      </c>
      <c r="K199" s="18">
        <v>0</v>
      </c>
      <c r="L199" s="19">
        <f>SUM(F199:K199)</f>
        <v>997302.30999999994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9716.6</v>
      </c>
      <c r="G201" s="18">
        <v>2583.4699999999998</v>
      </c>
      <c r="H201" s="18">
        <v>0</v>
      </c>
      <c r="I201" s="18">
        <v>0</v>
      </c>
      <c r="J201" s="18">
        <v>0</v>
      </c>
      <c r="K201" s="18">
        <v>0</v>
      </c>
      <c r="L201" s="19">
        <f>SUM(F201:K201)</f>
        <v>12300.07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164584.27+15328.64</f>
        <v>179912.90999999997</v>
      </c>
      <c r="G203" s="18">
        <f>96916.19+9862.24</f>
        <v>106778.43000000001</v>
      </c>
      <c r="H203" s="18">
        <f>46916.95+4440.36</f>
        <v>51357.31</v>
      </c>
      <c r="I203" s="18">
        <v>5952.44</v>
      </c>
      <c r="J203" s="18">
        <v>2157.98</v>
      </c>
      <c r="K203" s="18">
        <v>542</v>
      </c>
      <c r="L203" s="19">
        <f t="shared" ref="L203:L209" si="0">SUM(F203:K203)</f>
        <v>346701.06999999995</v>
      </c>
      <c r="M203" s="8"/>
      <c r="N203" s="265"/>
    </row>
    <row r="204" spans="1:14" s="3" customFormat="1" ht="12.2" customHeight="1" x14ac:dyDescent="0.15">
      <c r="A204" s="1" t="s">
        <v>443</v>
      </c>
      <c r="B204" s="2" t="s">
        <v>341</v>
      </c>
      <c r="C204" s="2" t="s">
        <v>295</v>
      </c>
      <c r="D204" s="2" t="s">
        <v>431</v>
      </c>
      <c r="E204" s="6">
        <v>2200</v>
      </c>
      <c r="F204" s="18">
        <v>62008.55</v>
      </c>
      <c r="G204" s="18">
        <v>32241</v>
      </c>
      <c r="H204" s="18">
        <v>8750.369999999999</v>
      </c>
      <c r="I204" s="18">
        <v>9575.59</v>
      </c>
      <c r="J204" s="18">
        <v>4986.34</v>
      </c>
      <c r="K204" s="18">
        <v>55.5</v>
      </c>
      <c r="L204" s="19">
        <f t="shared" si="0"/>
        <v>117617.34999999999</v>
      </c>
      <c r="M204" s="8"/>
      <c r="N204" s="265"/>
    </row>
    <row r="205" spans="1:14" s="3" customFormat="1" ht="12.2" customHeight="1" x14ac:dyDescent="0.15">
      <c r="A205" s="1" t="s">
        <v>444</v>
      </c>
      <c r="B205" s="2" t="s">
        <v>341</v>
      </c>
      <c r="C205" s="2" t="s">
        <v>296</v>
      </c>
      <c r="D205" s="2" t="s">
        <v>431</v>
      </c>
      <c r="E205" s="6">
        <v>2300</v>
      </c>
      <c r="F205" s="18">
        <v>5314.9299210526315</v>
      </c>
      <c r="G205" s="18">
        <v>399.62478947368425</v>
      </c>
      <c r="H205" s="18">
        <v>201368.6110526316</v>
      </c>
      <c r="I205" s="18">
        <v>240.84210526315789</v>
      </c>
      <c r="J205" s="18">
        <v>0</v>
      </c>
      <c r="K205" s="18">
        <v>3227.412157894737</v>
      </c>
      <c r="L205" s="19">
        <f t="shared" si="0"/>
        <v>210551.42002631578</v>
      </c>
      <c r="M205" s="8"/>
      <c r="N205" s="265"/>
    </row>
    <row r="206" spans="1:14" s="3" customFormat="1" ht="12.2" customHeight="1" x14ac:dyDescent="0.15">
      <c r="A206" s="1" t="s">
        <v>445</v>
      </c>
      <c r="B206" s="2" t="s">
        <v>341</v>
      </c>
      <c r="C206" s="2" t="s">
        <v>297</v>
      </c>
      <c r="D206" s="2" t="s">
        <v>431</v>
      </c>
      <c r="E206" s="6">
        <v>2400</v>
      </c>
      <c r="F206" s="18">
        <v>103287.76</v>
      </c>
      <c r="G206" s="18">
        <v>52852.38</v>
      </c>
      <c r="H206" s="18">
        <v>8232.93</v>
      </c>
      <c r="I206" s="18">
        <v>888.12</v>
      </c>
      <c r="J206" s="18">
        <v>0</v>
      </c>
      <c r="K206" s="18">
        <v>3632.85</v>
      </c>
      <c r="L206" s="19">
        <f t="shared" si="0"/>
        <v>168894.03999999998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77869.790000000008</v>
      </c>
      <c r="G208" s="18">
        <v>39514.140000000007</v>
      </c>
      <c r="H208" s="18">
        <v>37345.090000000004</v>
      </c>
      <c r="I208" s="18">
        <v>84818.13</v>
      </c>
      <c r="J208" s="18">
        <v>900.47</v>
      </c>
      <c r="K208" s="18">
        <v>0</v>
      </c>
      <c r="L208" s="19">
        <f t="shared" si="0"/>
        <v>240447.62000000002</v>
      </c>
      <c r="M208" s="8"/>
      <c r="N208" s="265"/>
    </row>
    <row r="209" spans="1:14" s="3" customFormat="1" ht="12.2" customHeight="1" x14ac:dyDescent="0.15">
      <c r="A209" s="1" t="s">
        <v>448</v>
      </c>
      <c r="B209" s="2" t="s">
        <v>341</v>
      </c>
      <c r="C209" s="2" t="s">
        <v>300</v>
      </c>
      <c r="D209" s="2" t="s">
        <v>431</v>
      </c>
      <c r="E209" s="6">
        <v>2700</v>
      </c>
      <c r="F209" s="18">
        <f>30174.29+0.05</f>
        <v>30174.34</v>
      </c>
      <c r="G209" s="18">
        <v>11030.220000000003</v>
      </c>
      <c r="H209" s="18">
        <v>8091.33</v>
      </c>
      <c r="I209" s="18">
        <v>8427.39</v>
      </c>
      <c r="J209" s="18">
        <v>34103.57</v>
      </c>
      <c r="K209" s="18">
        <v>434.85</v>
      </c>
      <c r="L209" s="19">
        <f t="shared" si="0"/>
        <v>92261.700000000012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1433744.6099210531</v>
      </c>
      <c r="G212" s="41">
        <f t="shared" si="1"/>
        <v>802409.15478947375</v>
      </c>
      <c r="H212" s="41">
        <f t="shared" si="1"/>
        <v>794144.06105263159</v>
      </c>
      <c r="I212" s="41">
        <f t="shared" si="1"/>
        <v>155175.64210526319</v>
      </c>
      <c r="J212" s="41">
        <f t="shared" si="1"/>
        <v>62357.8</v>
      </c>
      <c r="K212" s="41">
        <f t="shared" si="1"/>
        <v>9202.6121578947368</v>
      </c>
      <c r="L212" s="41">
        <f t="shared" si="1"/>
        <v>3257033.8800263167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376681.85</v>
      </c>
      <c r="G216" s="18">
        <v>154610.51999999999</v>
      </c>
      <c r="H216" s="18">
        <v>1260.6600000000001</v>
      </c>
      <c r="I216" s="18">
        <v>13884.270000000002</v>
      </c>
      <c r="J216" s="18">
        <v>2265.7399999999998</v>
      </c>
      <c r="K216" s="18">
        <v>4605.7</v>
      </c>
      <c r="L216" s="19">
        <f>SUM(F216:K216)</f>
        <v>553308.74</v>
      </c>
      <c r="M216" s="8"/>
      <c r="N216" s="265"/>
    </row>
    <row r="217" spans="1:14" s="3" customFormat="1" ht="12.2" customHeight="1" x14ac:dyDescent="0.15">
      <c r="A217" s="1" t="s">
        <v>439</v>
      </c>
      <c r="B217" s="2" t="s">
        <v>346</v>
      </c>
      <c r="C217" s="2" t="s">
        <v>291</v>
      </c>
      <c r="D217" s="2" t="s">
        <v>431</v>
      </c>
      <c r="E217" s="6">
        <v>1200</v>
      </c>
      <c r="F217" s="18">
        <v>188147.90000000002</v>
      </c>
      <c r="G217" s="18">
        <v>75893.989999999991</v>
      </c>
      <c r="H217" s="18">
        <v>72771.600000000006</v>
      </c>
      <c r="I217" s="18">
        <v>2492.02</v>
      </c>
      <c r="J217" s="18">
        <v>132.49</v>
      </c>
      <c r="K217" s="18">
        <v>0</v>
      </c>
      <c r="L217" s="19">
        <f>SUM(F217:K217)</f>
        <v>339438</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33330.07</v>
      </c>
      <c r="G219" s="18">
        <v>5926.1</v>
      </c>
      <c r="H219" s="18">
        <v>4445</v>
      </c>
      <c r="I219" s="18">
        <v>1402.77</v>
      </c>
      <c r="J219" s="18">
        <v>0</v>
      </c>
      <c r="K219" s="18">
        <v>200</v>
      </c>
      <c r="L219" s="19">
        <f>SUM(F219:K219)</f>
        <v>45303.939999999995</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122556.89</v>
      </c>
      <c r="G221" s="18">
        <v>78814.259999999995</v>
      </c>
      <c r="H221" s="18">
        <v>865</v>
      </c>
      <c r="I221" s="18">
        <v>5173.0700000000006</v>
      </c>
      <c r="J221" s="18">
        <v>0</v>
      </c>
      <c r="K221" s="18">
        <v>179</v>
      </c>
      <c r="L221" s="19">
        <f t="shared" ref="L221:L227" si="2">SUM(F221:K221)</f>
        <v>207588.22</v>
      </c>
      <c r="M221" s="8"/>
      <c r="N221" s="265"/>
    </row>
    <row r="222" spans="1:14" s="3" customFormat="1" ht="12.2" customHeight="1" x14ac:dyDescent="0.15">
      <c r="A222" s="1" t="s">
        <v>443</v>
      </c>
      <c r="B222" s="2" t="s">
        <v>346</v>
      </c>
      <c r="C222" s="2" t="s">
        <v>295</v>
      </c>
      <c r="D222" s="2" t="s">
        <v>431</v>
      </c>
      <c r="E222" s="6">
        <v>2200</v>
      </c>
      <c r="F222" s="18">
        <v>25100.79</v>
      </c>
      <c r="G222" s="18">
        <v>11545.13</v>
      </c>
      <c r="H222" s="18">
        <v>6084.1900000000005</v>
      </c>
      <c r="I222" s="18">
        <v>5472.77</v>
      </c>
      <c r="J222" s="18">
        <v>5446.63</v>
      </c>
      <c r="K222" s="18">
        <v>0</v>
      </c>
      <c r="L222" s="19">
        <f t="shared" si="2"/>
        <v>53649.51</v>
      </c>
      <c r="M222" s="8"/>
      <c r="N222" s="265"/>
    </row>
    <row r="223" spans="1:14" s="3" customFormat="1" ht="12.2" customHeight="1" x14ac:dyDescent="0.15">
      <c r="A223" s="1" t="s">
        <v>444</v>
      </c>
      <c r="B223" s="2" t="s">
        <v>346</v>
      </c>
      <c r="C223" s="2" t="s">
        <v>296</v>
      </c>
      <c r="D223" s="2" t="s">
        <v>431</v>
      </c>
      <c r="E223" s="6">
        <v>2300</v>
      </c>
      <c r="F223" s="18">
        <v>3493.7301578947367</v>
      </c>
      <c r="G223" s="18">
        <v>262.69042105263156</v>
      </c>
      <c r="H223" s="18">
        <v>132368.17789473684</v>
      </c>
      <c r="I223" s="18">
        <v>158.31578947368422</v>
      </c>
      <c r="J223" s="18">
        <v>0</v>
      </c>
      <c r="K223" s="18">
        <v>2121.5156842105262</v>
      </c>
      <c r="L223" s="19">
        <f t="shared" si="2"/>
        <v>138404.42994736842</v>
      </c>
      <c r="M223" s="8"/>
      <c r="N223" s="265"/>
    </row>
    <row r="224" spans="1:14" s="3" customFormat="1" ht="12.2" customHeight="1" x14ac:dyDescent="0.15">
      <c r="A224" s="1" t="s">
        <v>445</v>
      </c>
      <c r="B224" s="2" t="s">
        <v>346</v>
      </c>
      <c r="C224" s="2" t="s">
        <v>297</v>
      </c>
      <c r="D224" s="2" t="s">
        <v>431</v>
      </c>
      <c r="E224" s="6">
        <v>2400</v>
      </c>
      <c r="F224" s="18">
        <v>72506.679999999993</v>
      </c>
      <c r="G224" s="18">
        <v>36680.61</v>
      </c>
      <c r="H224" s="18">
        <v>5037.29</v>
      </c>
      <c r="I224" s="18">
        <v>1518.91</v>
      </c>
      <c r="J224" s="18">
        <v>1629.4499999999998</v>
      </c>
      <c r="K224" s="18">
        <v>3435.6</v>
      </c>
      <c r="L224" s="19">
        <f t="shared" si="2"/>
        <v>120808.54</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v>47827.08</v>
      </c>
      <c r="G226" s="18">
        <v>24769.5</v>
      </c>
      <c r="H226" s="18">
        <v>20935.3</v>
      </c>
      <c r="I226" s="18">
        <v>55182.86</v>
      </c>
      <c r="J226" s="18">
        <v>397.23</v>
      </c>
      <c r="K226" s="18">
        <v>0</v>
      </c>
      <c r="L226" s="19">
        <f t="shared" si="2"/>
        <v>149111.97</v>
      </c>
      <c r="M226" s="8"/>
      <c r="N226" s="265"/>
    </row>
    <row r="227" spans="1:14" s="3" customFormat="1" ht="12.2" customHeight="1" x14ac:dyDescent="0.15">
      <c r="A227" s="1" t="s">
        <v>448</v>
      </c>
      <c r="B227" s="2" t="s">
        <v>346</v>
      </c>
      <c r="C227" s="2" t="s">
        <v>300</v>
      </c>
      <c r="D227" s="2" t="s">
        <v>431</v>
      </c>
      <c r="E227" s="6">
        <v>2700</v>
      </c>
      <c r="F227" s="18">
        <v>22128.1</v>
      </c>
      <c r="G227" s="18">
        <v>7530.420000000001</v>
      </c>
      <c r="H227" s="18">
        <v>4970.8999999999996</v>
      </c>
      <c r="I227" s="18">
        <v>5690.63</v>
      </c>
      <c r="J227" s="18">
        <v>22389.119999999999</v>
      </c>
      <c r="K227" s="18">
        <v>292</v>
      </c>
      <c r="L227" s="19">
        <f t="shared" si="2"/>
        <v>63001.17</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891773.09015789465</v>
      </c>
      <c r="G230" s="41">
        <f>SUM(G216:G229)</f>
        <v>396033.2204210526</v>
      </c>
      <c r="H230" s="41">
        <f>SUM(H216:H229)</f>
        <v>248738.11789473685</v>
      </c>
      <c r="I230" s="41">
        <f>SUM(I216:I229)</f>
        <v>90975.615789473697</v>
      </c>
      <c r="J230" s="41">
        <f>SUM(J216:J229)</f>
        <v>32260.659999999996</v>
      </c>
      <c r="K230" s="41">
        <f t="shared" si="3"/>
        <v>10833.815684210525</v>
      </c>
      <c r="L230" s="41">
        <f t="shared" si="3"/>
        <v>1670614.5199473682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788674.76</v>
      </c>
      <c r="G234" s="18">
        <v>396681.79000000004</v>
      </c>
      <c r="H234" s="18">
        <v>3065.95</v>
      </c>
      <c r="I234" s="18">
        <v>47756.860000000008</v>
      </c>
      <c r="J234" s="18">
        <v>7387.83</v>
      </c>
      <c r="K234" s="18">
        <v>1104.3499999999999</v>
      </c>
      <c r="L234" s="19">
        <f>SUM(F234:K234)</f>
        <v>1244671.5400000003</v>
      </c>
      <c r="M234" s="8"/>
      <c r="N234" s="265"/>
    </row>
    <row r="235" spans="1:14" s="3" customFormat="1" ht="12.2" customHeight="1" x14ac:dyDescent="0.15">
      <c r="A235" s="1" t="s">
        <v>439</v>
      </c>
      <c r="B235" s="2" t="s">
        <v>350</v>
      </c>
      <c r="C235" s="2" t="s">
        <v>291</v>
      </c>
      <c r="D235" s="2" t="s">
        <v>431</v>
      </c>
      <c r="E235" s="6">
        <v>1200</v>
      </c>
      <c r="F235" s="18">
        <v>255330.72999999995</v>
      </c>
      <c r="G235" s="18">
        <v>120390.32000000002</v>
      </c>
      <c r="H235" s="18">
        <v>395735.05</v>
      </c>
      <c r="I235" s="18">
        <v>2844.92</v>
      </c>
      <c r="J235" s="18">
        <v>132.5</v>
      </c>
      <c r="K235" s="18">
        <v>25</v>
      </c>
      <c r="L235" s="19">
        <f>SUM(F235:K235)</f>
        <v>774458.52</v>
      </c>
      <c r="M235" s="8"/>
      <c r="N235" s="265"/>
    </row>
    <row r="236" spans="1:14" s="3" customFormat="1" ht="12.2" customHeight="1" x14ac:dyDescent="0.15">
      <c r="A236" s="1" t="s">
        <v>440</v>
      </c>
      <c r="B236" s="2" t="s">
        <v>350</v>
      </c>
      <c r="C236" s="2" t="s">
        <v>292</v>
      </c>
      <c r="D236" s="2" t="s">
        <v>431</v>
      </c>
      <c r="E236" s="6">
        <v>1300</v>
      </c>
      <c r="F236" s="18">
        <v>0</v>
      </c>
      <c r="G236" s="18">
        <v>0</v>
      </c>
      <c r="H236" s="18">
        <v>54606.1</v>
      </c>
      <c r="I236" s="18">
        <v>0</v>
      </c>
      <c r="J236" s="18">
        <v>0</v>
      </c>
      <c r="K236" s="18">
        <v>0</v>
      </c>
      <c r="L236" s="19">
        <f>SUM(F236:K236)</f>
        <v>54606.1</v>
      </c>
      <c r="M236" s="8"/>
      <c r="N236" s="265"/>
    </row>
    <row r="237" spans="1:14" s="3" customFormat="1" ht="12.2" customHeight="1" x14ac:dyDescent="0.15">
      <c r="A237" s="1" t="s">
        <v>441</v>
      </c>
      <c r="B237" s="2" t="s">
        <v>350</v>
      </c>
      <c r="C237" s="2" t="s">
        <v>293</v>
      </c>
      <c r="D237" s="2" t="s">
        <v>431</v>
      </c>
      <c r="E237" s="6">
        <v>1400</v>
      </c>
      <c r="F237" s="18">
        <v>73210.340000000011</v>
      </c>
      <c r="G237" s="18">
        <v>14670.600000000002</v>
      </c>
      <c r="H237" s="18">
        <v>14589.56</v>
      </c>
      <c r="I237" s="18">
        <v>9764.59</v>
      </c>
      <c r="J237" s="18">
        <v>361.93</v>
      </c>
      <c r="K237" s="18">
        <v>20410</v>
      </c>
      <c r="L237" s="19">
        <f>SUM(F237:K237)</f>
        <v>133007.02000000002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131728.95999999999</v>
      </c>
      <c r="G239" s="18">
        <v>68435.56</v>
      </c>
      <c r="H239" s="18">
        <v>12321.73</v>
      </c>
      <c r="I239" s="18">
        <v>9271.2699999999986</v>
      </c>
      <c r="J239" s="18">
        <v>122.04</v>
      </c>
      <c r="K239" s="18">
        <v>179</v>
      </c>
      <c r="L239" s="19">
        <f t="shared" ref="L239:L245" si="4">SUM(F239:K239)</f>
        <v>222058.56</v>
      </c>
      <c r="M239" s="8"/>
      <c r="N239" s="265"/>
    </row>
    <row r="240" spans="1:14" s="3" customFormat="1" ht="12.2" customHeight="1" x14ac:dyDescent="0.15">
      <c r="A240" s="1" t="s">
        <v>443</v>
      </c>
      <c r="B240" s="2" t="s">
        <v>350</v>
      </c>
      <c r="C240" s="2" t="s">
        <v>295</v>
      </c>
      <c r="D240" s="2" t="s">
        <v>431</v>
      </c>
      <c r="E240" s="6">
        <v>2200</v>
      </c>
      <c r="F240" s="18">
        <v>35900.409999999996</v>
      </c>
      <c r="G240" s="18">
        <v>15767.999999999998</v>
      </c>
      <c r="H240" s="18">
        <v>8157.25</v>
      </c>
      <c r="I240" s="18">
        <v>5908.59</v>
      </c>
      <c r="J240" s="18">
        <v>5608.5399999999991</v>
      </c>
      <c r="K240" s="18">
        <v>0</v>
      </c>
      <c r="L240" s="19">
        <f t="shared" si="4"/>
        <v>71342.789999999994</v>
      </c>
      <c r="M240" s="8"/>
      <c r="N240" s="265"/>
    </row>
    <row r="241" spans="1:14" s="3" customFormat="1" ht="12.2" customHeight="1" x14ac:dyDescent="0.15">
      <c r="A241" s="1" t="s">
        <v>444</v>
      </c>
      <c r="B241" s="2" t="s">
        <v>350</v>
      </c>
      <c r="C241" s="2" t="s">
        <v>296</v>
      </c>
      <c r="D241" s="2" t="s">
        <v>431</v>
      </c>
      <c r="E241" s="6">
        <v>2300</v>
      </c>
      <c r="F241" s="18">
        <v>5314.9299210526315</v>
      </c>
      <c r="G241" s="18">
        <v>399.62478947368425</v>
      </c>
      <c r="H241" s="18">
        <v>201368.6110526316</v>
      </c>
      <c r="I241" s="18">
        <v>240.84210526315789</v>
      </c>
      <c r="J241" s="18">
        <v>0</v>
      </c>
      <c r="K241" s="18">
        <v>3227.412157894737</v>
      </c>
      <c r="L241" s="19">
        <f t="shared" si="4"/>
        <v>210551.42002631578</v>
      </c>
      <c r="M241" s="8"/>
      <c r="N241" s="265"/>
    </row>
    <row r="242" spans="1:14" s="3" customFormat="1" ht="12.2" customHeight="1" x14ac:dyDescent="0.15">
      <c r="A242" s="1" t="s">
        <v>445</v>
      </c>
      <c r="B242" s="2" t="s">
        <v>350</v>
      </c>
      <c r="C242" s="2" t="s">
        <v>297</v>
      </c>
      <c r="D242" s="2" t="s">
        <v>431</v>
      </c>
      <c r="E242" s="6">
        <v>2400</v>
      </c>
      <c r="F242" s="18">
        <v>107678.73000000001</v>
      </c>
      <c r="G242" s="18">
        <v>55033.560000000005</v>
      </c>
      <c r="H242" s="18">
        <v>5523.1500000000005</v>
      </c>
      <c r="I242" s="18">
        <v>1378.8300000000002</v>
      </c>
      <c r="J242" s="18">
        <v>2085.71</v>
      </c>
      <c r="K242" s="18">
        <v>7219.52</v>
      </c>
      <c r="L242" s="19">
        <f t="shared" si="4"/>
        <v>178919.49999999997</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73447.739999999991</v>
      </c>
      <c r="G244" s="18">
        <v>37367.9</v>
      </c>
      <c r="H244" s="18">
        <v>31704.71</v>
      </c>
      <c r="I244" s="18">
        <v>82786.97</v>
      </c>
      <c r="J244" s="18">
        <v>612.39</v>
      </c>
      <c r="K244" s="18">
        <v>0</v>
      </c>
      <c r="L244" s="19">
        <f t="shared" si="4"/>
        <v>225919.71</v>
      </c>
      <c r="M244" s="8"/>
      <c r="N244" s="265"/>
    </row>
    <row r="245" spans="1:14" s="3" customFormat="1" ht="12.2" customHeight="1" x14ac:dyDescent="0.15">
      <c r="A245" s="1" t="s">
        <v>448</v>
      </c>
      <c r="B245" s="2" t="s">
        <v>350</v>
      </c>
      <c r="C245" s="2" t="s">
        <v>300</v>
      </c>
      <c r="D245" s="2" t="s">
        <v>431</v>
      </c>
      <c r="E245" s="6">
        <v>2700</v>
      </c>
      <c r="F245" s="18">
        <v>49288.81</v>
      </c>
      <c r="G245" s="18">
        <v>14165.860000000002</v>
      </c>
      <c r="H245" s="18">
        <v>7820.09</v>
      </c>
      <c r="I245" s="18">
        <v>14106.939999999999</v>
      </c>
      <c r="J245" s="18">
        <v>33178.31</v>
      </c>
      <c r="K245" s="18">
        <v>388.15</v>
      </c>
      <c r="L245" s="19">
        <f t="shared" si="4"/>
        <v>118948.15999999999</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1520575.4099210526</v>
      </c>
      <c r="G248" s="41">
        <f t="shared" si="5"/>
        <v>722913.2147894738</v>
      </c>
      <c r="H248" s="41">
        <f t="shared" si="5"/>
        <v>734892.20105263148</v>
      </c>
      <c r="I248" s="41">
        <f t="shared" si="5"/>
        <v>174059.81210526318</v>
      </c>
      <c r="J248" s="41">
        <f t="shared" si="5"/>
        <v>49489.25</v>
      </c>
      <c r="K248" s="41">
        <f t="shared" si="5"/>
        <v>32553.432157894738</v>
      </c>
      <c r="L248" s="41">
        <f t="shared" si="5"/>
        <v>3234483.3200263167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10500+24650</f>
        <v>35150</v>
      </c>
      <c r="I256" s="18"/>
      <c r="J256" s="18"/>
      <c r="K256" s="18"/>
      <c r="L256" s="19">
        <f t="shared" si="6"/>
        <v>35150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35150</v>
      </c>
      <c r="I257" s="41">
        <f t="shared" si="7"/>
        <v>0</v>
      </c>
      <c r="J257" s="41">
        <f t="shared" si="7"/>
        <v>0</v>
      </c>
      <c r="K257" s="41">
        <f t="shared" si="7"/>
        <v>0</v>
      </c>
      <c r="L257" s="41">
        <f>SUM(F257:K257)</f>
        <v>35150</v>
      </c>
      <c r="M257" s="8"/>
      <c r="N257" s="265"/>
    </row>
    <row r="258" spans="1:14" s="3" customFormat="1" ht="12.2" customHeight="1" thickTop="1" x14ac:dyDescent="0.15">
      <c r="A258" s="38" t="s">
        <v>462</v>
      </c>
      <c r="B258" s="40">
        <v>10</v>
      </c>
      <c r="C258" s="40">
        <v>8</v>
      </c>
      <c r="D258" s="39" t="s">
        <v>431</v>
      </c>
      <c r="E258" s="40"/>
      <c r="F258" s="41">
        <f t="shared" ref="F258:L258" si="8">F212+F230+F248+F257</f>
        <v>3846093.1100000003</v>
      </c>
      <c r="G258" s="41">
        <f t="shared" si="8"/>
        <v>1921355.5900000003</v>
      </c>
      <c r="H258" s="41">
        <f t="shared" si="8"/>
        <v>1812924.38</v>
      </c>
      <c r="I258" s="41">
        <f t="shared" si="8"/>
        <v>420211.07000000007</v>
      </c>
      <c r="J258" s="41">
        <f t="shared" si="8"/>
        <v>144107.71</v>
      </c>
      <c r="K258" s="41">
        <f t="shared" si="8"/>
        <v>52589.86</v>
      </c>
      <c r="L258" s="41">
        <f t="shared" si="8"/>
        <v>8197281.7200000016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40661</v>
      </c>
      <c r="L267" s="19">
        <f t="shared" si="9"/>
        <v>40661</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6250</v>
      </c>
      <c r="L269" s="19">
        <f t="shared" si="9"/>
        <v>6250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46911</v>
      </c>
      <c r="L271" s="41">
        <f t="shared" si="9"/>
        <v>46911</v>
      </c>
      <c r="M271" s="8"/>
      <c r="N271" s="265"/>
    </row>
    <row r="272" spans="1:14" s="34" customFormat="1" ht="12.2" customHeight="1" thickTop="1" x14ac:dyDescent="0.2">
      <c r="A272" s="43" t="s">
        <v>464</v>
      </c>
      <c r="B272" s="40">
        <v>10</v>
      </c>
      <c r="C272" s="40">
        <v>18</v>
      </c>
      <c r="D272" s="39" t="s">
        <v>431</v>
      </c>
      <c r="E272" s="40"/>
      <c r="F272" s="42">
        <f t="shared" ref="F272:L272" si="11">F258+F271</f>
        <v>3846093.1100000003</v>
      </c>
      <c r="G272" s="42">
        <f t="shared" si="11"/>
        <v>1921355.5900000003</v>
      </c>
      <c r="H272" s="42">
        <f t="shared" si="11"/>
        <v>1812924.38</v>
      </c>
      <c r="I272" s="42">
        <f t="shared" si="11"/>
        <v>420211.07000000007</v>
      </c>
      <c r="J272" s="42">
        <f t="shared" si="11"/>
        <v>144107.71</v>
      </c>
      <c r="K272" s="42">
        <f t="shared" si="11"/>
        <v>99500.86</v>
      </c>
      <c r="L272" s="42">
        <f t="shared" si="11"/>
        <v>8244192.7200000016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73472.259999999995</v>
      </c>
      <c r="G277" s="18">
        <v>29568.7</v>
      </c>
      <c r="H277" s="18">
        <v>4233</v>
      </c>
      <c r="I277" s="18">
        <v>58605.279999999999</v>
      </c>
      <c r="J277" s="18">
        <v>0</v>
      </c>
      <c r="K277" s="18">
        <v>0</v>
      </c>
      <c r="L277" s="19">
        <f>SUM(F277:K277)</f>
        <v>165879.24</v>
      </c>
      <c r="M277" s="8"/>
      <c r="N277" s="265"/>
    </row>
    <row r="278" spans="1:14" s="3" customFormat="1" ht="12.2" customHeight="1" x14ac:dyDescent="0.15">
      <c r="A278" s="1" t="s">
        <v>439</v>
      </c>
      <c r="B278" s="2" t="s">
        <v>357</v>
      </c>
      <c r="C278" s="2" t="s">
        <v>291</v>
      </c>
      <c r="D278" s="2" t="s">
        <v>431</v>
      </c>
      <c r="E278" s="6">
        <v>1200</v>
      </c>
      <c r="F278" s="18">
        <v>0</v>
      </c>
      <c r="G278" s="18">
        <v>0</v>
      </c>
      <c r="H278" s="18">
        <v>4726.55</v>
      </c>
      <c r="I278" s="18">
        <v>0</v>
      </c>
      <c r="J278" s="18">
        <v>5458.2</v>
      </c>
      <c r="K278" s="18">
        <v>0</v>
      </c>
      <c r="L278" s="19">
        <f>SUM(F278:K278)</f>
        <v>10184.75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1460</v>
      </c>
      <c r="G280" s="18">
        <v>418.58000000000004</v>
      </c>
      <c r="H280" s="18">
        <v>0</v>
      </c>
      <c r="I280" s="18">
        <v>0</v>
      </c>
      <c r="J280" s="18">
        <v>0</v>
      </c>
      <c r="K280" s="18">
        <v>4213</v>
      </c>
      <c r="L280" s="19">
        <f>SUM(F280:K280)</f>
        <v>6091.58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54736.75</v>
      </c>
      <c r="I282" s="18">
        <v>0</v>
      </c>
      <c r="J282" s="18">
        <v>0</v>
      </c>
      <c r="K282" s="18">
        <v>0</v>
      </c>
      <c r="L282" s="19">
        <f t="shared" ref="L282:L288" si="12">SUM(F282:K282)</f>
        <v>54736.75</v>
      </c>
      <c r="M282" s="8"/>
      <c r="N282" s="265"/>
    </row>
    <row r="283" spans="1:14" s="3" customFormat="1" ht="12.2" customHeight="1" x14ac:dyDescent="0.15">
      <c r="A283" s="1" t="s">
        <v>443</v>
      </c>
      <c r="B283" s="2" t="s">
        <v>357</v>
      </c>
      <c r="C283" s="2" t="s">
        <v>295</v>
      </c>
      <c r="D283" s="2" t="s">
        <v>431</v>
      </c>
      <c r="E283" s="6">
        <v>2200</v>
      </c>
      <c r="F283" s="18">
        <v>2000</v>
      </c>
      <c r="G283" s="18">
        <v>573.4</v>
      </c>
      <c r="H283" s="18">
        <v>20153.09</v>
      </c>
      <c r="I283" s="18">
        <v>2010.24</v>
      </c>
      <c r="J283" s="18">
        <v>299</v>
      </c>
      <c r="K283" s="18">
        <v>200</v>
      </c>
      <c r="L283" s="19">
        <f t="shared" si="12"/>
        <v>25235.730000000003</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165</v>
      </c>
      <c r="I286" s="18">
        <v>0</v>
      </c>
      <c r="J286" s="18">
        <v>0</v>
      </c>
      <c r="K286" s="18">
        <v>0</v>
      </c>
      <c r="L286" s="19">
        <f t="shared" si="12"/>
        <v>165</v>
      </c>
      <c r="M286" s="8"/>
      <c r="N286" s="265"/>
    </row>
    <row r="287" spans="1:14" s="3" customFormat="1" ht="12.2" customHeight="1" x14ac:dyDescent="0.15">
      <c r="A287" s="1" t="s">
        <v>447</v>
      </c>
      <c r="B287" s="2" t="s">
        <v>357</v>
      </c>
      <c r="C287" s="2" t="s">
        <v>299</v>
      </c>
      <c r="D287" s="2" t="s">
        <v>431</v>
      </c>
      <c r="E287" s="6">
        <v>2600</v>
      </c>
      <c r="F287" s="18"/>
      <c r="G287" s="18"/>
      <c r="H287" s="18">
        <v>2420</v>
      </c>
      <c r="I287" s="18"/>
      <c r="J287" s="18"/>
      <c r="K287" s="18"/>
      <c r="L287" s="19">
        <f t="shared" si="12"/>
        <v>2420</v>
      </c>
      <c r="M287" s="8"/>
      <c r="N287" s="265"/>
    </row>
    <row r="288" spans="1:14" s="3" customFormat="1" ht="12.2" customHeight="1" x14ac:dyDescent="0.15">
      <c r="A288" s="1" t="s">
        <v>448</v>
      </c>
      <c r="B288" s="2" t="s">
        <v>357</v>
      </c>
      <c r="C288" s="2" t="s">
        <v>300</v>
      </c>
      <c r="D288" s="2" t="s">
        <v>431</v>
      </c>
      <c r="E288" s="6">
        <v>2700</v>
      </c>
      <c r="F288" s="18">
        <v>543.23</v>
      </c>
      <c r="G288" s="18">
        <v>49.22</v>
      </c>
      <c r="H288" s="18">
        <v>0</v>
      </c>
      <c r="I288" s="18">
        <v>110.62</v>
      </c>
      <c r="J288" s="18">
        <v>0</v>
      </c>
      <c r="K288" s="18">
        <v>0</v>
      </c>
      <c r="L288" s="19">
        <f t="shared" si="12"/>
        <v>703.07</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77475.489999999991</v>
      </c>
      <c r="G291" s="42">
        <f t="shared" si="13"/>
        <v>30609.900000000005</v>
      </c>
      <c r="H291" s="42">
        <f t="shared" si="13"/>
        <v>86434.39</v>
      </c>
      <c r="I291" s="42">
        <f t="shared" si="13"/>
        <v>60726.14</v>
      </c>
      <c r="J291" s="42">
        <f t="shared" si="13"/>
        <v>5757.2</v>
      </c>
      <c r="K291" s="42">
        <f t="shared" si="13"/>
        <v>4413</v>
      </c>
      <c r="L291" s="41">
        <f t="shared" si="13"/>
        <v>265416.12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6866.77</v>
      </c>
      <c r="K296" s="18">
        <v>0</v>
      </c>
      <c r="L296" s="19">
        <f>SUM(F296:K296)</f>
        <v>6866.77</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389.1</v>
      </c>
      <c r="G299" s="18">
        <v>110.24000000000001</v>
      </c>
      <c r="H299" s="18">
        <v>2640</v>
      </c>
      <c r="I299" s="18">
        <v>997.47</v>
      </c>
      <c r="J299" s="18">
        <v>2796</v>
      </c>
      <c r="K299" s="18">
        <v>0</v>
      </c>
      <c r="L299" s="19">
        <f>SUM(F299:K299)</f>
        <v>6932.81</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14260</v>
      </c>
      <c r="G301" s="18">
        <v>1090.8900000000001</v>
      </c>
      <c r="H301" s="18">
        <v>35464.6</v>
      </c>
      <c r="I301" s="18">
        <v>0</v>
      </c>
      <c r="J301" s="18">
        <v>0</v>
      </c>
      <c r="K301" s="18">
        <v>0</v>
      </c>
      <c r="L301" s="19">
        <f t="shared" ref="L301:L307" si="14">SUM(F301:K301)</f>
        <v>50815.49</v>
      </c>
      <c r="M301" s="8"/>
      <c r="N301" s="265"/>
    </row>
    <row r="302" spans="1:14" s="3" customFormat="1" ht="12.2" customHeight="1" x14ac:dyDescent="0.15">
      <c r="A302" s="1" t="s">
        <v>443</v>
      </c>
      <c r="B302" s="2" t="s">
        <v>358</v>
      </c>
      <c r="C302" s="2" t="s">
        <v>295</v>
      </c>
      <c r="D302" s="2" t="s">
        <v>431</v>
      </c>
      <c r="E302" s="6">
        <v>2200</v>
      </c>
      <c r="F302" s="18">
        <v>3200</v>
      </c>
      <c r="G302" s="18">
        <v>917.42</v>
      </c>
      <c r="H302" s="18">
        <v>7663.44</v>
      </c>
      <c r="I302" s="18">
        <v>663.52</v>
      </c>
      <c r="J302" s="18">
        <v>0</v>
      </c>
      <c r="K302" s="18">
        <v>300</v>
      </c>
      <c r="L302" s="19">
        <f t="shared" si="14"/>
        <v>12744.380000000001</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v>348.53</v>
      </c>
      <c r="G307" s="18">
        <v>31.75</v>
      </c>
      <c r="H307" s="18">
        <v>0</v>
      </c>
      <c r="I307" s="18">
        <v>70.97</v>
      </c>
      <c r="J307" s="18">
        <v>0</v>
      </c>
      <c r="K307" s="18">
        <v>0</v>
      </c>
      <c r="L307" s="19">
        <f t="shared" si="14"/>
        <v>451.25</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18197.629999999997</v>
      </c>
      <c r="G310" s="42">
        <f t="shared" si="15"/>
        <v>2150.3000000000002</v>
      </c>
      <c r="H310" s="42">
        <f t="shared" si="15"/>
        <v>45768.04</v>
      </c>
      <c r="I310" s="42">
        <f t="shared" si="15"/>
        <v>1731.96</v>
      </c>
      <c r="J310" s="42">
        <f t="shared" si="15"/>
        <v>9662.77</v>
      </c>
      <c r="K310" s="42">
        <f t="shared" si="15"/>
        <v>300</v>
      </c>
      <c r="L310" s="41">
        <f t="shared" si="15"/>
        <v>77810.7</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9019.65</v>
      </c>
      <c r="J315" s="18">
        <v>11067.31</v>
      </c>
      <c r="K315" s="18">
        <v>0</v>
      </c>
      <c r="L315" s="19">
        <f>SUM(F315:K315)</f>
        <v>20086.96</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900</v>
      </c>
      <c r="G318" s="18">
        <v>253.43</v>
      </c>
      <c r="H318" s="18">
        <v>2160</v>
      </c>
      <c r="I318" s="18">
        <v>1319.68</v>
      </c>
      <c r="J318" s="18">
        <v>9871.98</v>
      </c>
      <c r="K318" s="18">
        <v>1400</v>
      </c>
      <c r="L318" s="19">
        <f>SUM(F318:K318)</f>
        <v>15905.09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22982.959999999999</v>
      </c>
      <c r="I320" s="18">
        <v>0</v>
      </c>
      <c r="J320" s="18">
        <v>0</v>
      </c>
      <c r="K320" s="18">
        <v>0</v>
      </c>
      <c r="L320" s="19">
        <f t="shared" ref="L320:L326" si="16">SUM(F320:K320)</f>
        <v>22982.959999999999</v>
      </c>
      <c r="M320" s="8"/>
      <c r="N320" s="265"/>
    </row>
    <row r="321" spans="1:14" s="3" customFormat="1" ht="12.2" customHeight="1" x14ac:dyDescent="0.15">
      <c r="A321" s="1" t="s">
        <v>443</v>
      </c>
      <c r="B321" s="2" t="s">
        <v>359</v>
      </c>
      <c r="C321" s="2" t="s">
        <v>295</v>
      </c>
      <c r="D321" s="2" t="s">
        <v>431</v>
      </c>
      <c r="E321" s="6">
        <v>2200</v>
      </c>
      <c r="F321" s="18">
        <v>5300</v>
      </c>
      <c r="G321" s="18">
        <v>1477.67</v>
      </c>
      <c r="H321" s="18">
        <v>12489.47</v>
      </c>
      <c r="I321" s="18">
        <v>1015.26</v>
      </c>
      <c r="J321" s="18">
        <v>0</v>
      </c>
      <c r="K321" s="18">
        <v>300</v>
      </c>
      <c r="L321" s="19">
        <f t="shared" si="16"/>
        <v>20582.399999999998</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v>525.67999999999995</v>
      </c>
      <c r="G326" s="18">
        <v>47.73</v>
      </c>
      <c r="H326" s="18">
        <v>0</v>
      </c>
      <c r="I326" s="18">
        <v>107.03</v>
      </c>
      <c r="J326" s="18">
        <v>0</v>
      </c>
      <c r="K326" s="18">
        <v>0</v>
      </c>
      <c r="L326" s="19">
        <f t="shared" si="16"/>
        <v>680.43999999999994</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6725.68</v>
      </c>
      <c r="G329" s="42">
        <f t="shared" si="17"/>
        <v>1778.8300000000002</v>
      </c>
      <c r="H329" s="42">
        <f t="shared" si="17"/>
        <v>37632.43</v>
      </c>
      <c r="I329" s="42">
        <f t="shared" si="17"/>
        <v>11461.62</v>
      </c>
      <c r="J329" s="42">
        <f t="shared" si="17"/>
        <v>20939.29</v>
      </c>
      <c r="K329" s="42">
        <f t="shared" si="17"/>
        <v>1700</v>
      </c>
      <c r="L329" s="41">
        <f t="shared" si="17"/>
        <v>80237.850000000006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102398.79999999999</v>
      </c>
      <c r="G339" s="41">
        <f t="shared" si="20"/>
        <v>34539.030000000006</v>
      </c>
      <c r="H339" s="41">
        <f t="shared" si="20"/>
        <v>169834.86</v>
      </c>
      <c r="I339" s="41">
        <f t="shared" si="20"/>
        <v>73919.72</v>
      </c>
      <c r="J339" s="41">
        <f t="shared" si="20"/>
        <v>36359.26</v>
      </c>
      <c r="K339" s="41">
        <f t="shared" si="20"/>
        <v>6413</v>
      </c>
      <c r="L339" s="41">
        <f t="shared" si="20"/>
        <v>423464.67000000004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f>18666.67+2177.13</f>
        <v>20843.8</v>
      </c>
      <c r="L351" s="19">
        <f t="shared" si="21"/>
        <v>20843.8</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20843.8</v>
      </c>
      <c r="L352" s="41">
        <f>SUM(L342:L351)</f>
        <v>20843.8</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102398.79999999999</v>
      </c>
      <c r="G353" s="41">
        <f>G339</f>
        <v>34539.030000000006</v>
      </c>
      <c r="H353" s="41">
        <f>H339</f>
        <v>169834.86</v>
      </c>
      <c r="I353" s="41">
        <f>I339</f>
        <v>73919.72</v>
      </c>
      <c r="J353" s="41">
        <f>J339</f>
        <v>36359.26</v>
      </c>
      <c r="K353" s="47">
        <f>K339+K352</f>
        <v>27256.799999999999</v>
      </c>
      <c r="L353" s="41">
        <f>L339+L352</f>
        <v>444308.47000000003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98694.06</v>
      </c>
      <c r="I359" s="18">
        <v>6376.33</v>
      </c>
      <c r="J359" s="18"/>
      <c r="K359" s="18"/>
      <c r="L359" s="13">
        <f>SUM(F359:K359)</f>
        <v>105070.39</v>
      </c>
      <c r="M359" s="8"/>
      <c r="N359" s="265"/>
    </row>
    <row r="360" spans="1:22" s="3" customFormat="1" ht="12.2" customHeight="1" x14ac:dyDescent="0.15">
      <c r="A360" s="1" t="s">
        <v>542</v>
      </c>
      <c r="B360" s="2" t="s">
        <v>366</v>
      </c>
      <c r="C360" s="6">
        <v>2</v>
      </c>
      <c r="D360" s="2" t="s">
        <v>431</v>
      </c>
      <c r="E360" s="6"/>
      <c r="F360" s="18"/>
      <c r="G360" s="18"/>
      <c r="H360" s="18">
        <v>64886.82</v>
      </c>
      <c r="I360" s="18">
        <v>4192.1499999999996</v>
      </c>
      <c r="J360" s="18"/>
      <c r="K360" s="18"/>
      <c r="L360" s="19">
        <f>SUM(F360:K360)</f>
        <v>69078.97</v>
      </c>
      <c r="M360" s="8"/>
      <c r="N360" s="265"/>
    </row>
    <row r="361" spans="1:22" s="3" customFormat="1" ht="12.2" customHeight="1" x14ac:dyDescent="0.15">
      <c r="A361" s="3" t="s">
        <v>543</v>
      </c>
      <c r="B361" s="2" t="s">
        <v>366</v>
      </c>
      <c r="C361" s="6">
        <v>3</v>
      </c>
      <c r="D361" s="2" t="s">
        <v>431</v>
      </c>
      <c r="E361" s="6"/>
      <c r="F361" s="18"/>
      <c r="G361" s="18"/>
      <c r="H361" s="18">
        <v>98694.06</v>
      </c>
      <c r="I361" s="18">
        <v>6376.33</v>
      </c>
      <c r="J361" s="18"/>
      <c r="K361" s="18"/>
      <c r="L361" s="19">
        <f>SUM(F361:K361)</f>
        <v>105070.39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262274.94</v>
      </c>
      <c r="I363" s="47">
        <f t="shared" si="22"/>
        <v>16944.809999999998</v>
      </c>
      <c r="J363" s="47">
        <f t="shared" si="22"/>
        <v>0</v>
      </c>
      <c r="K363" s="47">
        <f t="shared" si="22"/>
        <v>0</v>
      </c>
      <c r="L363" s="47">
        <f t="shared" si="22"/>
        <v>279219.75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6372.58</v>
      </c>
      <c r="G368" s="18">
        <v>4189.68</v>
      </c>
      <c r="H368" s="18">
        <v>6372.59</v>
      </c>
      <c r="I368" s="56">
        <f>SUM(F368:H368)</f>
        <v>16934.849999999999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3.75</v>
      </c>
      <c r="G369" s="63">
        <v>2.46</v>
      </c>
      <c r="H369" s="63">
        <v>3.75</v>
      </c>
      <c r="I369" s="56">
        <f>SUM(F369:H369)</f>
        <v>9.9600000000000009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6376.33</v>
      </c>
      <c r="G370" s="47">
        <f>SUM(G368:G369)</f>
        <v>4192.1400000000003</v>
      </c>
      <c r="H370" s="47">
        <f>SUM(H368:H369)</f>
        <v>6376.34</v>
      </c>
      <c r="I370" s="47">
        <f>SUM(I368:I369)</f>
        <v>16944.809999999998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26900</v>
      </c>
      <c r="I380" s="18"/>
      <c r="J380" s="18"/>
      <c r="K380" s="18"/>
      <c r="L380" s="13">
        <f t="shared" si="23"/>
        <v>26900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26900</v>
      </c>
      <c r="I383" s="41">
        <f t="shared" si="24"/>
        <v>0</v>
      </c>
      <c r="J383" s="47">
        <f t="shared" si="24"/>
        <v>0</v>
      </c>
      <c r="K383" s="47">
        <f t="shared" si="24"/>
        <v>0</v>
      </c>
      <c r="L383" s="47">
        <f t="shared" si="24"/>
        <v>26900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30661</v>
      </c>
      <c r="H389" s="18">
        <f>1016.48+447.12</f>
        <v>1463.6</v>
      </c>
      <c r="I389" s="18"/>
      <c r="J389" s="24" t="s">
        <v>288</v>
      </c>
      <c r="K389" s="24" t="s">
        <v>288</v>
      </c>
      <c r="L389" s="56">
        <f t="shared" si="25"/>
        <v>32124.6</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v>148.72999999999999</v>
      </c>
      <c r="I391" s="18"/>
      <c r="J391" s="24" t="s">
        <v>288</v>
      </c>
      <c r="K391" s="24" t="s">
        <v>288</v>
      </c>
      <c r="L391" s="56">
        <f t="shared" si="25"/>
        <v>148.72999999999999</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30661</v>
      </c>
      <c r="H394" s="139">
        <f>SUM(H388:H393)</f>
        <v>1612.33</v>
      </c>
      <c r="I394" s="65">
        <f>SUM(I388:I393)</f>
        <v>0</v>
      </c>
      <c r="J394" s="45" t="s">
        <v>288</v>
      </c>
      <c r="K394" s="45" t="s">
        <v>288</v>
      </c>
      <c r="L394" s="47">
        <f>SUM(L388:L393)</f>
        <v>32273.329999999998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v>305.57</v>
      </c>
      <c r="I399" s="18"/>
      <c r="J399" s="24" t="s">
        <v>288</v>
      </c>
      <c r="K399" s="24" t="s">
        <v>288</v>
      </c>
      <c r="L399" s="56">
        <f t="shared" si="26"/>
        <v>305.57</v>
      </c>
      <c r="M399" s="8"/>
      <c r="N399" s="265"/>
    </row>
    <row r="400" spans="1:14" s="3" customFormat="1" ht="12.2" customHeight="1" x14ac:dyDescent="0.15">
      <c r="A400" s="79" t="s">
        <v>559</v>
      </c>
      <c r="B400" s="2" t="s">
        <v>381</v>
      </c>
      <c r="C400" s="6">
        <v>12</v>
      </c>
      <c r="D400" s="2" t="s">
        <v>432</v>
      </c>
      <c r="E400" s="6"/>
      <c r="F400" s="18"/>
      <c r="G400" s="18"/>
      <c r="H400" s="18">
        <v>53.26</v>
      </c>
      <c r="I400" s="18"/>
      <c r="J400" s="24" t="s">
        <v>288</v>
      </c>
      <c r="K400" s="24" t="s">
        <v>288</v>
      </c>
      <c r="L400" s="56">
        <f t="shared" si="26"/>
        <v>53.26</v>
      </c>
      <c r="M400" s="8"/>
      <c r="N400" s="265"/>
    </row>
    <row r="401" spans="1:21" s="3" customFormat="1" ht="12.2" customHeight="1" thickBot="1" x14ac:dyDescent="0.2">
      <c r="A401" s="79" t="s">
        <v>510</v>
      </c>
      <c r="B401" s="2" t="s">
        <v>381</v>
      </c>
      <c r="C401" s="6">
        <v>13</v>
      </c>
      <c r="D401" s="2" t="s">
        <v>432</v>
      </c>
      <c r="E401" s="6"/>
      <c r="F401" s="18"/>
      <c r="G401" s="18">
        <v>10000</v>
      </c>
      <c r="H401" s="18">
        <f>31.81+78.41+2.83+10.48+5.02+26.99</f>
        <v>155.54000000000002</v>
      </c>
      <c r="I401" s="18">
        <v>500</v>
      </c>
      <c r="J401" s="24" t="s">
        <v>288</v>
      </c>
      <c r="K401" s="24" t="s">
        <v>288</v>
      </c>
      <c r="L401" s="56">
        <f t="shared" si="26"/>
        <v>10655.54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514.37</v>
      </c>
      <c r="I402" s="47">
        <f>SUM(I396:I401)</f>
        <v>500</v>
      </c>
      <c r="J402" s="45" t="s">
        <v>288</v>
      </c>
      <c r="K402" s="45" t="s">
        <v>288</v>
      </c>
      <c r="L402" s="47">
        <f>SUM(L396:L401)</f>
        <v>11014.37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40661</v>
      </c>
      <c r="H409" s="47">
        <f>H394+H402+H408</f>
        <v>2126.6999999999998</v>
      </c>
      <c r="I409" s="47">
        <f>I394+I402+I408</f>
        <v>500</v>
      </c>
      <c r="J409" s="24" t="s">
        <v>288</v>
      </c>
      <c r="K409" s="24" t="s">
        <v>288</v>
      </c>
      <c r="L409" s="47">
        <f>L394+L402+L408</f>
        <v>43287.7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26900</v>
      </c>
      <c r="L416" s="56">
        <f t="shared" si="27"/>
        <v>26900</v>
      </c>
      <c r="M416" s="8"/>
      <c r="N416" s="265"/>
    </row>
    <row r="417" spans="1:21" s="3" customFormat="1" ht="12.2" customHeight="1" x14ac:dyDescent="0.15">
      <c r="A417" s="79" t="s">
        <v>553</v>
      </c>
      <c r="B417" s="6">
        <v>17</v>
      </c>
      <c r="C417" s="6">
        <v>4</v>
      </c>
      <c r="D417" s="2" t="s">
        <v>432</v>
      </c>
      <c r="E417" s="6"/>
      <c r="F417" s="18"/>
      <c r="G417" s="18"/>
      <c r="H417" s="18"/>
      <c r="I417" s="18"/>
      <c r="J417" s="18"/>
      <c r="K417" s="18">
        <v>60000</v>
      </c>
      <c r="L417" s="56">
        <f t="shared" si="27"/>
        <v>60000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86900</v>
      </c>
      <c r="L420" s="47">
        <f t="shared" si="28"/>
        <v>86900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2000</v>
      </c>
      <c r="L427" s="56">
        <f t="shared" si="29"/>
        <v>2000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2000</v>
      </c>
      <c r="L428" s="47">
        <f t="shared" si="30"/>
        <v>2000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88900</v>
      </c>
      <c r="L435" s="47">
        <f t="shared" si="32"/>
        <v>88900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788397.47</v>
      </c>
      <c r="G441" s="18">
        <v>233094.98</v>
      </c>
      <c r="H441" s="18"/>
      <c r="I441" s="56">
        <f t="shared" si="33"/>
        <v>1021492.45</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2953.42</v>
      </c>
      <c r="H442" s="18"/>
      <c r="I442" s="56">
        <f t="shared" si="33"/>
        <v>2953.42</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788397.47</v>
      </c>
      <c r="G447" s="13">
        <f>SUM(G440:G446)</f>
        <v>236048.40000000002</v>
      </c>
      <c r="H447" s="13">
        <f>SUM(H440:H446)</f>
        <v>0</v>
      </c>
      <c r="I447" s="13">
        <f>SUM(I440:I446)</f>
        <v>1024445.87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v>21049.42</v>
      </c>
      <c r="H458" s="18"/>
      <c r="I458" s="56">
        <f t="shared" si="34"/>
        <v>21049.42</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442.86</v>
      </c>
      <c r="H459" s="18"/>
      <c r="I459" s="56">
        <f t="shared" si="34"/>
        <v>442.86</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788397.47</f>
        <v>788397.47</v>
      </c>
      <c r="G460" s="18">
        <v>214556.12</v>
      </c>
      <c r="H460" s="18"/>
      <c r="I460" s="56">
        <f t="shared" si="34"/>
        <v>1002953.59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788397.47</v>
      </c>
      <c r="G461" s="83">
        <f>SUM(G455:G460)</f>
        <v>236048.4</v>
      </c>
      <c r="H461" s="83">
        <f>SUM(H455:H460)</f>
        <v>0</v>
      </c>
      <c r="I461" s="83">
        <f>SUM(I455:I460)</f>
        <v>1024445.87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788397.47</v>
      </c>
      <c r="G462" s="42">
        <f>G453+G461</f>
        <v>236048.4</v>
      </c>
      <c r="H462" s="42">
        <f>H453+H461</f>
        <v>0</v>
      </c>
      <c r="I462" s="42">
        <f>I453+I461</f>
        <v>1024445.87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200334.96</v>
      </c>
      <c r="G466" s="18">
        <v>898.15</v>
      </c>
      <c r="H466" s="18">
        <v>0</v>
      </c>
      <c r="I466" s="18">
        <v>0</v>
      </c>
      <c r="J466" s="18">
        <v>1071847.8500000001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8852826.8000000007</v>
      </c>
      <c r="G469" s="18">
        <v>327105.23</v>
      </c>
      <c r="H469" s="18">
        <v>444308.47</v>
      </c>
      <c r="I469" s="18">
        <v>26900</v>
      </c>
      <c r="J469" s="18">
        <v>43287.7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676</v>
      </c>
      <c r="K470" s="24" t="s">
        <v>288</v>
      </c>
      <c r="L470" s="24" t="s">
        <v>288</v>
      </c>
      <c r="N470" s="264"/>
    </row>
    <row r="471" spans="1:14" s="52" customFormat="1" ht="12.2" customHeight="1" x14ac:dyDescent="0.2">
      <c r="A471" s="92" t="s">
        <v>425</v>
      </c>
      <c r="B471" s="75">
        <v>19</v>
      </c>
      <c r="C471" s="80">
        <v>4</v>
      </c>
      <c r="D471" s="2" t="s">
        <v>432</v>
      </c>
      <c r="E471" s="80"/>
      <c r="F471" s="53">
        <f>SUM(F469:F470)</f>
        <v>8852826.8000000007</v>
      </c>
      <c r="G471" s="53">
        <f>SUM(G469:G470)</f>
        <v>327105.23</v>
      </c>
      <c r="H471" s="53">
        <f>SUM(H469:H470)</f>
        <v>444308.47</v>
      </c>
      <c r="I471" s="53">
        <f>SUM(I469:I470)</f>
        <v>26900</v>
      </c>
      <c r="J471" s="53">
        <f>SUM(J469:J470)</f>
        <v>43963.7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8244192.67+0.05</f>
        <v>8244192.7199999997</v>
      </c>
      <c r="G473" s="18">
        <v>279219.75</v>
      </c>
      <c r="H473" s="18">
        <v>444308.47</v>
      </c>
      <c r="I473" s="18">
        <v>26900</v>
      </c>
      <c r="J473" s="18">
        <v>88900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2465.6799999999998</v>
      </c>
      <c r="K474" s="24" t="s">
        <v>288</v>
      </c>
      <c r="L474" s="24" t="s">
        <v>288</v>
      </c>
      <c r="N474" s="264"/>
    </row>
    <row r="475" spans="1:14" s="52" customFormat="1" ht="12.2" customHeight="1" x14ac:dyDescent="0.2">
      <c r="A475" s="92" t="s">
        <v>426</v>
      </c>
      <c r="B475" s="75">
        <v>19</v>
      </c>
      <c r="C475" s="80">
        <v>7</v>
      </c>
      <c r="D475" s="2" t="s">
        <v>432</v>
      </c>
      <c r="E475" s="80"/>
      <c r="F475" s="53">
        <f>SUM(F473:F474)</f>
        <v>8244192.7199999997</v>
      </c>
      <c r="G475" s="53">
        <f>SUM(G473:G474)</f>
        <v>279219.75</v>
      </c>
      <c r="H475" s="53">
        <f>SUM(H473:H474)</f>
        <v>444308.47</v>
      </c>
      <c r="I475" s="53">
        <f>SUM(I473:I474)</f>
        <v>26900</v>
      </c>
      <c r="J475" s="53">
        <f>SUM(J473:J474)</f>
        <v>91365.68</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808969.0400000019</v>
      </c>
      <c r="G477" s="53">
        <f>(G466+G471)- G475</f>
        <v>48783.630000000005</v>
      </c>
      <c r="H477" s="53">
        <f>(H466+H471)- H475</f>
        <v>0</v>
      </c>
      <c r="I477" s="53">
        <f>(I466+I471)- I475</f>
        <v>0</v>
      </c>
      <c r="J477" s="53">
        <f>(J466+J471)- J475</f>
        <v>1024445.8700000001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71312.789999999994</v>
      </c>
      <c r="G508" s="144">
        <v>20958.400000000001</v>
      </c>
      <c r="H508" s="144"/>
      <c r="I508" s="144">
        <v>92271.19</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764750</v>
      </c>
      <c r="G512" s="24" t="s">
        <v>288</v>
      </c>
      <c r="H512" s="18">
        <v>764750</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8634721</v>
      </c>
      <c r="G514" s="24" t="s">
        <v>288</v>
      </c>
      <c r="H514" s="18">
        <v>8490427</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302264</v>
      </c>
      <c r="G515" s="24" t="s">
        <v>288</v>
      </c>
      <c r="H515" s="18">
        <v>370937</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v>0</v>
      </c>
      <c r="G516" s="24" t="s">
        <v>288</v>
      </c>
      <c r="H516" s="18">
        <v>24650</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9701735</v>
      </c>
      <c r="G518" s="42">
        <f>SUM(G512:G517)</f>
        <v>0</v>
      </c>
      <c r="H518" s="42">
        <f>SUM(H512:H517)</f>
        <v>9650764</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318097.12</v>
      </c>
      <c r="G522" s="18">
        <v>191073.47999999998</v>
      </c>
      <c r="H522" s="18">
        <v>481647.48000000004</v>
      </c>
      <c r="I522" s="18">
        <v>3844.5299999999997</v>
      </c>
      <c r="J522" s="18">
        <v>9880.07</v>
      </c>
      <c r="K522" s="18">
        <v>0</v>
      </c>
      <c r="L522" s="88">
        <f>SUM(F522:K522)</f>
        <v>1004542.68</v>
      </c>
      <c r="N522" s="264"/>
    </row>
    <row r="523" spans="1:14" s="52" customFormat="1" ht="12.2" customHeight="1" x14ac:dyDescent="0.2">
      <c r="A523" s="22" t="s">
        <v>634</v>
      </c>
      <c r="B523" s="105">
        <v>21</v>
      </c>
      <c r="C523" s="115">
        <v>2</v>
      </c>
      <c r="D523" s="2" t="s">
        <v>432</v>
      </c>
      <c r="E523" s="115"/>
      <c r="F523" s="18">
        <v>192285.38</v>
      </c>
      <c r="G523" s="18">
        <v>75784.320000000007</v>
      </c>
      <c r="H523" s="18">
        <v>74704.400000000009</v>
      </c>
      <c r="I523" s="18">
        <v>2492.02</v>
      </c>
      <c r="J523" s="18">
        <v>132.49</v>
      </c>
      <c r="K523" s="18">
        <v>0</v>
      </c>
      <c r="L523" s="88">
        <f>SUM(F523:K523)</f>
        <v>345398.61000000004</v>
      </c>
      <c r="N523" s="264"/>
    </row>
    <row r="524" spans="1:14" s="52" customFormat="1" ht="12.2" customHeight="1" thickBot="1" x14ac:dyDescent="0.25">
      <c r="A524" s="22" t="s">
        <v>635</v>
      </c>
      <c r="B524" s="105">
        <v>21</v>
      </c>
      <c r="C524" s="115">
        <v>3</v>
      </c>
      <c r="D524" s="2" t="s">
        <v>432</v>
      </c>
      <c r="E524" s="115"/>
      <c r="F524" s="18">
        <v>259984.3</v>
      </c>
      <c r="G524" s="18">
        <v>121517.16</v>
      </c>
      <c r="H524" s="18">
        <v>397667.85</v>
      </c>
      <c r="I524" s="18">
        <v>2792.9399999999996</v>
      </c>
      <c r="J524" s="18">
        <v>132.5</v>
      </c>
      <c r="K524" s="18">
        <v>25</v>
      </c>
      <c r="L524" s="88">
        <f>SUM(F524:K524)</f>
        <v>782119.74999999988</v>
      </c>
      <c r="N524" s="264"/>
    </row>
    <row r="525" spans="1:14" s="52" customFormat="1" ht="12.2" customHeight="1" thickTop="1" x14ac:dyDescent="0.2">
      <c r="A525" s="139" t="s">
        <v>63</v>
      </c>
      <c r="B525" s="107">
        <v>21</v>
      </c>
      <c r="C525" s="194">
        <v>4</v>
      </c>
      <c r="D525" s="195" t="s">
        <v>432</v>
      </c>
      <c r="E525" s="194"/>
      <c r="F525" s="108">
        <f>SUM(F522:F524)</f>
        <v>770366.8</v>
      </c>
      <c r="G525" s="108">
        <f t="shared" ref="G525:L525" si="36">SUM(G522:G524)</f>
        <v>388374.95999999996</v>
      </c>
      <c r="H525" s="108">
        <f t="shared" si="36"/>
        <v>954019.73</v>
      </c>
      <c r="I525" s="108">
        <f t="shared" si="36"/>
        <v>9129.489999999998</v>
      </c>
      <c r="J525" s="108">
        <f t="shared" si="36"/>
        <v>10145.06</v>
      </c>
      <c r="K525" s="108">
        <f t="shared" si="36"/>
        <v>25</v>
      </c>
      <c r="L525" s="89">
        <f t="shared" si="36"/>
        <v>2132061.04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84536.17</v>
      </c>
      <c r="G527" s="18">
        <v>53708.09</v>
      </c>
      <c r="H527" s="18">
        <v>109104.56999999999</v>
      </c>
      <c r="I527" s="18">
        <v>943.5</v>
      </c>
      <c r="J527" s="18">
        <v>0</v>
      </c>
      <c r="K527" s="18">
        <v>363</v>
      </c>
      <c r="L527" s="88">
        <f>SUM(F527:K527)</f>
        <v>248655.33000000002</v>
      </c>
      <c r="M527" s="8"/>
      <c r="N527" s="265"/>
    </row>
    <row r="528" spans="1:14" s="3" customFormat="1" ht="12.2" customHeight="1" x14ac:dyDescent="0.15">
      <c r="A528" s="22" t="s">
        <v>634</v>
      </c>
      <c r="B528" s="105">
        <v>21</v>
      </c>
      <c r="C528" s="115">
        <v>6</v>
      </c>
      <c r="D528" s="2" t="s">
        <v>432</v>
      </c>
      <c r="E528" s="115"/>
      <c r="F528" s="18">
        <v>34423.26</v>
      </c>
      <c r="G528" s="18">
        <v>21757.18</v>
      </c>
      <c r="H528" s="18">
        <v>38140.910000000003</v>
      </c>
      <c r="I528" s="18">
        <v>224.77</v>
      </c>
      <c r="J528" s="18">
        <v>0</v>
      </c>
      <c r="K528" s="18">
        <v>0</v>
      </c>
      <c r="L528" s="88">
        <f>SUM(F528:K528)</f>
        <v>94546.12000000001</v>
      </c>
      <c r="M528" s="8"/>
      <c r="N528" s="265"/>
    </row>
    <row r="529" spans="1:14" s="3" customFormat="1" ht="12.2" customHeight="1" thickBot="1" x14ac:dyDescent="0.2">
      <c r="A529" s="22" t="s">
        <v>635</v>
      </c>
      <c r="B529" s="118">
        <v>21</v>
      </c>
      <c r="C529" s="118">
        <v>7</v>
      </c>
      <c r="D529" s="2" t="s">
        <v>432</v>
      </c>
      <c r="E529" s="118"/>
      <c r="F529" s="18">
        <v>6146.65</v>
      </c>
      <c r="G529" s="18">
        <v>3937.56</v>
      </c>
      <c r="H529" s="18">
        <v>36980.6</v>
      </c>
      <c r="I529" s="18">
        <v>208.46</v>
      </c>
      <c r="J529" s="18">
        <v>0</v>
      </c>
      <c r="K529" s="18">
        <v>0</v>
      </c>
      <c r="L529" s="88">
        <f>SUM(F529:K529)</f>
        <v>47273.27</v>
      </c>
      <c r="M529" s="8"/>
      <c r="N529" s="265"/>
    </row>
    <row r="530" spans="1:14" s="3" customFormat="1" ht="12.2" customHeight="1" thickTop="1" x14ac:dyDescent="0.15">
      <c r="A530" s="139" t="s">
        <v>65</v>
      </c>
      <c r="B530" s="107">
        <v>21</v>
      </c>
      <c r="C530" s="107">
        <v>8</v>
      </c>
      <c r="D530" s="158" t="s">
        <v>432</v>
      </c>
      <c r="E530" s="107"/>
      <c r="F530" s="89">
        <f>SUM(F527:F529)</f>
        <v>125106.07999999999</v>
      </c>
      <c r="G530" s="89">
        <f t="shared" ref="G530:L530" si="37">SUM(G527:G529)</f>
        <v>79402.829999999987</v>
      </c>
      <c r="H530" s="89">
        <f t="shared" si="37"/>
        <v>184226.08</v>
      </c>
      <c r="I530" s="89">
        <f t="shared" si="37"/>
        <v>1376.73</v>
      </c>
      <c r="J530" s="89">
        <f t="shared" si="37"/>
        <v>0</v>
      </c>
      <c r="K530" s="89">
        <f t="shared" si="37"/>
        <v>363</v>
      </c>
      <c r="L530" s="89">
        <f t="shared" si="37"/>
        <v>390474.72000000003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24501.66</v>
      </c>
      <c r="I532" s="18"/>
      <c r="J532" s="18"/>
      <c r="K532" s="18"/>
      <c r="L532" s="88">
        <f>SUM(F532:K532)</f>
        <v>24501.66</v>
      </c>
      <c r="M532" s="8"/>
      <c r="N532" s="265"/>
    </row>
    <row r="533" spans="1:14" s="3" customFormat="1" ht="12.2" customHeight="1" x14ac:dyDescent="0.15">
      <c r="A533" s="22" t="s">
        <v>634</v>
      </c>
      <c r="B533" s="105">
        <v>21</v>
      </c>
      <c r="C533" s="105">
        <v>10</v>
      </c>
      <c r="D533" s="2" t="s">
        <v>432</v>
      </c>
      <c r="E533" s="105"/>
      <c r="F533" s="18"/>
      <c r="G533" s="18"/>
      <c r="H533" s="18">
        <v>25376.720000000001</v>
      </c>
      <c r="I533" s="18"/>
      <c r="J533" s="18"/>
      <c r="K533" s="18"/>
      <c r="L533" s="88">
        <f>SUM(F533:K533)</f>
        <v>25376.720000000001</v>
      </c>
      <c r="M533" s="8"/>
      <c r="N533" s="265"/>
    </row>
    <row r="534" spans="1:14" s="3" customFormat="1" ht="12.2" customHeight="1" thickBot="1" x14ac:dyDescent="0.2">
      <c r="A534" s="22" t="s">
        <v>635</v>
      </c>
      <c r="B534" s="105">
        <v>21</v>
      </c>
      <c r="C534" s="105">
        <v>11</v>
      </c>
      <c r="D534" s="2" t="s">
        <v>432</v>
      </c>
      <c r="E534" s="105"/>
      <c r="F534" s="18"/>
      <c r="G534" s="18"/>
      <c r="H534" s="18">
        <v>32377.200000000001</v>
      </c>
      <c r="I534" s="18"/>
      <c r="J534" s="18"/>
      <c r="K534" s="18"/>
      <c r="L534" s="88">
        <f>SUM(F534:K534)</f>
        <v>32377.200000000001</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82255.58</v>
      </c>
      <c r="I535" s="89">
        <f t="shared" si="38"/>
        <v>0</v>
      </c>
      <c r="J535" s="89">
        <f t="shared" si="38"/>
        <v>0</v>
      </c>
      <c r="K535" s="89">
        <f t="shared" si="38"/>
        <v>0</v>
      </c>
      <c r="L535" s="89">
        <f t="shared" si="38"/>
        <v>82255.58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5298.85</v>
      </c>
      <c r="G542" s="18">
        <v>945.64</v>
      </c>
      <c r="H542" s="18"/>
      <c r="I542" s="18">
        <v>1732.51</v>
      </c>
      <c r="J542" s="18"/>
      <c r="K542" s="18"/>
      <c r="L542" s="88">
        <f>SUM(F542:K542)</f>
        <v>7977.0000000000009</v>
      </c>
      <c r="M542" s="8"/>
      <c r="N542" s="265"/>
    </row>
    <row r="543" spans="1:14" s="3" customFormat="1" ht="12.2" customHeight="1" x14ac:dyDescent="0.15">
      <c r="A543" s="22" t="s">
        <v>634</v>
      </c>
      <c r="B543" s="105">
        <v>21</v>
      </c>
      <c r="C543" s="105">
        <v>18</v>
      </c>
      <c r="D543" s="2" t="s">
        <v>432</v>
      </c>
      <c r="E543" s="105"/>
      <c r="F543" s="18">
        <v>3337.47</v>
      </c>
      <c r="G543" s="18">
        <v>644.39</v>
      </c>
      <c r="H543" s="18"/>
      <c r="I543" s="18">
        <v>1031.72</v>
      </c>
      <c r="J543" s="18"/>
      <c r="K543" s="18"/>
      <c r="L543" s="88">
        <f>SUM(F543:K543)</f>
        <v>5013.58</v>
      </c>
      <c r="M543" s="8"/>
      <c r="N543" s="265"/>
    </row>
    <row r="544" spans="1:14" s="3" customFormat="1" ht="12.2" customHeight="1" thickBot="1" x14ac:dyDescent="0.2">
      <c r="A544" s="22" t="s">
        <v>635</v>
      </c>
      <c r="B544" s="105">
        <v>21</v>
      </c>
      <c r="C544" s="105">
        <v>19</v>
      </c>
      <c r="D544" s="2" t="s">
        <v>432</v>
      </c>
      <c r="E544" s="105"/>
      <c r="F544" s="18">
        <v>3471.02</v>
      </c>
      <c r="G544" s="18">
        <v>590.89</v>
      </c>
      <c r="H544" s="18"/>
      <c r="I544" s="18">
        <v>1038.1500000000001</v>
      </c>
      <c r="J544" s="18"/>
      <c r="K544" s="18"/>
      <c r="L544" s="88">
        <f>SUM(F544:K544)</f>
        <v>5100.0599999999995</v>
      </c>
      <c r="M544" s="8"/>
      <c r="N544" s="265"/>
    </row>
    <row r="545" spans="1:14" s="3" customFormat="1" ht="12.2" customHeight="1" thickTop="1" thickBot="1" x14ac:dyDescent="0.2">
      <c r="A545" s="130" t="s">
        <v>71</v>
      </c>
      <c r="B545" s="190">
        <v>21</v>
      </c>
      <c r="C545" s="190">
        <v>20</v>
      </c>
      <c r="D545" s="191" t="s">
        <v>432</v>
      </c>
      <c r="E545" s="190"/>
      <c r="F545" s="192">
        <f>SUM(F542:F544)</f>
        <v>12107.34</v>
      </c>
      <c r="G545" s="192">
        <f t="shared" ref="G545:L545" si="40">SUM(G542:G544)</f>
        <v>2180.92</v>
      </c>
      <c r="H545" s="192">
        <f t="shared" si="40"/>
        <v>0</v>
      </c>
      <c r="I545" s="192">
        <f t="shared" si="40"/>
        <v>3802.38</v>
      </c>
      <c r="J545" s="192">
        <f t="shared" si="40"/>
        <v>0</v>
      </c>
      <c r="K545" s="192">
        <f t="shared" si="40"/>
        <v>0</v>
      </c>
      <c r="L545" s="192">
        <f t="shared" si="40"/>
        <v>18090.64</v>
      </c>
      <c r="M545" s="8"/>
      <c r="N545" s="265"/>
    </row>
    <row r="546" spans="1:14" s="3" customFormat="1" ht="12.2" customHeight="1" thickTop="1" x14ac:dyDescent="0.15">
      <c r="A546" s="98" t="s">
        <v>72</v>
      </c>
      <c r="B546" s="107">
        <v>21</v>
      </c>
      <c r="C546" s="107">
        <v>21</v>
      </c>
      <c r="D546" s="158" t="s">
        <v>432</v>
      </c>
      <c r="E546" s="107"/>
      <c r="F546" s="89">
        <f>F525+F530+F535+F540+F545</f>
        <v>907580.22</v>
      </c>
      <c r="G546" s="89">
        <f t="shared" ref="G546:L546" si="41">G525+G530+G535+G540+G545</f>
        <v>469958.7099999999</v>
      </c>
      <c r="H546" s="89">
        <f t="shared" si="41"/>
        <v>1220501.3900000001</v>
      </c>
      <c r="I546" s="89">
        <f t="shared" si="41"/>
        <v>14308.599999999999</v>
      </c>
      <c r="J546" s="89">
        <f t="shared" si="41"/>
        <v>10145.06</v>
      </c>
      <c r="K546" s="89">
        <f t="shared" si="41"/>
        <v>388</v>
      </c>
      <c r="L546" s="89">
        <f t="shared" si="41"/>
        <v>2622881.9800000004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1004542.68</v>
      </c>
      <c r="G550" s="87">
        <f>L527</f>
        <v>248655.33000000002</v>
      </c>
      <c r="H550" s="87">
        <f>L532</f>
        <v>24501.66</v>
      </c>
      <c r="I550" s="87">
        <f>L537</f>
        <v>0</v>
      </c>
      <c r="J550" s="87">
        <f>L542</f>
        <v>7977.0000000000009</v>
      </c>
      <c r="K550" s="87">
        <f>SUM(F550:J550)</f>
        <v>1285676.67</v>
      </c>
      <c r="L550" s="24" t="s">
        <v>288</v>
      </c>
      <c r="M550" s="8"/>
      <c r="N550" s="265"/>
    </row>
    <row r="551" spans="1:14" s="3" customFormat="1" ht="12.2" customHeight="1" x14ac:dyDescent="0.15">
      <c r="A551" s="22" t="s">
        <v>634</v>
      </c>
      <c r="B551" s="75">
        <v>21</v>
      </c>
      <c r="C551" s="75">
        <v>23</v>
      </c>
      <c r="D551" s="2" t="s">
        <v>432</v>
      </c>
      <c r="E551" s="75"/>
      <c r="F551" s="87">
        <f>L523</f>
        <v>345398.61000000004</v>
      </c>
      <c r="G551" s="87">
        <f>L528</f>
        <v>94546.12000000001</v>
      </c>
      <c r="H551" s="87">
        <f>L533</f>
        <v>25376.720000000001</v>
      </c>
      <c r="I551" s="87">
        <f>L538</f>
        <v>0</v>
      </c>
      <c r="J551" s="87">
        <f>L543</f>
        <v>5013.58</v>
      </c>
      <c r="K551" s="87">
        <f>SUM(F551:J551)</f>
        <v>470335.03000000009</v>
      </c>
      <c r="L551" s="24" t="s">
        <v>288</v>
      </c>
      <c r="M551" s="8"/>
      <c r="N551" s="265"/>
    </row>
    <row r="552" spans="1:14" s="3" customFormat="1" ht="12.2" customHeight="1" thickBot="1" x14ac:dyDescent="0.2">
      <c r="A552" s="22" t="s">
        <v>635</v>
      </c>
      <c r="B552" s="75">
        <v>21</v>
      </c>
      <c r="C552" s="75">
        <v>24</v>
      </c>
      <c r="D552" s="2" t="s">
        <v>432</v>
      </c>
      <c r="E552" s="75"/>
      <c r="F552" s="87">
        <f>L524</f>
        <v>782119.74999999988</v>
      </c>
      <c r="G552" s="87">
        <f>L529</f>
        <v>47273.27</v>
      </c>
      <c r="H552" s="87">
        <f>L534</f>
        <v>32377.200000000001</v>
      </c>
      <c r="I552" s="87">
        <f>L539</f>
        <v>0</v>
      </c>
      <c r="J552" s="87">
        <f>L544</f>
        <v>5100.0599999999995</v>
      </c>
      <c r="K552" s="87">
        <f>SUM(F552:J552)</f>
        <v>866870.27999999991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2132061.04</v>
      </c>
      <c r="G553" s="89">
        <f t="shared" si="42"/>
        <v>390474.72000000003</v>
      </c>
      <c r="H553" s="89">
        <f t="shared" si="42"/>
        <v>82255.58</v>
      </c>
      <c r="I553" s="89">
        <f t="shared" si="42"/>
        <v>0</v>
      </c>
      <c r="J553" s="89">
        <f t="shared" si="42"/>
        <v>18090.64</v>
      </c>
      <c r="K553" s="89">
        <f t="shared" si="42"/>
        <v>2622881.98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6004.43</v>
      </c>
      <c r="G563" s="18">
        <v>2089.8999999999996</v>
      </c>
      <c r="H563" s="18">
        <v>0</v>
      </c>
      <c r="I563" s="18">
        <v>0</v>
      </c>
      <c r="J563" s="18">
        <v>0</v>
      </c>
      <c r="K563" s="18">
        <v>0</v>
      </c>
      <c r="L563" s="88">
        <f>SUM(F563:K563)</f>
        <v>8094.33</v>
      </c>
      <c r="M563" s="8"/>
      <c r="N563" s="265"/>
    </row>
    <row r="564" spans="1:14" s="3" customFormat="1" ht="12.2" customHeight="1" x14ac:dyDescent="0.15">
      <c r="A564" s="22" t="s">
        <v>634</v>
      </c>
      <c r="B564" s="105">
        <v>22</v>
      </c>
      <c r="C564" s="115">
        <v>6</v>
      </c>
      <c r="D564" s="2" t="s">
        <v>432</v>
      </c>
      <c r="E564" s="115"/>
      <c r="F564" s="18">
        <v>6015.14</v>
      </c>
      <c r="G564" s="18">
        <v>1911.01</v>
      </c>
      <c r="H564" s="18">
        <v>0</v>
      </c>
      <c r="I564" s="18">
        <v>0</v>
      </c>
      <c r="J564" s="18">
        <v>0</v>
      </c>
      <c r="K564" s="18">
        <v>0</v>
      </c>
      <c r="L564" s="88">
        <f>SUM(F564:K564)</f>
        <v>7926.1500000000005</v>
      </c>
      <c r="M564" s="8"/>
      <c r="N564" s="265"/>
    </row>
    <row r="565" spans="1:14" s="3" customFormat="1" ht="12.2" customHeight="1" thickBot="1" x14ac:dyDescent="0.2">
      <c r="A565" s="22" t="s">
        <v>635</v>
      </c>
      <c r="B565" s="105">
        <v>22</v>
      </c>
      <c r="C565" s="118">
        <v>7</v>
      </c>
      <c r="D565" s="2" t="s">
        <v>432</v>
      </c>
      <c r="E565" s="118"/>
      <c r="F565" s="18">
        <v>6015.14</v>
      </c>
      <c r="G565" s="18">
        <v>1910.44</v>
      </c>
      <c r="H565" s="18">
        <v>0</v>
      </c>
      <c r="I565" s="18">
        <v>51.98</v>
      </c>
      <c r="J565" s="18">
        <v>0</v>
      </c>
      <c r="K565" s="18">
        <v>0</v>
      </c>
      <c r="L565" s="88">
        <f>SUM(F565:K565)</f>
        <v>7977.5599999999995</v>
      </c>
      <c r="M565" s="8"/>
      <c r="N565" s="265"/>
    </row>
    <row r="566" spans="1:14" s="3" customFormat="1" ht="12.2" customHeight="1" thickTop="1" x14ac:dyDescent="0.15">
      <c r="A566" s="139" t="s">
        <v>65</v>
      </c>
      <c r="B566" s="107">
        <v>22</v>
      </c>
      <c r="C566" s="107">
        <v>8</v>
      </c>
      <c r="D566" s="195" t="s">
        <v>432</v>
      </c>
      <c r="E566" s="107"/>
      <c r="F566" s="89">
        <f t="shared" ref="F566:L566" si="44">SUM(F563:F565)</f>
        <v>18034.71</v>
      </c>
      <c r="G566" s="89">
        <f t="shared" si="44"/>
        <v>5911.35</v>
      </c>
      <c r="H566" s="89">
        <f t="shared" si="44"/>
        <v>0</v>
      </c>
      <c r="I566" s="89">
        <f t="shared" si="44"/>
        <v>51.98</v>
      </c>
      <c r="J566" s="89">
        <f t="shared" si="44"/>
        <v>0</v>
      </c>
      <c r="K566" s="89">
        <f t="shared" si="44"/>
        <v>0</v>
      </c>
      <c r="L566" s="89">
        <f t="shared" si="44"/>
        <v>23998.04</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18034.71</v>
      </c>
      <c r="G572" s="89">
        <f t="shared" ref="G572:L572" si="46">G561+G566+G571</f>
        <v>5911.35</v>
      </c>
      <c r="H572" s="89">
        <f t="shared" si="46"/>
        <v>0</v>
      </c>
      <c r="I572" s="89">
        <f t="shared" si="46"/>
        <v>51.98</v>
      </c>
      <c r="J572" s="89">
        <f t="shared" si="46"/>
        <v>0</v>
      </c>
      <c r="K572" s="89">
        <f t="shared" si="46"/>
        <v>0</v>
      </c>
      <c r="L572" s="89">
        <f t="shared" si="46"/>
        <v>23998.04</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40838.6</v>
      </c>
      <c r="I579" s="87">
        <f t="shared" si="47"/>
        <v>40838.6</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110934.16</v>
      </c>
      <c r="G583" s="18">
        <v>75381.600000000006</v>
      </c>
      <c r="H583" s="18">
        <v>127405.26</v>
      </c>
      <c r="I583" s="87">
        <f t="shared" si="47"/>
        <v>313721.02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322922.8</v>
      </c>
      <c r="G584" s="18"/>
      <c r="H584" s="18">
        <v>341301.68</v>
      </c>
      <c r="I584" s="87">
        <f t="shared" si="47"/>
        <v>664224.48</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54606.1</v>
      </c>
      <c r="I585" s="87">
        <f t="shared" si="47"/>
        <v>54606.1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81599.78+0.05</f>
        <v>81599.83</v>
      </c>
      <c r="I592" s="18">
        <v>51803.11</v>
      </c>
      <c r="J592" s="18">
        <v>78300.5</v>
      </c>
      <c r="K592" s="104">
        <f t="shared" ref="K592:K598" si="48">SUM(H592:J592)</f>
        <v>211703.44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7977</v>
      </c>
      <c r="I593" s="18">
        <v>5013.58</v>
      </c>
      <c r="J593" s="18">
        <v>5100.0600000000004</v>
      </c>
      <c r="K593" s="104">
        <f t="shared" si="48"/>
        <v>18090.64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21675.42</v>
      </c>
      <c r="K594" s="104">
        <f t="shared" si="48"/>
        <v>21675.42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3866.15</v>
      </c>
      <c r="J595" s="18">
        <v>11031.02</v>
      </c>
      <c r="K595" s="104">
        <f t="shared" si="48"/>
        <v>14897.17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2684.87</v>
      </c>
      <c r="I596" s="18">
        <v>2318.33</v>
      </c>
      <c r="J596" s="18">
        <v>2841.16</v>
      </c>
      <c r="K596" s="104">
        <f t="shared" si="48"/>
        <v>7844.36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92261.7</v>
      </c>
      <c r="I599" s="108">
        <f>SUM(I592:I598)</f>
        <v>63001.170000000006</v>
      </c>
      <c r="J599" s="108">
        <f>SUM(J592:J598)</f>
        <v>118948.16</v>
      </c>
      <c r="K599" s="108">
        <f>SUM(K592:K598)</f>
        <v>274211.02999999997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70535-2420</f>
        <v>68115</v>
      </c>
      <c r="I605" s="18">
        <v>41923.43</v>
      </c>
      <c r="J605" s="18">
        <v>70428.539999999994</v>
      </c>
      <c r="K605" s="104">
        <f>SUM(H605:J605)</f>
        <v>180466.96999999997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68115</v>
      </c>
      <c r="I606" s="108">
        <f>SUM(I603:I605)</f>
        <v>41923.43</v>
      </c>
      <c r="J606" s="108">
        <f>SUM(J603:J605)</f>
        <v>70428.539999999994</v>
      </c>
      <c r="K606" s="108">
        <f>SUM(K603:K605)</f>
        <v>180466.96999999997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6811.6</v>
      </c>
      <c r="G612" s="18">
        <v>1738.48</v>
      </c>
      <c r="H612" s="18"/>
      <c r="I612" s="18"/>
      <c r="J612" s="18"/>
      <c r="K612" s="18">
        <v>4213</v>
      </c>
      <c r="L612" s="88">
        <f>SUM(F612:K612)</f>
        <v>12763.08</v>
      </c>
      <c r="M612" s="8"/>
      <c r="N612" s="265"/>
    </row>
    <row r="613" spans="1:14" s="3" customFormat="1" ht="12.2" customHeight="1" x14ac:dyDescent="0.15">
      <c r="A613" s="22" t="s">
        <v>634</v>
      </c>
      <c r="B613" s="75">
        <v>23</v>
      </c>
      <c r="C613" s="75">
        <v>14</v>
      </c>
      <c r="D613" s="2" t="s">
        <v>432</v>
      </c>
      <c r="E613" s="75"/>
      <c r="F613" s="18">
        <v>9694.1200000000008</v>
      </c>
      <c r="G613" s="18">
        <v>1709.71</v>
      </c>
      <c r="H613" s="18"/>
      <c r="I613" s="18"/>
      <c r="J613" s="18"/>
      <c r="K613" s="18"/>
      <c r="L613" s="88">
        <f>SUM(F613:K613)</f>
        <v>11403.830000000002</v>
      </c>
      <c r="M613" s="8"/>
      <c r="N613" s="265"/>
    </row>
    <row r="614" spans="1:14" s="3" customFormat="1" ht="12.2" customHeight="1" thickBot="1" x14ac:dyDescent="0.2">
      <c r="A614" s="22" t="s">
        <v>645</v>
      </c>
      <c r="B614" s="75">
        <v>23</v>
      </c>
      <c r="C614" s="75">
        <v>15</v>
      </c>
      <c r="D614" s="2" t="s">
        <v>432</v>
      </c>
      <c r="E614" s="75"/>
      <c r="F614" s="18">
        <v>10780</v>
      </c>
      <c r="G614" s="18">
        <v>3067.96</v>
      </c>
      <c r="H614" s="18"/>
      <c r="I614" s="18"/>
      <c r="J614" s="18"/>
      <c r="K614" s="18"/>
      <c r="L614" s="88">
        <f>SUM(F614:K614)</f>
        <v>13847.96</v>
      </c>
      <c r="M614" s="8"/>
      <c r="N614" s="265"/>
    </row>
    <row r="615" spans="1:14" s="3" customFormat="1" ht="12.2" customHeight="1" thickTop="1" x14ac:dyDescent="0.15">
      <c r="A615" s="98" t="s">
        <v>340</v>
      </c>
      <c r="B615" s="107">
        <v>23</v>
      </c>
      <c r="C615" s="107">
        <v>16</v>
      </c>
      <c r="D615" s="39" t="s">
        <v>432</v>
      </c>
      <c r="E615" s="107"/>
      <c r="F615" s="108">
        <f t="shared" ref="F615:L615" si="49">SUM(F612:F614)</f>
        <v>27285.72</v>
      </c>
      <c r="G615" s="108">
        <f t="shared" si="49"/>
        <v>6516.15</v>
      </c>
      <c r="H615" s="108">
        <f t="shared" si="49"/>
        <v>0</v>
      </c>
      <c r="I615" s="108">
        <f t="shared" si="49"/>
        <v>0</v>
      </c>
      <c r="J615" s="108">
        <f t="shared" si="49"/>
        <v>0</v>
      </c>
      <c r="K615" s="108">
        <f t="shared" si="49"/>
        <v>4213</v>
      </c>
      <c r="L615" s="89">
        <f t="shared" si="49"/>
        <v>38014.870000000003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955982.89</v>
      </c>
      <c r="H618" s="109">
        <f>SUM(F52)</f>
        <v>955982.89000000013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74950.679999999993</v>
      </c>
      <c r="H619" s="109">
        <f>SUM(G52)</f>
        <v>74950.679999999993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173484.29</v>
      </c>
      <c r="H620" s="109">
        <f>SUM(H52)</f>
        <v>173484.29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1024445.87</v>
      </c>
      <c r="H622" s="109">
        <f>SUM(J52)</f>
        <v>1024445.87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808969.04</v>
      </c>
      <c r="H623" s="109">
        <f>F477</f>
        <v>808969.0400000019</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48783.63</v>
      </c>
      <c r="H624" s="109">
        <f>G477</f>
        <v>48783.630000000005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1024445.87</v>
      </c>
      <c r="H627" s="109">
        <f>J477</f>
        <v>1024445.8700000001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8852826.7999999989</v>
      </c>
      <c r="H628" s="104">
        <f>SUM(F469)</f>
        <v>8852826.8000000007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327105.23</v>
      </c>
      <c r="H629" s="104">
        <f>SUM(G469)</f>
        <v>327105.23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444308.47</v>
      </c>
      <c r="H630" s="104">
        <f>SUM(H469)</f>
        <v>444308.47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26900</v>
      </c>
      <c r="H631" s="104">
        <f>SUM(I469)</f>
        <v>26900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43287.7</v>
      </c>
      <c r="H632" s="104">
        <f>SUM(J469)</f>
        <v>43287.7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8244192.7200000016</v>
      </c>
      <c r="H633" s="104">
        <f>SUM(F473)</f>
        <v>8244192.7199999997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444308.47000000003</v>
      </c>
      <c r="H634" s="104">
        <f>SUM(H473)</f>
        <v>444308.47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16944.809999999998</v>
      </c>
      <c r="H635" s="104">
        <f>I370</f>
        <v>16944.809999999998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279219.75</v>
      </c>
      <c r="H636" s="104">
        <f>SUM(G473)</f>
        <v>279219.75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26900</v>
      </c>
      <c r="H637" s="104">
        <f>SUM(I473)</f>
        <v>26900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43287.7</v>
      </c>
      <c r="H638" s="164">
        <f>SUM(J469)</f>
        <v>43287.7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88900</v>
      </c>
      <c r="H639" s="164">
        <f>SUM(J473)</f>
        <v>88900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788397.47</v>
      </c>
      <c r="H640" s="104">
        <f>SUM(F462)</f>
        <v>788397.47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236048.40000000002</v>
      </c>
      <c r="H641" s="104">
        <f>SUM(G462)</f>
        <v>236048.4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1024445.87</v>
      </c>
      <c r="H643" s="104">
        <f>SUM(I462)</f>
        <v>1024445.87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2126.6999999999998</v>
      </c>
      <c r="H645" s="104">
        <f>H409</f>
        <v>2126.6999999999998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40661</v>
      </c>
      <c r="H646" s="104">
        <f>G409</f>
        <v>40661</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43287.7</v>
      </c>
      <c r="H647" s="104">
        <f>L409</f>
        <v>43287.7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274211.02999999997</v>
      </c>
      <c r="H648" s="104">
        <f>L209+L227+L245</f>
        <v>274211.02999999997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180466.96999999997</v>
      </c>
      <c r="H649" s="104">
        <f>(J258+J339)-(J256+J337)</f>
        <v>180466.97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92261.700000000012</v>
      </c>
      <c r="H650" s="104">
        <f>H599</f>
        <v>92261.7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63001.17</v>
      </c>
      <c r="H651" s="104">
        <f>I599</f>
        <v>63001.170000000006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118948.15999999999</v>
      </c>
      <c r="H652" s="104">
        <f>J599</f>
        <v>118948.16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40661</v>
      </c>
      <c r="H656" s="104">
        <f>K267+K348</f>
        <v>40661</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3627520.390026317</v>
      </c>
      <c r="G661" s="19">
        <f>(L230+L310+L360)</f>
        <v>1817504.1899473681</v>
      </c>
      <c r="H661" s="19">
        <f>(L248+L329+L361)</f>
        <v>3419791.5600263169</v>
      </c>
      <c r="I661" s="19">
        <f>SUM(F661:H661)</f>
        <v>8864816.1400000006</v>
      </c>
      <c r="J661" s="13"/>
      <c r="K661" s="13"/>
      <c r="L661" s="13"/>
      <c r="M661" s="9"/>
    </row>
    <row r="662" spans="1:13" s="3" customFormat="1" ht="12.2" customHeight="1" x14ac:dyDescent="0.2">
      <c r="A662" s="1" t="s">
        <v>127</v>
      </c>
      <c r="F662" s="19">
        <f>(L359/IF(SUM(L359:L361)=0,1,SUM(L359:L361))*(SUM(G97:G110)))</f>
        <v>7996.0700505035902</v>
      </c>
      <c r="G662" s="19">
        <f>(L360/IF(SUM(L359:L361)=0,1,SUM(L359:L361))*(SUM(G97:G110)))</f>
        <v>5257.0498989928183</v>
      </c>
      <c r="H662" s="19">
        <f>(L361/IF(SUM(L359:L361)=0,1,SUM(L359:L361))*(SUM(G97:G110)))</f>
        <v>7996.0700505035902</v>
      </c>
      <c r="I662" s="19">
        <f>SUM(F662:H662)</f>
        <v>21249.19</v>
      </c>
      <c r="J662"/>
      <c r="K662" s="13"/>
      <c r="L662" s="13"/>
      <c r="M662" s="8"/>
    </row>
    <row r="663" spans="1:13" s="3" customFormat="1" ht="12.2" customHeight="1" x14ac:dyDescent="0.2">
      <c r="A663" s="1" t="s">
        <v>128</v>
      </c>
      <c r="F663" s="19">
        <f>(L209+L288)-(J209+J288)</f>
        <v>58861.200000000019</v>
      </c>
      <c r="G663" s="19">
        <f>(L227+L307)-(J227+J307)</f>
        <v>41063.300000000003</v>
      </c>
      <c r="H663" s="19">
        <f>(L245+L326)-(J245+J326)</f>
        <v>86450.29</v>
      </c>
      <c r="I663" s="19">
        <f>SUM(F663:H663)</f>
        <v>186374.79000000004</v>
      </c>
      <c r="J663"/>
      <c r="K663" s="13"/>
      <c r="L663" s="13"/>
      <c r="M663" s="9"/>
    </row>
    <row r="664" spans="1:13" s="3" customFormat="1" ht="12.2" customHeight="1" x14ac:dyDescent="0.15">
      <c r="A664" s="197" t="s">
        <v>129</v>
      </c>
      <c r="B664" s="169"/>
      <c r="C664" s="169"/>
      <c r="D664" s="169"/>
      <c r="E664" s="169"/>
      <c r="F664" s="198">
        <f>SUM(F576:F588)+SUM(H603:H605)+SUM(L612)</f>
        <v>514735.04</v>
      </c>
      <c r="G664" s="198">
        <f>SUM(G576:G588)+SUM(I603:I605)+L613</f>
        <v>128708.86</v>
      </c>
      <c r="H664" s="198">
        <f>SUM(H576:H588)+SUM(J603:J605)+L614</f>
        <v>648428.14</v>
      </c>
      <c r="I664" s="19">
        <f>SUM(F664:H664)</f>
        <v>1291872.04</v>
      </c>
      <c r="J664" s="13"/>
      <c r="K664" s="13"/>
      <c r="L664" s="13"/>
      <c r="M664" s="9"/>
    </row>
    <row r="665" spans="1:13" s="3" customFormat="1" ht="12.2" customHeight="1" x14ac:dyDescent="0.15">
      <c r="A665" s="1" t="s">
        <v>130</v>
      </c>
      <c r="F665" s="19">
        <f>F661-SUM(F662:F664)</f>
        <v>3045928.0799758136</v>
      </c>
      <c r="G665" s="19">
        <f>G661-SUM(G662:G664)</f>
        <v>1642474.9800483752</v>
      </c>
      <c r="H665" s="19">
        <f>H661-SUM(H662:H664)</f>
        <v>2676917.0599758131</v>
      </c>
      <c r="I665" s="19">
        <f>I661-SUM(I662:I664)</f>
        <v>7365320.120000001</v>
      </c>
      <c r="J665" s="13"/>
      <c r="K665" s="13"/>
      <c r="L665" s="13"/>
      <c r="M665" s="8"/>
    </row>
    <row r="666" spans="1:13" s="3" customFormat="1" ht="12.2" customHeight="1" x14ac:dyDescent="0.2">
      <c r="A666" s="1" t="s">
        <v>131</v>
      </c>
      <c r="F666" s="245">
        <v>152.53</v>
      </c>
      <c r="G666" s="246">
        <v>95.47</v>
      </c>
      <c r="H666" s="246">
        <v>140.28</v>
      </c>
      <c r="I666" s="19">
        <f>SUM(F666:H666)</f>
        <v>388.28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19969.37</v>
      </c>
      <c r="G668" s="19">
        <f>ROUND(G665/G666,2)</f>
        <v>17204.099999999999</v>
      </c>
      <c r="H668" s="19">
        <f>ROUND(H665/H666,2)</f>
        <v>19082.669999999998</v>
      </c>
      <c r="I668" s="19">
        <f>ROUND(I665/I666,2)</f>
        <v>18969.09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-6.78</v>
      </c>
      <c r="I671" s="19">
        <f>SUM(F671:H671)</f>
        <v>-6.78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19969.37</v>
      </c>
      <c r="G673" s="19">
        <f>ROUND((G665+G670)/(G666+G671),2)</f>
        <v>17204.099999999999</v>
      </c>
      <c r="H673" s="19">
        <f>ROUND((H665+H670)/(H666+H671),2)</f>
        <v>20051.810000000001</v>
      </c>
      <c r="I673" s="19">
        <f>ROUND((I665+I670)/(I666+I671),2)</f>
        <v>19306.21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K24" sqref="K2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40824.699999999997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20183.51+675</f>
        <v>20858.509999999998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11895.34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8070.85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Gorham Randolph Shelburne Cooperative</v>
      </c>
      <c r="C5" s="376"/>
      <c r="D5" s="376"/>
      <c r="E5" s="376"/>
      <c r="F5" s="376"/>
    </row>
    <row r="8" spans="1:9" ht="18" x14ac:dyDescent="0.25">
      <c r="A8" s="312" t="s">
        <v>1568</v>
      </c>
      <c r="F8" s="319" t="s">
        <v>1586</v>
      </c>
    </row>
    <row r="9" spans="1:9" ht="15" x14ac:dyDescent="0.2">
      <c r="A9" s="310" t="s">
        <v>1569</v>
      </c>
      <c r="B9" s="313">
        <f>'DOE25'!G97</f>
        <v>21249.19</v>
      </c>
      <c r="F9" s="310" t="s">
        <v>1582</v>
      </c>
    </row>
    <row r="10" spans="1:9" ht="15" x14ac:dyDescent="0.2">
      <c r="A10" s="310" t="s">
        <v>1570</v>
      </c>
      <c r="B10" s="313">
        <f>'DOE25'!G112-'DOE25'!G97</f>
        <v>0</v>
      </c>
      <c r="F10" s="310" t="s">
        <v>1583</v>
      </c>
    </row>
    <row r="11" spans="1:9" ht="15" x14ac:dyDescent="0.2">
      <c r="A11" s="310" t="s">
        <v>1571</v>
      </c>
      <c r="B11" s="313">
        <f>'DOE25'!G140</f>
        <v>4742.0499999999993</v>
      </c>
      <c r="F11" s="310" t="s">
        <v>1584</v>
      </c>
    </row>
    <row r="12" spans="1:9" ht="15" x14ac:dyDescent="0.2">
      <c r="A12" s="310" t="s">
        <v>1572</v>
      </c>
      <c r="B12" s="313">
        <f>'DOE25'!G170</f>
        <v>301113.99</v>
      </c>
      <c r="F12" s="310" t="s">
        <v>1585</v>
      </c>
    </row>
    <row r="13" spans="1:9" ht="15" x14ac:dyDescent="0.2">
      <c r="A13" s="310" t="s">
        <v>1573</v>
      </c>
      <c r="B13" s="313">
        <f>'DOE25'!G193-'DOE25'!G180</f>
        <v>0</v>
      </c>
      <c r="F13" s="310" t="s">
        <v>1595</v>
      </c>
    </row>
    <row r="14" spans="1:9" ht="18" x14ac:dyDescent="0.25">
      <c r="A14" s="312" t="s">
        <v>732</v>
      </c>
      <c r="B14" s="314">
        <f>SUM(B9:B13)</f>
        <v>327105.23</v>
      </c>
    </row>
    <row r="16" spans="1:9" ht="18" x14ac:dyDescent="0.25">
      <c r="A16" s="312" t="s">
        <v>786</v>
      </c>
      <c r="F16" s="319" t="s">
        <v>1587</v>
      </c>
    </row>
    <row r="17" spans="1:6" ht="15" x14ac:dyDescent="0.2">
      <c r="A17" s="310" t="s">
        <v>1574</v>
      </c>
      <c r="B17" s="313">
        <f>'DOE25'!L363-'DOE25'!L362</f>
        <v>279219.75</v>
      </c>
      <c r="F17" s="310" t="s">
        <v>1588</v>
      </c>
    </row>
    <row r="18" spans="1:6" ht="15" x14ac:dyDescent="0.2">
      <c r="A18" s="310" t="s">
        <v>1575</v>
      </c>
      <c r="B18" s="323">
        <v>0</v>
      </c>
      <c r="F18" s="319" t="s">
        <v>1612</v>
      </c>
    </row>
    <row r="19" spans="1:6" ht="18" x14ac:dyDescent="0.25">
      <c r="A19" s="312" t="s">
        <v>725</v>
      </c>
      <c r="B19" s="314">
        <f>SUM(B17:B18)</f>
        <v>279219.75</v>
      </c>
    </row>
    <row r="21" spans="1:6" ht="18.75" thickBot="1" x14ac:dyDescent="0.3">
      <c r="A21" s="312" t="s">
        <v>1576</v>
      </c>
    </row>
    <row r="22" spans="1:6" ht="18.75" thickTop="1" x14ac:dyDescent="0.25">
      <c r="A22" s="312" t="s">
        <v>1577</v>
      </c>
      <c r="B22" s="318">
        <f>B14-B19</f>
        <v>47885.479999999981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898.15</v>
      </c>
      <c r="F31" s="310" t="s">
        <v>1592</v>
      </c>
    </row>
    <row r="33" spans="1:6" ht="15" x14ac:dyDescent="0.2">
      <c r="A33" s="310" t="s">
        <v>1635</v>
      </c>
      <c r="B33" s="313">
        <f>'DOE25'!G477</f>
        <v>48783.630000000005</v>
      </c>
      <c r="F33" s="310" t="s">
        <v>1593</v>
      </c>
    </row>
    <row r="36" spans="1:6" ht="15" x14ac:dyDescent="0.2">
      <c r="A36" s="310" t="s">
        <v>1579</v>
      </c>
      <c r="B36" s="324">
        <v>16934.849999999999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20" zoomScaleNormal="120" workbookViewId="0">
      <selection activeCell="F25" sqref="F2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Gorham Randolph Shelburne Cooperative</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1884358.6500000001</v>
      </c>
      <c r="C9" s="228">
        <f>'DOE25'!G198+'DOE25'!G216+'DOE25'!G234+'DOE25'!G277+'DOE25'!G296+'DOE25'!G315</f>
        <v>945685.87</v>
      </c>
    </row>
    <row r="10" spans="1:3" x14ac:dyDescent="0.2">
      <c r="A10" t="s">
        <v>775</v>
      </c>
      <c r="B10" s="239">
        <v>1752716.45</v>
      </c>
      <c r="C10" s="239">
        <v>922183.65</v>
      </c>
    </row>
    <row r="11" spans="1:3" x14ac:dyDescent="0.2">
      <c r="A11" t="s">
        <v>776</v>
      </c>
      <c r="B11" s="239">
        <v>55553.05</v>
      </c>
      <c r="C11" s="239">
        <v>19438.88</v>
      </c>
    </row>
    <row r="12" spans="1:3" x14ac:dyDescent="0.2">
      <c r="A12" t="s">
        <v>777</v>
      </c>
      <c r="B12" s="239">
        <v>76089.149999999994</v>
      </c>
      <c r="C12" s="239">
        <v>4063.34</v>
      </c>
    </row>
    <row r="13" spans="1:3" x14ac:dyDescent="0.2">
      <c r="A13" t="str">
        <f>IF(B9=B13,IF(C9=C13,"Check Total OK","Check Total Error"),"Check Total Error")</f>
        <v>Check Total OK</v>
      </c>
      <c r="B13" s="230">
        <f>SUM(B10:B12)</f>
        <v>1884358.65</v>
      </c>
      <c r="C13" s="230">
        <f>SUM(C10:C12)</f>
        <v>945685.87</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763408.58</v>
      </c>
      <c r="C18" s="228">
        <f>'DOE25'!G199+'DOE25'!G217+'DOE25'!G235+'DOE25'!G278+'DOE25'!G297+'DOE25'!G316</f>
        <v>388469.34</v>
      </c>
    </row>
    <row r="19" spans="1:3" x14ac:dyDescent="0.2">
      <c r="A19" t="s">
        <v>775</v>
      </c>
      <c r="B19" s="239">
        <v>296145.25</v>
      </c>
      <c r="C19" s="239">
        <v>178557.64</v>
      </c>
    </row>
    <row r="20" spans="1:3" x14ac:dyDescent="0.2">
      <c r="A20" t="s">
        <v>776</v>
      </c>
      <c r="B20" s="239">
        <v>431046.77</v>
      </c>
      <c r="C20" s="239">
        <v>203825.73</v>
      </c>
    </row>
    <row r="21" spans="1:3" x14ac:dyDescent="0.2">
      <c r="A21" t="s">
        <v>777</v>
      </c>
      <c r="B21" s="239">
        <v>36216.559999999998</v>
      </c>
      <c r="C21" s="239">
        <v>6085.97</v>
      </c>
    </row>
    <row r="22" spans="1:3" x14ac:dyDescent="0.2">
      <c r="A22" t="str">
        <f>IF(B18=B22,IF(C18=C22,"Check Total OK","Check Total Error"),"Check Total Error")</f>
        <v>Check Total OK</v>
      </c>
      <c r="B22" s="230">
        <f>SUM(B19:B21)</f>
        <v>763408.58000000007</v>
      </c>
      <c r="C22" s="230">
        <f>SUM(C19:C21)</f>
        <v>388469.33999999997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119006.11000000002</v>
      </c>
      <c r="C36" s="234">
        <f>'DOE25'!G201+'DOE25'!G219+'DOE25'!G237+'DOE25'!G280+'DOE25'!G299+'DOE25'!G318</f>
        <v>23962.420000000006</v>
      </c>
    </row>
    <row r="37" spans="1:3" x14ac:dyDescent="0.2">
      <c r="A37" t="s">
        <v>775</v>
      </c>
      <c r="B37" s="239">
        <v>109745.15</v>
      </c>
      <c r="C37" s="239">
        <v>23131.58</v>
      </c>
    </row>
    <row r="38" spans="1:3" x14ac:dyDescent="0.2">
      <c r="A38" t="s">
        <v>776</v>
      </c>
      <c r="B38" s="239">
        <v>7735.96</v>
      </c>
      <c r="C38" s="239">
        <v>610.49</v>
      </c>
    </row>
    <row r="39" spans="1:3" x14ac:dyDescent="0.2">
      <c r="A39" t="s">
        <v>777</v>
      </c>
      <c r="B39" s="239">
        <v>1525</v>
      </c>
      <c r="C39" s="239">
        <v>220.35</v>
      </c>
    </row>
    <row r="40" spans="1:3" x14ac:dyDescent="0.2">
      <c r="A40" t="str">
        <f>IF(B36=B40,IF(C36=C40,"Check Total OK","Check Total Error"),"Check Total Error")</f>
        <v>Check Total OK</v>
      </c>
      <c r="B40" s="230">
        <f>SUM(B37:B39)</f>
        <v>119006.11</v>
      </c>
      <c r="C40" s="230">
        <f>SUM(C37:C39)</f>
        <v>23962.420000000002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40" zoomScaleNormal="140" workbookViewId="0">
      <pane ySplit="4" topLeftCell="A5" activePane="bottomLeft" state="frozen"/>
      <selection activeCell="F46" sqref="F46"/>
      <selection pane="bottomLeft" activeCell="K12" sqref="K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Gorham Randolph Shelburne Cooperative</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5225354.540000001</v>
      </c>
      <c r="D5" s="20">
        <f>SUM('DOE25'!L198:L201)+SUM('DOE25'!L216:L219)+SUM('DOE25'!L234:L237)-F5-G5-H5</f>
        <v>5167209.5600000015</v>
      </c>
      <c r="E5" s="242"/>
      <c r="F5" s="243"/>
      <c r="G5" s="53">
        <f>SUM('DOE25'!J198:J201)+SUM('DOE25'!J216:J219)+SUM('DOE25'!J234:J237)</f>
        <v>30489.93</v>
      </c>
      <c r="H5" s="53">
        <f>SUM('DOE25'!K198:K201)+SUM('DOE25'!K216:K219)+SUM('DOE25'!K234:K237)</f>
        <v>27655.05</v>
      </c>
      <c r="I5" s="255"/>
    </row>
    <row r="6" spans="1:9" x14ac:dyDescent="0.2">
      <c r="A6" s="32">
        <v>2100</v>
      </c>
      <c r="B6" t="s">
        <v>796</v>
      </c>
      <c r="C6" s="274">
        <f t="shared" si="0"/>
        <v>776347.84999999986</v>
      </c>
      <c r="D6" s="20">
        <f>'DOE25'!L203+'DOE25'!L221+'DOE25'!L239-F6-G6-H6</f>
        <v>773167.82999999984</v>
      </c>
      <c r="E6" s="242"/>
      <c r="F6" s="243"/>
      <c r="G6" s="53">
        <f>'DOE25'!J203+'DOE25'!J221+'DOE25'!J239</f>
        <v>2280.02</v>
      </c>
      <c r="H6" s="53">
        <f>'DOE25'!K203+'DOE25'!K221+'DOE25'!K239</f>
        <v>900</v>
      </c>
      <c r="I6" s="255"/>
    </row>
    <row r="7" spans="1:9" x14ac:dyDescent="0.2">
      <c r="A7" s="32">
        <v>2200</v>
      </c>
      <c r="B7" t="s">
        <v>821</v>
      </c>
      <c r="C7" s="274">
        <f t="shared" si="0"/>
        <v>242609.64999999997</v>
      </c>
      <c r="D7" s="20">
        <f>'DOE25'!L204+'DOE25'!L222+'DOE25'!L240-F7-G7-H7</f>
        <v>226512.63999999996</v>
      </c>
      <c r="E7" s="242"/>
      <c r="F7" s="243">
        <v>0</v>
      </c>
      <c r="G7" s="53">
        <f>'DOE25'!J204+'DOE25'!J222+'DOE25'!J240</f>
        <v>16041.51</v>
      </c>
      <c r="H7" s="53">
        <f>'DOE25'!K204+'DOE25'!K222+'DOE25'!K240</f>
        <v>55.5</v>
      </c>
      <c r="I7" s="255"/>
    </row>
    <row r="8" spans="1:9" x14ac:dyDescent="0.2">
      <c r="A8" s="32">
        <v>2300</v>
      </c>
      <c r="B8" t="s">
        <v>797</v>
      </c>
      <c r="C8" s="274">
        <f t="shared" si="0"/>
        <v>426014.92000000004</v>
      </c>
      <c r="D8" s="242"/>
      <c r="E8" s="20">
        <f>'DOE25'!L205+'DOE25'!L223+'DOE25'!L241-F8-G8-H8-D9-D11</f>
        <v>417438.58</v>
      </c>
      <c r="F8" s="243"/>
      <c r="G8" s="53">
        <f>'DOE25'!J205+'DOE25'!J223+'DOE25'!J241</f>
        <v>0</v>
      </c>
      <c r="H8" s="53">
        <f>'DOE25'!K205+'DOE25'!K223+'DOE25'!K241</f>
        <v>8576.34</v>
      </c>
      <c r="I8" s="255"/>
    </row>
    <row r="9" spans="1:9" ht="14.25" x14ac:dyDescent="0.2">
      <c r="A9" s="32">
        <v>2310</v>
      </c>
      <c r="B9" s="184" t="s">
        <v>888</v>
      </c>
      <c r="C9" s="274">
        <f t="shared" si="0"/>
        <v>30453.27</v>
      </c>
      <c r="D9" s="243">
        <v>30453.27</v>
      </c>
      <c r="E9" s="242"/>
      <c r="F9" s="252"/>
      <c r="G9" s="252"/>
      <c r="H9" s="252"/>
      <c r="I9" s="255"/>
    </row>
    <row r="10" spans="1:9" ht="14.25" x14ac:dyDescent="0.2">
      <c r="A10" s="32">
        <v>2317</v>
      </c>
      <c r="B10" s="184" t="s">
        <v>889</v>
      </c>
      <c r="C10" s="274">
        <f t="shared" si="0"/>
        <v>7992.44</v>
      </c>
      <c r="D10" s="242"/>
      <c r="E10" s="243">
        <v>7992.44</v>
      </c>
      <c r="F10" s="252"/>
      <c r="G10" s="252"/>
      <c r="H10" s="252"/>
      <c r="I10" s="255"/>
    </row>
    <row r="11" spans="1:9" ht="14.25" x14ac:dyDescent="0.2">
      <c r="A11" s="32">
        <v>2321</v>
      </c>
      <c r="B11" s="184" t="s">
        <v>890</v>
      </c>
      <c r="C11" s="274">
        <f t="shared" si="0"/>
        <v>103039.08</v>
      </c>
      <c r="D11" s="243">
        <v>103039.08</v>
      </c>
      <c r="E11" s="242"/>
      <c r="F11" s="252"/>
      <c r="G11" s="252"/>
      <c r="H11" s="252"/>
      <c r="I11" s="255"/>
    </row>
    <row r="12" spans="1:9" x14ac:dyDescent="0.2">
      <c r="A12" s="32">
        <v>2400</v>
      </c>
      <c r="B12" t="s">
        <v>711</v>
      </c>
      <c r="C12" s="274">
        <f t="shared" si="0"/>
        <v>468622.07999999996</v>
      </c>
      <c r="D12" s="20">
        <f>'DOE25'!L206+'DOE25'!L224+'DOE25'!L242-F12-G12-H12</f>
        <v>450618.94999999995</v>
      </c>
      <c r="E12" s="242"/>
      <c r="F12" s="243"/>
      <c r="G12" s="53">
        <f>'DOE25'!J206+'DOE25'!J224+'DOE25'!J242</f>
        <v>3715.16</v>
      </c>
      <c r="H12" s="53">
        <f>'DOE25'!K206+'DOE25'!K224+'DOE25'!K242</f>
        <v>14287.970000000001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615479.30000000005</v>
      </c>
      <c r="D14" s="20">
        <f>'DOE25'!L208+'DOE25'!L226+'DOE25'!L244-F14-G14-H14</f>
        <v>610792.71000000008</v>
      </c>
      <c r="E14" s="242"/>
      <c r="F14" s="243">
        <v>2776.5</v>
      </c>
      <c r="G14" s="53">
        <f>'DOE25'!J208+'DOE25'!J226+'DOE25'!J244</f>
        <v>1910.0900000000001</v>
      </c>
      <c r="H14" s="53">
        <f>'DOE25'!K208+'DOE25'!K226+'DOE25'!K244</f>
        <v>0</v>
      </c>
      <c r="I14" s="255"/>
    </row>
    <row r="15" spans="1:9" x14ac:dyDescent="0.2">
      <c r="A15" s="32">
        <v>2700</v>
      </c>
      <c r="B15" t="s">
        <v>799</v>
      </c>
      <c r="C15" s="274">
        <f t="shared" si="0"/>
        <v>274211.02999999997</v>
      </c>
      <c r="D15" s="20">
        <f>'DOE25'!L209+'DOE25'!L227+'DOE25'!L245-F15-G15-H15</f>
        <v>103243.41999999998</v>
      </c>
      <c r="E15" s="242"/>
      <c r="F15" s="243">
        <v>80181.61</v>
      </c>
      <c r="G15" s="53">
        <f>'DOE25'!J209+'DOE25'!J227+'DOE25'!J245</f>
        <v>89671</v>
      </c>
      <c r="H15" s="53">
        <f>'DOE25'!K209+'DOE25'!K227+'DOE25'!K245</f>
        <v>1115</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35150</v>
      </c>
      <c r="D22" s="242"/>
      <c r="E22" s="242"/>
      <c r="F22" s="242"/>
      <c r="G22" s="53">
        <f>'DOE25'!L256+'DOE25'!L337</f>
        <v>35150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262284.90000000002</v>
      </c>
      <c r="D29" s="282">
        <f>'DOE25'!L359+'DOE25'!L360+'DOE25'!L361-'DOE25'!I368-F29-G29-H29</f>
        <v>25000.000000000029</v>
      </c>
      <c r="E29" s="242"/>
      <c r="F29" s="243">
        <v>237284.9</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423464.67000000004</v>
      </c>
      <c r="D31" s="20">
        <f>'DOE25'!L291+'DOE25'!L310+'DOE25'!L329+'DOE25'!L334+'DOE25'!L335+'DOE25'!L336-F31-G31-H31</f>
        <v>313035.24000000005</v>
      </c>
      <c r="E31" s="242"/>
      <c r="F31" s="243">
        <v>67657.17</v>
      </c>
      <c r="G31" s="53">
        <f>'DOE25'!J291+'DOE25'!J310+'DOE25'!J329+'DOE25'!J334+'DOE25'!J335+'DOE25'!J336</f>
        <v>36359.26</v>
      </c>
      <c r="H31" s="53">
        <f>'DOE25'!K291+'DOE25'!K310+'DOE25'!K329+'DOE25'!K334+'DOE25'!K335+'DOE25'!K336</f>
        <v>6413</v>
      </c>
      <c r="I31" s="255"/>
    </row>
    <row r="32" spans="1:9" ht="12" thickBot="1" x14ac:dyDescent="0.25">
      <c r="C32" s="275"/>
      <c r="G32" s="250"/>
      <c r="H32" s="250"/>
      <c r="I32" s="257"/>
    </row>
    <row r="33" spans="1:9" ht="12" thickTop="1" x14ac:dyDescent="0.2">
      <c r="B33" t="s">
        <v>809</v>
      </c>
      <c r="D33" s="244">
        <f t="shared" ref="D33:I33" si="1">SUM(D5:D31)</f>
        <v>7803072.7000000011</v>
      </c>
      <c r="E33" s="244">
        <f t="shared" si="1"/>
        <v>425431.02</v>
      </c>
      <c r="F33" s="244">
        <f t="shared" si="1"/>
        <v>387900.18</v>
      </c>
      <c r="G33" s="244">
        <f t="shared" si="1"/>
        <v>215616.97</v>
      </c>
      <c r="H33" s="244">
        <f t="shared" si="1"/>
        <v>59002.86</v>
      </c>
      <c r="I33" s="244">
        <f t="shared" si="1"/>
        <v>0</v>
      </c>
    </row>
    <row r="35" spans="1:9" ht="12" thickBot="1" x14ac:dyDescent="0.25">
      <c r="B35" s="250" t="s">
        <v>831</v>
      </c>
      <c r="D35" s="251">
        <f>E33</f>
        <v>425431.02</v>
      </c>
      <c r="E35" s="247"/>
      <c r="F35" s="328" t="s">
        <v>1617</v>
      </c>
      <c r="G35" s="329"/>
      <c r="H35" s="329"/>
      <c r="I35" s="329"/>
    </row>
    <row r="36" spans="1:9" ht="12" thickTop="1" x14ac:dyDescent="0.2">
      <c r="B36" t="s">
        <v>810</v>
      </c>
      <c r="D36" s="20">
        <f>D33</f>
        <v>7803072.7000000011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L38" sqref="L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Gorham Randolph Shelburne Cooperative</v>
      </c>
      <c r="B2" s="126">
        <f>'DOE25'!B2</f>
        <v>203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3522450</v>
      </c>
      <c r="G4" s="299">
        <f>'DOE25'!L212+'DOE25'!L291</f>
        <v>3522450.0000263168</v>
      </c>
      <c r="H4" s="340">
        <f>F4-G4</f>
        <v>-2.6316847652196884E-5</v>
      </c>
      <c r="I4" s="384"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Edward Fenn School</v>
      </c>
      <c r="B6" s="300">
        <f>IFERROR(VLOOKUP(A6,'School Tables'!$C$3:$D$365,2,FALSE),"")</f>
        <v>20745</v>
      </c>
      <c r="C6" s="293" t="str">
        <f>IFERROR(INDEX('School Tables'!$B$3:$B$365,MATCH('School Level Expenditures'!B6,'School Tables'!$D$3:$D$365,0)),"")</f>
        <v>Gorham Randolph Shelburne Cooperative</v>
      </c>
      <c r="D6" s="290">
        <v>3271330.39</v>
      </c>
      <c r="E6" s="290">
        <v>251119.61</v>
      </c>
      <c r="F6" s="303">
        <f t="shared" ref="F6:F20" si="0">D6+E6</f>
        <v>3522450</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3271330.39</v>
      </c>
      <c r="E21" s="338">
        <f>SUM(E5:E20)</f>
        <v>251119.61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1748425.22</v>
      </c>
      <c r="G24" s="299">
        <f>'DOE25'!L230+'DOE25'!L310</f>
        <v>1748425.2199473681</v>
      </c>
      <c r="H24" s="340">
        <f>F24-G24</f>
        <v>5.2631832659244537E-5</v>
      </c>
      <c r="I24" s="384"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Gorham Middle School</v>
      </c>
      <c r="B26" s="300">
        <f>IFERROR(VLOOKUP(A26,'School Tables'!$N$4:$O$75,2,FALSE),"")</f>
        <v>27005</v>
      </c>
      <c r="C26" s="293" t="str">
        <f>IFERROR(INDEX('School Tables'!$M$4:$M$75,MATCH('School Level Expenditures'!A26,'School Tables'!$N$4:$N$75,0)),"")</f>
        <v>Gorham Randolph Shelburne Cooperative</v>
      </c>
      <c r="D26" s="290">
        <v>1680012.22</v>
      </c>
      <c r="E26" s="290">
        <v>68413</v>
      </c>
      <c r="F26" s="303">
        <f t="shared" ref="F26:F32" si="1">D26+E26</f>
        <v>1748425.22</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1680012.22</v>
      </c>
      <c r="E33" s="338">
        <f>SUM(E25:E32)</f>
        <v>68413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3314721.17</v>
      </c>
      <c r="G36" s="299">
        <f>'DOE25'!L248+'DOE25'!L329</f>
        <v>3314721.1700263168</v>
      </c>
      <c r="H36" s="340">
        <f>F36-G36</f>
        <v>-2.6316847652196884E-5</v>
      </c>
      <c r="I36" s="384"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Gorham High School</v>
      </c>
      <c r="B38" s="300">
        <f>IFERROR(VLOOKUP(A38,'School Tables'!$Y$4:$Z$100,2,FALSE),"")</f>
        <v>20750</v>
      </c>
      <c r="C38" s="293" t="str">
        <f>IFERROR(INDEX('School Tables'!$X$4:$X$100,MATCH('School Level Expenditures'!A38,'School Tables'!$Y$4:$Y$100,0)),"")</f>
        <v>Gorham Randolph Shelburne Cooperative</v>
      </c>
      <c r="D38" s="290">
        <v>3248779.83</v>
      </c>
      <c r="E38" s="290">
        <v>65941.34</v>
      </c>
      <c r="F38" s="303">
        <f t="shared" si="2"/>
        <v>3314721.17</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3248779.83</v>
      </c>
      <c r="E43" s="339">
        <f>SUM(E37:E42)</f>
        <v>65941.34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Gorham Randolph Shelburne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101571.48</v>
      </c>
      <c r="D8" s="95">
        <f>'DOE25'!G9</f>
        <v>0</v>
      </c>
      <c r="E8" s="95">
        <f>'DOE25'!H9</f>
        <v>0</v>
      </c>
      <c r="F8" s="95">
        <f>'DOE25'!I9</f>
        <v>0</v>
      </c>
      <c r="G8" s="95">
        <f>'DOE25'!J9</f>
        <v>0</v>
      </c>
      <c r="H8" s="124">
        <f>SUM(C8:G8)</f>
        <v>101571.48</v>
      </c>
      <c r="I8" s="124"/>
    </row>
    <row r="9" spans="1:9" x14ac:dyDescent="0.2">
      <c r="A9" s="1" t="s">
        <v>140</v>
      </c>
      <c r="B9" s="6">
        <v>110</v>
      </c>
      <c r="C9" s="95">
        <f>'DOE25'!F10</f>
        <v>719617.28</v>
      </c>
      <c r="D9" s="95">
        <f>'DOE25'!G10</f>
        <v>0</v>
      </c>
      <c r="E9" s="95">
        <f>'DOE25'!H10</f>
        <v>0</v>
      </c>
      <c r="F9" s="95">
        <f>'DOE25'!I10</f>
        <v>0</v>
      </c>
      <c r="G9" s="95">
        <f>'DOE25'!J10</f>
        <v>1021492.45</v>
      </c>
      <c r="H9" s="124">
        <f t="shared" ref="H9:H18" si="0">SUM(C9:G9)</f>
        <v>1741109.73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71730.58</v>
      </c>
      <c r="D11" s="95">
        <f>'DOE25'!G12</f>
        <v>0</v>
      </c>
      <c r="E11" s="95">
        <f>'DOE25'!H12</f>
        <v>0</v>
      </c>
      <c r="F11" s="95">
        <f>'DOE25'!I12</f>
        <v>0</v>
      </c>
      <c r="G11" s="95">
        <f>'DOE25'!J12</f>
        <v>2953.42</v>
      </c>
      <c r="H11" s="124">
        <f t="shared" si="0"/>
        <v>74684</v>
      </c>
      <c r="I11" s="124"/>
    </row>
    <row r="12" spans="1:9" x14ac:dyDescent="0.2">
      <c r="A12" s="1" t="s">
        <v>143</v>
      </c>
      <c r="B12" s="6">
        <v>140</v>
      </c>
      <c r="C12" s="95">
        <f>'DOE25'!F13</f>
        <v>60048.54</v>
      </c>
      <c r="D12" s="95">
        <f>'DOE25'!G13</f>
        <v>74930.679999999993</v>
      </c>
      <c r="E12" s="95">
        <f>'DOE25'!H13</f>
        <v>170795.89</v>
      </c>
      <c r="F12" s="95">
        <f>'DOE25'!I13</f>
        <v>0</v>
      </c>
      <c r="G12" s="95">
        <f>'DOE25'!J13</f>
        <v>0</v>
      </c>
      <c r="H12" s="124">
        <f t="shared" si="0"/>
        <v>305775.11</v>
      </c>
      <c r="I12" s="124"/>
    </row>
    <row r="13" spans="1:9" x14ac:dyDescent="0.2">
      <c r="A13" s="1" t="s">
        <v>144</v>
      </c>
      <c r="B13" s="6">
        <v>150</v>
      </c>
      <c r="C13" s="95">
        <f>'DOE25'!F14</f>
        <v>3015.01</v>
      </c>
      <c r="D13" s="95">
        <f>'DOE25'!G14</f>
        <v>20</v>
      </c>
      <c r="E13" s="95">
        <f>'DOE25'!H14</f>
        <v>2688.4</v>
      </c>
      <c r="F13" s="95">
        <f>'DOE25'!I14</f>
        <v>0</v>
      </c>
      <c r="G13" s="95">
        <f>'DOE25'!J14</f>
        <v>0</v>
      </c>
      <c r="H13" s="124">
        <f t="shared" si="0"/>
        <v>5723.41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955982.89</v>
      </c>
      <c r="D18" s="41">
        <f>SUM(D8:D17)</f>
        <v>74950.679999999993</v>
      </c>
      <c r="E18" s="41">
        <f>SUM(E8:E17)</f>
        <v>173484.29</v>
      </c>
      <c r="F18" s="41">
        <f>SUM(F8:F17)</f>
        <v>0</v>
      </c>
      <c r="G18" s="41">
        <f>SUM(G8:G17)</f>
        <v>1024445.87</v>
      </c>
      <c r="H18" s="41">
        <f t="shared" si="0"/>
        <v>2228863.73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3499.23</v>
      </c>
      <c r="E21" s="95">
        <f>'DOE25'!H22</f>
        <v>71184.77</v>
      </c>
      <c r="F21" s="95">
        <f>'DOE25'!I22</f>
        <v>0</v>
      </c>
      <c r="G21" s="95">
        <f>'DOE25'!J22</f>
        <v>0</v>
      </c>
      <c r="H21" s="124">
        <f t="shared" ref="H21:H31" si="1">SUM(C21:G21)</f>
        <v>74684</v>
      </c>
      <c r="I21" s="124"/>
    </row>
    <row r="22" spans="1:9" x14ac:dyDescent="0.2">
      <c r="A22" s="1" t="s">
        <v>151</v>
      </c>
      <c r="B22" s="6">
        <v>410</v>
      </c>
      <c r="C22" s="95">
        <f>'DOE25'!F23</f>
        <v>2275.0700000000002</v>
      </c>
      <c r="D22" s="95">
        <f>'DOE25'!G23</f>
        <v>0</v>
      </c>
      <c r="E22" s="95">
        <f>'DOE25'!H23</f>
        <v>3005.69</v>
      </c>
      <c r="F22" s="95">
        <f>'DOE25'!I23</f>
        <v>0</v>
      </c>
      <c r="G22" s="95">
        <f>'DOE25'!J23</f>
        <v>0</v>
      </c>
      <c r="H22" s="124">
        <f t="shared" si="1"/>
        <v>5280.76</v>
      </c>
      <c r="I22" s="124"/>
    </row>
    <row r="23" spans="1:9" x14ac:dyDescent="0.2">
      <c r="A23" s="1" t="s">
        <v>152</v>
      </c>
      <c r="B23" s="6">
        <v>420</v>
      </c>
      <c r="C23" s="95">
        <f>'DOE25'!F24</f>
        <v>102610.98000000001</v>
      </c>
      <c r="D23" s="95">
        <f>'DOE25'!G24</f>
        <v>22667.82</v>
      </c>
      <c r="E23" s="95">
        <f>'DOE25'!H24</f>
        <v>18322.5</v>
      </c>
      <c r="F23" s="95">
        <f>'DOE25'!I24</f>
        <v>0</v>
      </c>
      <c r="G23" s="95">
        <f>'DOE25'!J24</f>
        <v>0</v>
      </c>
      <c r="H23" s="124">
        <f t="shared" si="1"/>
        <v>143601.30000000002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42127.8</v>
      </c>
      <c r="D28" s="95">
        <f>'DOE25'!G29</f>
        <v>0</v>
      </c>
      <c r="E28" s="95">
        <f>'DOE25'!H29</f>
        <v>0</v>
      </c>
      <c r="F28" s="95">
        <f>'DOE25'!I29</f>
        <v>0</v>
      </c>
      <c r="G28" s="24" t="s">
        <v>288</v>
      </c>
      <c r="H28" s="124">
        <f t="shared" si="1"/>
        <v>42127.8</v>
      </c>
      <c r="I28" s="124"/>
    </row>
    <row r="29" spans="1:9" x14ac:dyDescent="0.2">
      <c r="A29" s="1" t="s">
        <v>158</v>
      </c>
      <c r="B29" s="6">
        <v>480</v>
      </c>
      <c r="C29" s="95">
        <f>'DOE25'!F30</f>
        <v>0</v>
      </c>
      <c r="D29" s="95">
        <f>'DOE25'!G30</f>
        <v>0</v>
      </c>
      <c r="E29" s="95">
        <f>'DOE25'!H30</f>
        <v>80971.33</v>
      </c>
      <c r="F29" s="95">
        <f>'DOE25'!I30</f>
        <v>0</v>
      </c>
      <c r="G29" s="24" t="s">
        <v>288</v>
      </c>
      <c r="H29" s="124">
        <f t="shared" si="1"/>
        <v>80971.33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147013.85000000003</v>
      </c>
      <c r="D31" s="41">
        <f>SUM(D21:D30)</f>
        <v>26167.05</v>
      </c>
      <c r="E31" s="41">
        <f>SUM(E21:E30)</f>
        <v>173484.29</v>
      </c>
      <c r="F31" s="41">
        <f>SUM(F21:F30)</f>
        <v>0</v>
      </c>
      <c r="G31" s="41">
        <f>SUM(G21:G30)</f>
        <v>0</v>
      </c>
      <c r="H31" s="41">
        <f t="shared" si="1"/>
        <v>346665.19000000006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21049.42</v>
      </c>
      <c r="H36" s="124">
        <f t="shared" si="2"/>
        <v>21049.42</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442.86</v>
      </c>
      <c r="H38" s="124">
        <f t="shared" si="2"/>
        <v>442.86</v>
      </c>
      <c r="I38" s="124"/>
    </row>
    <row r="39" spans="1:9" x14ac:dyDescent="0.2">
      <c r="A39" s="1" t="s">
        <v>861</v>
      </c>
      <c r="B39" s="6"/>
      <c r="C39" s="24" t="s">
        <v>288</v>
      </c>
      <c r="D39" s="95">
        <f>'DOE25'!G40</f>
        <v>48783.63</v>
      </c>
      <c r="E39" s="24" t="s">
        <v>288</v>
      </c>
      <c r="F39" s="24" t="s">
        <v>288</v>
      </c>
      <c r="G39" s="24" t="s">
        <v>288</v>
      </c>
      <c r="H39" s="124">
        <f t="shared" si="2"/>
        <v>48783.63</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296417.90000000002</v>
      </c>
      <c r="D45" s="24" t="s">
        <v>288</v>
      </c>
      <c r="E45" s="24" t="s">
        <v>288</v>
      </c>
      <c r="F45" s="24" t="s">
        <v>288</v>
      </c>
      <c r="G45" s="24" t="s">
        <v>288</v>
      </c>
      <c r="H45" s="124">
        <f t="shared" si="2"/>
        <v>296417.90000000002</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1002953.59</v>
      </c>
      <c r="H47" s="124">
        <f t="shared" si="2"/>
        <v>1002953.59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512551.14</v>
      </c>
      <c r="D49" s="24" t="s">
        <v>288</v>
      </c>
      <c r="E49" s="24" t="s">
        <v>288</v>
      </c>
      <c r="F49" s="24" t="s">
        <v>288</v>
      </c>
      <c r="G49" s="24" t="s">
        <v>288</v>
      </c>
      <c r="H49" s="124">
        <f t="shared" si="2"/>
        <v>512551.14</v>
      </c>
      <c r="I49" s="124"/>
    </row>
    <row r="50" spans="1:9" ht="12.75" thickTop="1" thickBot="1" x14ac:dyDescent="0.25">
      <c r="A50" s="38" t="s">
        <v>884</v>
      </c>
      <c r="B50" s="48"/>
      <c r="C50" s="41">
        <f>SUM(C34:C49)</f>
        <v>808969.04</v>
      </c>
      <c r="D50" s="41">
        <f>SUM(D34:D49)</f>
        <v>48783.63</v>
      </c>
      <c r="E50" s="41">
        <f>SUM(E34:E49)</f>
        <v>0</v>
      </c>
      <c r="F50" s="41">
        <f>SUM(F34:F49)</f>
        <v>0</v>
      </c>
      <c r="G50" s="41">
        <f>SUM(G34:G49)</f>
        <v>1024445.87</v>
      </c>
      <c r="H50" s="41">
        <f t="shared" si="2"/>
        <v>1882198.54</v>
      </c>
      <c r="I50" s="124"/>
    </row>
    <row r="51" spans="1:9" ht="12" thickTop="1" x14ac:dyDescent="0.2">
      <c r="A51" s="38" t="s">
        <v>885</v>
      </c>
      <c r="B51" s="2"/>
      <c r="C51" s="41">
        <f>C50+C31</f>
        <v>955982.89000000013</v>
      </c>
      <c r="D51" s="41">
        <f>D50+D31</f>
        <v>74950.679999999993</v>
      </c>
      <c r="E51" s="41">
        <f>E50+E31</f>
        <v>173484.29</v>
      </c>
      <c r="F51" s="41">
        <f>F50+F31</f>
        <v>0</v>
      </c>
      <c r="G51" s="41">
        <f>G50+G31</f>
        <v>1024445.87</v>
      </c>
      <c r="H51" s="41">
        <f t="shared" si="2"/>
        <v>2228863.73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5336012</v>
      </c>
      <c r="D56" s="95">
        <f>'DOE25'!G60</f>
        <v>0</v>
      </c>
      <c r="E56" s="95">
        <f>'DOE25'!H60</f>
        <v>0</v>
      </c>
      <c r="F56" s="95">
        <f>'DOE25'!I60</f>
        <v>0</v>
      </c>
      <c r="G56" s="95">
        <f>'DOE25'!J60</f>
        <v>0</v>
      </c>
      <c r="H56" s="124">
        <f t="shared" ref="H56:H63" si="3">SUM(C56:G56)</f>
        <v>5336012</v>
      </c>
      <c r="I56"/>
    </row>
    <row r="57" spans="1:9" x14ac:dyDescent="0.2">
      <c r="A57" s="1" t="s">
        <v>164</v>
      </c>
      <c r="B57" s="6" t="s">
        <v>165</v>
      </c>
      <c r="C57" s="95">
        <f>'DOE25'!F79</f>
        <v>168880.15</v>
      </c>
      <c r="D57" s="24" t="s">
        <v>288</v>
      </c>
      <c r="E57" s="95">
        <f>'DOE25'!H79</f>
        <v>1500</v>
      </c>
      <c r="F57" s="24" t="s">
        <v>288</v>
      </c>
      <c r="G57" s="24" t="s">
        <v>288</v>
      </c>
      <c r="H57" s="124">
        <f t="shared" si="3"/>
        <v>170380.15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2851.46</v>
      </c>
      <c r="D59" s="95">
        <f>'DOE25'!G96</f>
        <v>0</v>
      </c>
      <c r="E59" s="95">
        <f>'DOE25'!H96</f>
        <v>0</v>
      </c>
      <c r="F59" s="95">
        <f>'DOE25'!I96</f>
        <v>0</v>
      </c>
      <c r="G59" s="95">
        <f>'DOE25'!J96</f>
        <v>2126.6999999999998</v>
      </c>
      <c r="H59" s="124">
        <f t="shared" si="3"/>
        <v>4978.16</v>
      </c>
      <c r="I59"/>
    </row>
    <row r="60" spans="1:9" x14ac:dyDescent="0.2">
      <c r="A60" s="1" t="s">
        <v>170</v>
      </c>
      <c r="B60" s="118" t="s">
        <v>171</v>
      </c>
      <c r="C60" s="24" t="s">
        <v>288</v>
      </c>
      <c r="D60" s="95">
        <f>'DOE25'!G97</f>
        <v>21249.19</v>
      </c>
      <c r="E60" s="24" t="s">
        <v>288</v>
      </c>
      <c r="F60" s="24" t="s">
        <v>288</v>
      </c>
      <c r="G60" s="24" t="s">
        <v>288</v>
      </c>
      <c r="H60" s="124">
        <f t="shared" si="3"/>
        <v>21249.19</v>
      </c>
      <c r="I60"/>
    </row>
    <row r="61" spans="1:9" ht="12" thickBot="1" x14ac:dyDescent="0.25">
      <c r="A61" s="1" t="s">
        <v>172</v>
      </c>
      <c r="B61" s="118" t="s">
        <v>173</v>
      </c>
      <c r="C61" s="95">
        <f>SUM('DOE25'!F98:F110)</f>
        <v>100915.26</v>
      </c>
      <c r="D61" s="95">
        <f>SUM('DOE25'!G98:G110)</f>
        <v>0</v>
      </c>
      <c r="E61" s="95">
        <f>SUM('DOE25'!H98:H110)</f>
        <v>36490.720000000001</v>
      </c>
      <c r="F61" s="95">
        <f>SUM('DOE25'!I98:I110)</f>
        <v>0</v>
      </c>
      <c r="G61" s="95">
        <f>SUM('DOE25'!J98:J110)</f>
        <v>500</v>
      </c>
      <c r="H61" s="124">
        <f t="shared" si="3"/>
        <v>137905.97999999998</v>
      </c>
      <c r="I61"/>
    </row>
    <row r="62" spans="1:9" ht="12.75" thickTop="1" thickBot="1" x14ac:dyDescent="0.25">
      <c r="A62" s="29" t="s">
        <v>174</v>
      </c>
      <c r="B62" s="6"/>
      <c r="C62" s="130">
        <f>SUM(C57:C61)</f>
        <v>272646.87</v>
      </c>
      <c r="D62" s="130">
        <f>SUM(D57:D61)</f>
        <v>21249.19</v>
      </c>
      <c r="E62" s="130">
        <f>SUM(E57:E61)</f>
        <v>37990.720000000001</v>
      </c>
      <c r="F62" s="130">
        <f>SUM(F57:F61)</f>
        <v>0</v>
      </c>
      <c r="G62" s="130">
        <f>SUM(G57:G61)</f>
        <v>2626.7</v>
      </c>
      <c r="H62" s="124">
        <f t="shared" si="3"/>
        <v>334513.48000000004</v>
      </c>
      <c r="I62"/>
    </row>
    <row r="63" spans="1:9" ht="12" thickTop="1" x14ac:dyDescent="0.2">
      <c r="A63" s="29" t="s">
        <v>175</v>
      </c>
      <c r="B63" s="6"/>
      <c r="C63" s="22">
        <f>C56+C62</f>
        <v>5608658.8700000001</v>
      </c>
      <c r="D63" s="22">
        <f>D56+D62</f>
        <v>21249.19</v>
      </c>
      <c r="E63" s="22">
        <f>E56+E62</f>
        <v>37990.720000000001</v>
      </c>
      <c r="F63" s="22">
        <f>F56+F62</f>
        <v>0</v>
      </c>
      <c r="G63" s="22">
        <f>G56+G62</f>
        <v>2626.7</v>
      </c>
      <c r="H63" s="124">
        <f t="shared" si="3"/>
        <v>5670525.4800000004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2166806.31</v>
      </c>
      <c r="D66" s="24" t="s">
        <v>288</v>
      </c>
      <c r="E66" s="24" t="s">
        <v>288</v>
      </c>
      <c r="F66" s="24" t="s">
        <v>288</v>
      </c>
      <c r="G66" s="24" t="s">
        <v>288</v>
      </c>
      <c r="H66" s="124">
        <f t="shared" ref="H66:H81" si="4">SUM(C66:G66)</f>
        <v>2166806.31</v>
      </c>
      <c r="I66"/>
    </row>
    <row r="67" spans="1:9" x14ac:dyDescent="0.2">
      <c r="A67" s="1" t="s">
        <v>770</v>
      </c>
      <c r="B67" s="6">
        <v>3112</v>
      </c>
      <c r="C67" s="95">
        <f>'DOE25'!F118</f>
        <v>623007</v>
      </c>
      <c r="D67" s="24"/>
      <c r="E67" s="24"/>
      <c r="F67" s="24"/>
      <c r="G67" s="24"/>
      <c r="H67" s="124">
        <f t="shared" si="4"/>
        <v>623007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1319.03</v>
      </c>
      <c r="D69" s="95">
        <f>'DOE25'!G120</f>
        <v>0</v>
      </c>
      <c r="E69" s="95">
        <f>'DOE25'!H120</f>
        <v>0</v>
      </c>
      <c r="F69" s="95">
        <f>'DOE25'!I120</f>
        <v>0</v>
      </c>
      <c r="G69" s="95">
        <f>'DOE25'!J120</f>
        <v>0</v>
      </c>
      <c r="H69" s="124">
        <f t="shared" si="4"/>
        <v>1319.03</v>
      </c>
      <c r="I69"/>
    </row>
    <row r="70" spans="1:9" ht="12" thickTop="1" x14ac:dyDescent="0.2">
      <c r="A70" s="29" t="s">
        <v>252</v>
      </c>
      <c r="B70" s="2"/>
      <c r="C70" s="139">
        <f>SUM(C66:C69)</f>
        <v>2791132.34</v>
      </c>
      <c r="D70" s="139">
        <f>D69</f>
        <v>0</v>
      </c>
      <c r="E70" s="139">
        <f>E69</f>
        <v>0</v>
      </c>
      <c r="F70" s="139">
        <f>F69</f>
        <v>0</v>
      </c>
      <c r="G70" s="139">
        <f>G69</f>
        <v>0</v>
      </c>
      <c r="H70" s="124">
        <f t="shared" si="4"/>
        <v>2791132.34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362030.8</v>
      </c>
      <c r="D75" s="24" t="s">
        <v>288</v>
      </c>
      <c r="E75" s="24" t="s">
        <v>288</v>
      </c>
      <c r="F75" s="24" t="s">
        <v>288</v>
      </c>
      <c r="G75" s="24" t="s">
        <v>288</v>
      </c>
      <c r="H75" s="124">
        <f t="shared" si="4"/>
        <v>362030.8</v>
      </c>
      <c r="I75"/>
    </row>
    <row r="76" spans="1:9" x14ac:dyDescent="0.2">
      <c r="A76" s="1" t="s">
        <v>257</v>
      </c>
      <c r="B76" s="6" t="s">
        <v>179</v>
      </c>
      <c r="C76" s="95">
        <f>SUM('DOE25'!F127:F130)</f>
        <v>4445</v>
      </c>
      <c r="D76" s="24" t="s">
        <v>288</v>
      </c>
      <c r="E76" s="95">
        <f>SUM('DOE25'!H127:H130)</f>
        <v>0</v>
      </c>
      <c r="F76" s="95">
        <f>SUM('DOE25'!I127:I130)</f>
        <v>0</v>
      </c>
      <c r="G76" s="24" t="s">
        <v>288</v>
      </c>
      <c r="H76" s="124">
        <f t="shared" si="4"/>
        <v>4445</v>
      </c>
      <c r="I76"/>
    </row>
    <row r="77" spans="1:9" ht="12" thickBot="1" x14ac:dyDescent="0.25">
      <c r="A77" s="1" t="s">
        <v>258</v>
      </c>
      <c r="B77" s="6" t="s">
        <v>180</v>
      </c>
      <c r="C77" s="95">
        <f>SUM('DOE25'!F131:F135)</f>
        <v>0</v>
      </c>
      <c r="D77" s="95">
        <f>SUM('DOE25'!G131:G135)</f>
        <v>4742.0499999999993</v>
      </c>
      <c r="E77" s="95">
        <f>SUM('DOE25'!H131:H135)</f>
        <v>0</v>
      </c>
      <c r="F77" s="95">
        <f>SUM('DOE25'!I131:I135)</f>
        <v>0</v>
      </c>
      <c r="G77" s="95">
        <f>SUM('DOE25'!J131:J135)</f>
        <v>0</v>
      </c>
      <c r="H77" s="124">
        <f t="shared" si="4"/>
        <v>4742.0499999999993</v>
      </c>
      <c r="I77"/>
    </row>
    <row r="78" spans="1:9" ht="12.75" thickTop="1" thickBot="1" x14ac:dyDescent="0.25">
      <c r="A78" s="29" t="s">
        <v>259</v>
      </c>
      <c r="B78" s="6"/>
      <c r="C78" s="130">
        <f>SUM(C72:C77)</f>
        <v>366475.8</v>
      </c>
      <c r="D78" s="130">
        <f>SUM(D72:D77)</f>
        <v>4742.0499999999993</v>
      </c>
      <c r="E78" s="130">
        <f>SUM(E72:E77)</f>
        <v>0</v>
      </c>
      <c r="F78" s="130">
        <f>SUM(F72:F77)</f>
        <v>0</v>
      </c>
      <c r="G78" s="130">
        <f>SUM(G72:G77)</f>
        <v>0</v>
      </c>
      <c r="H78" s="124">
        <f t="shared" si="4"/>
        <v>371217.85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3157608.1399999997</v>
      </c>
      <c r="D81" s="130">
        <f>SUM(D79:D80)+D78+D70</f>
        <v>4742.0499999999993</v>
      </c>
      <c r="E81" s="130">
        <f>SUM(E79:E80)+E78+E70</f>
        <v>0</v>
      </c>
      <c r="F81" s="130">
        <f>SUM(F79:F80)+F78+F70</f>
        <v>0</v>
      </c>
      <c r="G81" s="130">
        <f>SUM(G79:G80)+G78+G70</f>
        <v>0</v>
      </c>
      <c r="H81" s="130">
        <f t="shared" si="4"/>
        <v>3162350.1899999995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168.58</v>
      </c>
      <c r="D88" s="326">
        <f>SUM('DOE25'!G153:G162)</f>
        <v>284179.14</v>
      </c>
      <c r="E88" s="326">
        <f>SUM('DOE25'!H153:H162)</f>
        <v>406317.75</v>
      </c>
      <c r="F88" s="326">
        <f>SUM('DOE25'!I153:I162)</f>
        <v>0</v>
      </c>
      <c r="G88" s="24" t="s">
        <v>288</v>
      </c>
      <c r="H88" s="124">
        <f t="shared" si="5"/>
        <v>690665.47</v>
      </c>
    </row>
    <row r="89" spans="1:9" x14ac:dyDescent="0.2">
      <c r="A89" t="s">
        <v>748</v>
      </c>
      <c r="B89" s="32" t="s">
        <v>185</v>
      </c>
      <c r="C89" s="95">
        <f>'DOE25'!F164+'DOE25'!F167+'DOE25'!F169</f>
        <v>0</v>
      </c>
      <c r="D89" s="95">
        <f>'DOE25'!G164+'DOE25'!G169</f>
        <v>16934.849999999999</v>
      </c>
      <c r="E89" s="95">
        <f>'DOE25'!H164+'DOE25'!H169</f>
        <v>0</v>
      </c>
      <c r="F89" s="95">
        <f>'DOE25'!I164</f>
        <v>0</v>
      </c>
      <c r="G89" s="24" t="s">
        <v>288</v>
      </c>
      <c r="H89" s="124">
        <f t="shared" si="5"/>
        <v>16934.849999999999</v>
      </c>
    </row>
    <row r="90" spans="1:9" ht="12" thickBot="1" x14ac:dyDescent="0.25">
      <c r="A90" t="s">
        <v>749</v>
      </c>
      <c r="B90" s="32">
        <v>4810</v>
      </c>
      <c r="C90" s="95">
        <f>'DOE25'!F166</f>
        <v>26391.21</v>
      </c>
      <c r="D90" s="24" t="s">
        <v>288</v>
      </c>
      <c r="E90" s="24" t="s">
        <v>288</v>
      </c>
      <c r="F90" s="24" t="s">
        <v>288</v>
      </c>
      <c r="G90" s="24" t="s">
        <v>288</v>
      </c>
      <c r="H90" s="124">
        <f t="shared" si="5"/>
        <v>26391.21</v>
      </c>
    </row>
    <row r="91" spans="1:9" ht="12.75" thickTop="1" thickBot="1" x14ac:dyDescent="0.25">
      <c r="A91" s="33" t="s">
        <v>750</v>
      </c>
      <c r="C91" s="131">
        <f>SUM(C85:C90)</f>
        <v>26559.79</v>
      </c>
      <c r="D91" s="131">
        <f>SUM(D85:D90)</f>
        <v>301113.99</v>
      </c>
      <c r="E91" s="131">
        <f>SUM(E85:E90)</f>
        <v>406317.75</v>
      </c>
      <c r="F91" s="131">
        <f>SUM(F85:F90)</f>
        <v>0</v>
      </c>
      <c r="G91" s="24" t="s">
        <v>288</v>
      </c>
      <c r="H91" s="124">
        <f t="shared" si="5"/>
        <v>733991.53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40661</v>
      </c>
      <c r="H96" s="124">
        <f t="shared" si="5"/>
        <v>40661</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60000</v>
      </c>
      <c r="D99" s="95">
        <f>'DOE25'!G186</f>
        <v>0</v>
      </c>
      <c r="E99" s="95">
        <f>'DOE25'!H186</f>
        <v>0</v>
      </c>
      <c r="F99" s="95">
        <f>'DOE25'!I186</f>
        <v>26900</v>
      </c>
      <c r="G99" s="24" t="s">
        <v>288</v>
      </c>
      <c r="H99" s="124">
        <f t="shared" si="5"/>
        <v>86900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60000</v>
      </c>
      <c r="D103" s="86">
        <f>SUM(D93:D102)</f>
        <v>0</v>
      </c>
      <c r="E103" s="86">
        <f>SUM(E93:E102)</f>
        <v>0</v>
      </c>
      <c r="F103" s="86">
        <f>SUM(F93:F102)</f>
        <v>26900</v>
      </c>
      <c r="G103" s="86">
        <f>SUM(G93:G102)</f>
        <v>40661</v>
      </c>
      <c r="H103" s="86">
        <f t="shared" si="5"/>
        <v>127561</v>
      </c>
    </row>
    <row r="104" spans="1:8" ht="12.75" thickTop="1" thickBot="1" x14ac:dyDescent="0.25">
      <c r="A104" s="33" t="s">
        <v>761</v>
      </c>
      <c r="C104" s="86">
        <f>C63+C81+C91+C103</f>
        <v>8852826.7999999989</v>
      </c>
      <c r="D104" s="86">
        <f>D63+D81+D91+D103</f>
        <v>327105.23</v>
      </c>
      <c r="E104" s="86">
        <f>E63+E81+E91+E103</f>
        <v>444308.47</v>
      </c>
      <c r="F104" s="86">
        <f>F63+F81+F91+F103</f>
        <v>26900</v>
      </c>
      <c r="G104" s="86">
        <f>G63+G81+G103</f>
        <v>43287.7</v>
      </c>
      <c r="H104" s="86">
        <f t="shared" si="5"/>
        <v>9694428.1999999993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2868938.5800000005</v>
      </c>
      <c r="D109" s="24" t="s">
        <v>288</v>
      </c>
      <c r="E109" s="95">
        <f>('DOE25'!L277)+('DOE25'!L296)+('DOE25'!L315)</f>
        <v>192832.96999999997</v>
      </c>
      <c r="F109" s="24" t="s">
        <v>288</v>
      </c>
      <c r="G109" s="24" t="s">
        <v>288</v>
      </c>
      <c r="H109" s="124">
        <f t="shared" ref="H109:H115" si="6">SUM(C109:G109)</f>
        <v>3061771.5500000007</v>
      </c>
    </row>
    <row r="110" spans="1:8" x14ac:dyDescent="0.2">
      <c r="A110" t="s">
        <v>198</v>
      </c>
      <c r="B110" s="32" t="s">
        <v>199</v>
      </c>
      <c r="C110" s="95">
        <f>('DOE25'!L199)+('DOE25'!L217)+('DOE25'!L235)</f>
        <v>2111198.83</v>
      </c>
      <c r="D110" s="24" t="s">
        <v>288</v>
      </c>
      <c r="E110" s="95">
        <f>('DOE25'!L278)+('DOE25'!L297)+('DOE25'!L316)</f>
        <v>10184.75</v>
      </c>
      <c r="F110" s="24" t="s">
        <v>288</v>
      </c>
      <c r="G110" s="24" t="s">
        <v>288</v>
      </c>
      <c r="H110" s="124">
        <f t="shared" si="6"/>
        <v>2121383.58</v>
      </c>
    </row>
    <row r="111" spans="1:8" x14ac:dyDescent="0.2">
      <c r="A111" t="s">
        <v>200</v>
      </c>
      <c r="B111" s="32" t="s">
        <v>165</v>
      </c>
      <c r="C111" s="95">
        <f>('DOE25'!L200)+('DOE25'!L218)+('DOE25'!L236)</f>
        <v>54606.1</v>
      </c>
      <c r="D111" s="24" t="s">
        <v>288</v>
      </c>
      <c r="E111" s="95">
        <f>('DOE25'!L279)+('DOE25'!L298)+('DOE25'!L317)</f>
        <v>0</v>
      </c>
      <c r="F111" s="24" t="s">
        <v>288</v>
      </c>
      <c r="G111" s="24" t="s">
        <v>288</v>
      </c>
      <c r="H111" s="124">
        <f t="shared" si="6"/>
        <v>54606.1</v>
      </c>
    </row>
    <row r="112" spans="1:8" x14ac:dyDescent="0.2">
      <c r="A112" t="s">
        <v>201</v>
      </c>
      <c r="B112" s="32" t="s">
        <v>167</v>
      </c>
      <c r="C112" s="95">
        <f>('DOE25'!L201)+('DOE25'!L219)+('DOE25'!L237)</f>
        <v>190611.03000000003</v>
      </c>
      <c r="D112" s="24" t="s">
        <v>288</v>
      </c>
      <c r="E112" s="95">
        <f>+('DOE25'!L280)+('DOE25'!L299)+('DOE25'!L318)</f>
        <v>28929.48</v>
      </c>
      <c r="F112" s="24" t="s">
        <v>288</v>
      </c>
      <c r="G112" s="24" t="s">
        <v>288</v>
      </c>
      <c r="H112" s="124">
        <f t="shared" si="6"/>
        <v>219540.51000000004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5225354.54</v>
      </c>
      <c r="D115" s="86">
        <f>SUM(D109:D114)</f>
        <v>0</v>
      </c>
      <c r="E115" s="86">
        <f>SUM(E109:E114)</f>
        <v>231947.19999999998</v>
      </c>
      <c r="F115" s="86">
        <f>SUM(F109:F114)</f>
        <v>0</v>
      </c>
      <c r="G115" s="86">
        <f>SUM(G109:G114)</f>
        <v>0</v>
      </c>
      <c r="H115" s="86">
        <f t="shared" si="6"/>
        <v>5457301.7400000002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776347.84999999986</v>
      </c>
      <c r="D118" s="24" t="s">
        <v>288</v>
      </c>
      <c r="E118" s="95">
        <f>+('DOE25'!L282)+('DOE25'!L301)+('DOE25'!L320)</f>
        <v>128535.19999999998</v>
      </c>
      <c r="F118" s="24" t="s">
        <v>288</v>
      </c>
      <c r="G118" s="24" t="s">
        <v>288</v>
      </c>
      <c r="H118" s="124">
        <f t="shared" ref="H118:H145" si="7">SUM(C118:G118)</f>
        <v>904883.04999999981</v>
      </c>
    </row>
    <row r="119" spans="1:8" x14ac:dyDescent="0.2">
      <c r="A119" t="s">
        <v>208</v>
      </c>
      <c r="B119" s="32" t="s">
        <v>209</v>
      </c>
      <c r="C119" s="95">
        <f>('DOE25'!L204)+('DOE25'!L222)+('DOE25'!L240)</f>
        <v>242609.64999999997</v>
      </c>
      <c r="D119" s="24" t="s">
        <v>288</v>
      </c>
      <c r="E119" s="95">
        <f>+('DOE25'!L283)+('DOE25'!L302)+('DOE25'!L321)</f>
        <v>58562.509999999995</v>
      </c>
      <c r="F119" s="24" t="s">
        <v>288</v>
      </c>
      <c r="G119" s="24" t="s">
        <v>288</v>
      </c>
      <c r="H119" s="124">
        <f t="shared" si="7"/>
        <v>301172.15999999997</v>
      </c>
    </row>
    <row r="120" spans="1:8" x14ac:dyDescent="0.2">
      <c r="A120" t="s">
        <v>210</v>
      </c>
      <c r="B120" s="32" t="s">
        <v>211</v>
      </c>
      <c r="C120" s="95">
        <f>('DOE25'!L205)+('DOE25'!L223)+('DOE25'!L241)</f>
        <v>559507.27</v>
      </c>
      <c r="D120" s="24" t="s">
        <v>288</v>
      </c>
      <c r="E120" s="95">
        <f>+('DOE25'!L284)+('DOE25'!L303)+('DOE25'!L322)</f>
        <v>0</v>
      </c>
      <c r="F120" s="24" t="s">
        <v>288</v>
      </c>
      <c r="G120" s="24" t="s">
        <v>288</v>
      </c>
      <c r="H120" s="124">
        <f t="shared" si="7"/>
        <v>559507.27</v>
      </c>
    </row>
    <row r="121" spans="1:8" x14ac:dyDescent="0.2">
      <c r="A121" t="s">
        <v>212</v>
      </c>
      <c r="B121" s="32" t="s">
        <v>213</v>
      </c>
      <c r="C121" s="95">
        <f>('DOE25'!L206)+('DOE25'!L224)+('DOE25'!L242)</f>
        <v>468622.07999999996</v>
      </c>
      <c r="D121" s="24" t="s">
        <v>288</v>
      </c>
      <c r="E121" s="95">
        <f>+('DOE25'!L285)+('DOE25'!L304)+('DOE25'!L323)</f>
        <v>0</v>
      </c>
      <c r="F121" s="24" t="s">
        <v>288</v>
      </c>
      <c r="G121" s="24" t="s">
        <v>288</v>
      </c>
      <c r="H121" s="124">
        <f t="shared" si="7"/>
        <v>468622.07999999996</v>
      </c>
    </row>
    <row r="122" spans="1:8" x14ac:dyDescent="0.2">
      <c r="A122" t="s">
        <v>214</v>
      </c>
      <c r="B122" s="32" t="s">
        <v>215</v>
      </c>
      <c r="C122" s="95">
        <f>('DOE25'!L207)+('DOE25'!L225)+('DOE25'!L243)</f>
        <v>0</v>
      </c>
      <c r="D122" s="24" t="s">
        <v>288</v>
      </c>
      <c r="E122" s="95">
        <f>+('DOE25'!L286)+('DOE25'!L305)+('DOE25'!L324)</f>
        <v>165</v>
      </c>
      <c r="F122" s="24" t="s">
        <v>288</v>
      </c>
      <c r="G122" s="24" t="s">
        <v>288</v>
      </c>
      <c r="H122" s="124">
        <f t="shared" si="7"/>
        <v>165</v>
      </c>
    </row>
    <row r="123" spans="1:8" x14ac:dyDescent="0.2">
      <c r="A123" t="s">
        <v>216</v>
      </c>
      <c r="B123" s="32" t="s">
        <v>217</v>
      </c>
      <c r="C123" s="95">
        <f>('DOE25'!L208)+('DOE25'!L226)+('DOE25'!L244)</f>
        <v>615479.30000000005</v>
      </c>
      <c r="D123" s="24" t="s">
        <v>288</v>
      </c>
      <c r="E123" s="95">
        <f>+('DOE25'!L287)+('DOE25'!L306)+('DOE25'!L325)</f>
        <v>2420</v>
      </c>
      <c r="F123" s="24" t="s">
        <v>288</v>
      </c>
      <c r="G123" s="24" t="s">
        <v>288</v>
      </c>
      <c r="H123" s="124">
        <f t="shared" si="7"/>
        <v>617899.30000000005</v>
      </c>
    </row>
    <row r="124" spans="1:8" x14ac:dyDescent="0.2">
      <c r="A124" t="s">
        <v>218</v>
      </c>
      <c r="B124" s="32" t="s">
        <v>219</v>
      </c>
      <c r="C124" s="95">
        <f>('DOE25'!L209)+('DOE25'!L227)+('DOE25'!L245+'DOE25'!L255)</f>
        <v>274211.02999999997</v>
      </c>
      <c r="D124" s="24" t="s">
        <v>288</v>
      </c>
      <c r="E124" s="95">
        <f>+('DOE25'!L288)+('DOE25'!L307)+('DOE25'!L326)</f>
        <v>1834.7600000000002</v>
      </c>
      <c r="F124" s="24" t="s">
        <v>288</v>
      </c>
      <c r="G124" s="24" t="s">
        <v>288</v>
      </c>
      <c r="H124" s="124">
        <f t="shared" si="7"/>
        <v>276045.78999999998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279219.75</v>
      </c>
      <c r="E127" s="24" t="s">
        <v>288</v>
      </c>
      <c r="F127" s="24" t="s">
        <v>288</v>
      </c>
      <c r="G127" s="24" t="s">
        <v>288</v>
      </c>
      <c r="H127" s="124">
        <f t="shared" si="7"/>
        <v>279219.75</v>
      </c>
    </row>
    <row r="128" spans="1:8" ht="12.75" thickTop="1" thickBot="1" x14ac:dyDescent="0.25">
      <c r="A128" s="33" t="s">
        <v>226</v>
      </c>
      <c r="C128" s="86">
        <f>SUM(C118:C127)</f>
        <v>2936777.1799999992</v>
      </c>
      <c r="D128" s="86">
        <f>SUM(D118:D127)</f>
        <v>279219.75</v>
      </c>
      <c r="E128" s="86">
        <f>SUM(E118:E127)</f>
        <v>191517.46999999997</v>
      </c>
      <c r="F128" s="86">
        <f>SUM(F118:F127)</f>
        <v>0</v>
      </c>
      <c r="G128" s="86">
        <f>SUM(G118:G127)</f>
        <v>0</v>
      </c>
      <c r="H128" s="86">
        <f t="shared" si="7"/>
        <v>3407514.3999999994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35150</v>
      </c>
      <c r="D130" s="24" t="s">
        <v>288</v>
      </c>
      <c r="E130" s="129">
        <f>'DOE25'!L337</f>
        <v>0</v>
      </c>
      <c r="F130" s="129">
        <f>SUM('DOE25'!L375:'DOE25'!L381)</f>
        <v>26900</v>
      </c>
      <c r="G130" s="24" t="s">
        <v>288</v>
      </c>
      <c r="H130" s="124">
        <f t="shared" si="7"/>
        <v>62050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88900</v>
      </c>
      <c r="H134" s="124">
        <f t="shared" si="7"/>
        <v>88900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32273.329999999998</v>
      </c>
      <c r="D138" s="24" t="s">
        <v>288</v>
      </c>
      <c r="E138" s="24" t="s">
        <v>288</v>
      </c>
      <c r="F138" s="24" t="s">
        <v>288</v>
      </c>
      <c r="G138" s="24" t="s">
        <v>288</v>
      </c>
      <c r="H138" s="124">
        <f t="shared" si="7"/>
        <v>32273.329999999998</v>
      </c>
    </row>
    <row r="139" spans="1:8" x14ac:dyDescent="0.2">
      <c r="A139" t="s">
        <v>239</v>
      </c>
      <c r="B139" s="32">
        <v>5252</v>
      </c>
      <c r="C139" s="95">
        <f>'DOE25'!L402</f>
        <v>11014.37</v>
      </c>
      <c r="D139" s="24" t="s">
        <v>288</v>
      </c>
      <c r="E139" s="24" t="s">
        <v>288</v>
      </c>
      <c r="F139" s="24" t="s">
        <v>288</v>
      </c>
      <c r="G139" s="24" t="s">
        <v>288</v>
      </c>
      <c r="H139" s="124">
        <f t="shared" si="7"/>
        <v>11014.37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-2626.6999999999971</v>
      </c>
      <c r="D141" s="24" t="s">
        <v>288</v>
      </c>
      <c r="E141" s="24" t="s">
        <v>288</v>
      </c>
      <c r="F141" s="24" t="s">
        <v>288</v>
      </c>
      <c r="G141" s="24" t="s">
        <v>288</v>
      </c>
      <c r="H141" s="124">
        <f t="shared" si="7"/>
        <v>-2626.6999999999971</v>
      </c>
    </row>
    <row r="142" spans="1:8" x14ac:dyDescent="0.2">
      <c r="A142" t="s">
        <v>241</v>
      </c>
      <c r="B142" s="32">
        <v>5310</v>
      </c>
      <c r="C142" s="129">
        <f>'DOE25'!L269</f>
        <v>6250</v>
      </c>
      <c r="D142" s="24" t="s">
        <v>288</v>
      </c>
      <c r="E142" s="129">
        <f>'DOE25'!L350</f>
        <v>0</v>
      </c>
      <c r="F142" s="24" t="s">
        <v>288</v>
      </c>
      <c r="G142" s="24" t="s">
        <v>288</v>
      </c>
      <c r="H142" s="124">
        <f t="shared" si="7"/>
        <v>6250</v>
      </c>
    </row>
    <row r="143" spans="1:8" ht="12" thickBot="1" x14ac:dyDescent="0.25">
      <c r="A143" t="s">
        <v>242</v>
      </c>
      <c r="B143" s="32">
        <v>5390</v>
      </c>
      <c r="C143" s="129">
        <f>'DOE25'!L270</f>
        <v>0</v>
      </c>
      <c r="D143" s="24" t="s">
        <v>288</v>
      </c>
      <c r="E143" s="129">
        <f>'DOE25'!L351</f>
        <v>20843.8</v>
      </c>
      <c r="F143" s="24" t="s">
        <v>288</v>
      </c>
      <c r="G143" s="24" t="s">
        <v>288</v>
      </c>
      <c r="H143" s="124">
        <f t="shared" si="7"/>
        <v>20843.8</v>
      </c>
    </row>
    <row r="144" spans="1:8" ht="12" thickBot="1" x14ac:dyDescent="0.25">
      <c r="A144" s="33" t="s">
        <v>243</v>
      </c>
      <c r="C144" s="141">
        <f>SUM(C130:C143)</f>
        <v>82061</v>
      </c>
      <c r="D144" s="141">
        <f>SUM(D130:D143)</f>
        <v>0</v>
      </c>
      <c r="E144" s="141">
        <f>SUM(E130:E143)</f>
        <v>20843.8</v>
      </c>
      <c r="F144" s="141">
        <f>SUM(F130:F143)</f>
        <v>26900</v>
      </c>
      <c r="G144" s="141">
        <f>SUM(G130:G143)</f>
        <v>88900</v>
      </c>
      <c r="H144" s="141">
        <f t="shared" si="7"/>
        <v>218704.8</v>
      </c>
    </row>
    <row r="145" spans="1:9" ht="12.75" thickTop="1" thickBot="1" x14ac:dyDescent="0.25">
      <c r="A145" s="33" t="s">
        <v>244</v>
      </c>
      <c r="C145" s="86">
        <f>(C115+C128+C144)</f>
        <v>8244192.7199999988</v>
      </c>
      <c r="D145" s="86">
        <f>(D115+D128+D144)</f>
        <v>279219.75</v>
      </c>
      <c r="E145" s="86">
        <f>(E115+E128+E144)</f>
        <v>444308.46999999991</v>
      </c>
      <c r="F145" s="86">
        <f>(F115+F128+F144)</f>
        <v>26900</v>
      </c>
      <c r="G145" s="86">
        <f>(G115+G128+G144)</f>
        <v>88900</v>
      </c>
      <c r="H145" s="86">
        <f t="shared" si="7"/>
        <v>9083520.9399999995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Gorham Randolph Shelburne Cooperative</v>
      </c>
    </row>
    <row r="3" spans="1:4" x14ac:dyDescent="0.2">
      <c r="B3" s="187" t="s">
        <v>1799</v>
      </c>
    </row>
    <row r="4" spans="1:4" x14ac:dyDescent="0.2">
      <c r="B4" t="s">
        <v>61</v>
      </c>
      <c r="C4" s="178">
        <f>IF('DOE25'!F666+'DOE25'!F671=0,0,ROUND('DOE25'!F673,0))</f>
        <v>19969</v>
      </c>
    </row>
    <row r="5" spans="1:4" x14ac:dyDescent="0.2">
      <c r="B5" t="s">
        <v>700</v>
      </c>
      <c r="C5" s="178">
        <f>IF('DOE25'!G666+'DOE25'!G671=0,0,ROUND('DOE25'!G673,0))</f>
        <v>17204</v>
      </c>
    </row>
    <row r="6" spans="1:4" x14ac:dyDescent="0.2">
      <c r="B6" t="s">
        <v>62</v>
      </c>
      <c r="C6" s="178">
        <f>IF('DOE25'!H666+'DOE25'!H671=0,0,ROUND('DOE25'!H673,0))</f>
        <v>20052</v>
      </c>
    </row>
    <row r="7" spans="1:4" x14ac:dyDescent="0.2">
      <c r="B7" t="s">
        <v>701</v>
      </c>
      <c r="C7" s="178">
        <f>IF('DOE25'!I666+'DOE25'!I671=0,0,ROUND('DOE25'!I673,0))</f>
        <v>19306</v>
      </c>
    </row>
    <row r="9" spans="1:4" x14ac:dyDescent="0.2">
      <c r="A9" s="186" t="s">
        <v>94</v>
      </c>
      <c r="B9" s="187" t="s">
        <v>1800</v>
      </c>
      <c r="C9" s="180" t="s">
        <v>720</v>
      </c>
      <c r="D9" s="180" t="s">
        <v>721</v>
      </c>
    </row>
    <row r="10" spans="1:4" x14ac:dyDescent="0.2">
      <c r="A10">
        <v>1100</v>
      </c>
      <c r="B10" t="s">
        <v>702</v>
      </c>
      <c r="C10" s="178">
        <f>ROUND('DOE25'!L198+'DOE25'!L216+'DOE25'!L234+'DOE25'!L277+'DOE25'!L296+'DOE25'!L315,0)</f>
        <v>3061772</v>
      </c>
      <c r="D10" s="181">
        <f>ROUND((C10/$C$28)*100,1)</f>
        <v>34.5</v>
      </c>
    </row>
    <row r="11" spans="1:4" x14ac:dyDescent="0.2">
      <c r="A11">
        <v>1200</v>
      </c>
      <c r="B11" t="s">
        <v>703</v>
      </c>
      <c r="C11" s="178">
        <f>ROUND('DOE25'!L199+'DOE25'!L217+'DOE25'!L235+'DOE25'!L278+'DOE25'!L297+'DOE25'!L316,0)</f>
        <v>2121384</v>
      </c>
      <c r="D11" s="181">
        <f>ROUND((C11/$C$28)*100,1)</f>
        <v>23.9</v>
      </c>
    </row>
    <row r="12" spans="1:4" x14ac:dyDescent="0.2">
      <c r="A12">
        <v>1300</v>
      </c>
      <c r="B12" t="s">
        <v>704</v>
      </c>
      <c r="C12" s="178">
        <f>ROUND('DOE25'!L200+'DOE25'!L218+'DOE25'!L236+'DOE25'!L279+'DOE25'!L298+'DOE25'!L317,0)</f>
        <v>54606</v>
      </c>
      <c r="D12" s="181">
        <f>ROUND((C12/$C$28)*100,1)</f>
        <v>0.6</v>
      </c>
    </row>
    <row r="13" spans="1:4" x14ac:dyDescent="0.2">
      <c r="A13">
        <v>1400</v>
      </c>
      <c r="B13" t="s">
        <v>705</v>
      </c>
      <c r="C13" s="178">
        <f>ROUND('DOE25'!L201+'DOE25'!L219+'DOE25'!L237+'DOE25'!L280+'DOE25'!L299+'DOE25'!L318,0)</f>
        <v>219541</v>
      </c>
      <c r="D13" s="181">
        <f>ROUND((C13/$C$28)*100,1)</f>
        <v>2.5</v>
      </c>
    </row>
    <row r="14" spans="1:4" x14ac:dyDescent="0.2">
      <c r="D14" s="181"/>
    </row>
    <row r="15" spans="1:4" x14ac:dyDescent="0.2">
      <c r="A15">
        <v>2100</v>
      </c>
      <c r="B15" t="s">
        <v>706</v>
      </c>
      <c r="C15" s="178">
        <f>ROUND('DOE25'!L203+'DOE25'!L221+'DOE25'!L239+'DOE25'!L282+'DOE25'!L301+'DOE25'!L320,0)</f>
        <v>904883</v>
      </c>
      <c r="D15" s="181">
        <f t="shared" ref="D15:D27" si="0">ROUND((C15/$C$28)*100,1)</f>
        <v>10.199999999999999</v>
      </c>
    </row>
    <row r="16" spans="1:4" x14ac:dyDescent="0.2">
      <c r="A16">
        <v>2200</v>
      </c>
      <c r="B16" t="s">
        <v>707</v>
      </c>
      <c r="C16" s="178">
        <f>ROUND('DOE25'!L204+'DOE25'!L222+'DOE25'!L240+'DOE25'!L283+'DOE25'!L302+'DOE25'!L321,0)</f>
        <v>301172</v>
      </c>
      <c r="D16" s="181">
        <f t="shared" si="0"/>
        <v>3.4</v>
      </c>
    </row>
    <row r="17" spans="1:4" x14ac:dyDescent="0.2">
      <c r="A17" s="182" t="s">
        <v>723</v>
      </c>
      <c r="B17" t="s">
        <v>738</v>
      </c>
      <c r="C17" s="178">
        <f>ROUND('DOE25'!L205+'DOE25'!L210+'DOE25'!L223+'DOE25'!L228+'DOE25'!L241+'DOE25'!L246+'DOE25'!L284+'DOE25'!L289+'DOE25'!L303+'DOE25'!L308+'DOE25'!L322+'DOE25'!L327,0)</f>
        <v>559507</v>
      </c>
      <c r="D17" s="181">
        <f t="shared" si="0"/>
        <v>6.3</v>
      </c>
    </row>
    <row r="18" spans="1:4" x14ac:dyDescent="0.2">
      <c r="A18">
        <v>2400</v>
      </c>
      <c r="B18" t="s">
        <v>711</v>
      </c>
      <c r="C18" s="178">
        <f>ROUND('DOE25'!L206+'DOE25'!L224+'DOE25'!L242+'DOE25'!L285+'DOE25'!L304+'DOE25'!L323,0)</f>
        <v>468622</v>
      </c>
      <c r="D18" s="181">
        <f t="shared" si="0"/>
        <v>5.3</v>
      </c>
    </row>
    <row r="19" spans="1:4" x14ac:dyDescent="0.2">
      <c r="A19">
        <v>2500</v>
      </c>
      <c r="B19" t="s">
        <v>708</v>
      </c>
      <c r="C19" s="178">
        <f>ROUND('DOE25'!L207+'DOE25'!L225+'DOE25'!L243+'DOE25'!L286+'DOE25'!L305+'DOE25'!L324,0)</f>
        <v>165</v>
      </c>
      <c r="D19" s="181">
        <f t="shared" si="0"/>
        <v>0</v>
      </c>
    </row>
    <row r="20" spans="1:4" x14ac:dyDescent="0.2">
      <c r="A20">
        <v>2600</v>
      </c>
      <c r="B20" t="s">
        <v>709</v>
      </c>
      <c r="C20" s="178">
        <f>ROUND('DOE25'!L208+'DOE25'!L226+'DOE25'!L244+'DOE25'!L287+'DOE25'!L306+'DOE25'!L325,0)</f>
        <v>617899</v>
      </c>
      <c r="D20" s="181">
        <f t="shared" si="0"/>
        <v>7</v>
      </c>
    </row>
    <row r="21" spans="1:4" x14ac:dyDescent="0.2">
      <c r="A21">
        <v>2700</v>
      </c>
      <c r="B21" t="s">
        <v>710</v>
      </c>
      <c r="C21" s="178">
        <f>ROUND('DOE25'!L209+'DOE25'!L227+'DOE25'!L245+'DOE25'!L288+'DOE25'!L307+'DOE25'!L326,0)</f>
        <v>276046</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27093.8</v>
      </c>
      <c r="D26" s="181">
        <f t="shared" si="0"/>
        <v>0.3</v>
      </c>
    </row>
    <row r="27" spans="1:4" x14ac:dyDescent="0.2">
      <c r="A27">
        <v>3100</v>
      </c>
      <c r="B27" t="s">
        <v>11</v>
      </c>
      <c r="C27" s="178">
        <f>ROUND('DOE25'!L363-'DOE25'!L362,0)-SUM('DOE25'!G97:G110)</f>
        <v>257970.81</v>
      </c>
      <c r="D27" s="181">
        <f t="shared" si="0"/>
        <v>2.9</v>
      </c>
    </row>
    <row r="28" spans="1:4" x14ac:dyDescent="0.2">
      <c r="B28" s="186" t="s">
        <v>719</v>
      </c>
      <c r="C28" s="179">
        <f>SUM(C10:C27)</f>
        <v>8870661.6100000013</v>
      </c>
      <c r="D28" s="183">
        <f>ROUND(SUM(D10:D27),0)</f>
        <v>100</v>
      </c>
    </row>
    <row r="29" spans="1:4" x14ac:dyDescent="0.2">
      <c r="A29">
        <v>4000</v>
      </c>
      <c r="B29" t="s">
        <v>724</v>
      </c>
      <c r="C29" s="178">
        <f>ROUND('DOE25'!L256+'DOE25'!L337+'DOE25'!L375+'DOE25'!L376+'DOE25'!L377+'DOE25'!L378+'DOE25'!L379+'DOE25'!L380+'DOE25'!L381,0)</f>
        <v>62050</v>
      </c>
    </row>
    <row r="30" spans="1:4" x14ac:dyDescent="0.2">
      <c r="B30" s="186" t="s">
        <v>725</v>
      </c>
      <c r="C30" s="179">
        <f>SUM(C28:C29)</f>
        <v>8932711.6100000013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5336012</v>
      </c>
      <c r="D35" s="181">
        <f t="shared" ref="D35:D40" si="1">ROUND((C35/$C$41)*100,1)</f>
        <v>55.9</v>
      </c>
    </row>
    <row r="36" spans="1:4" x14ac:dyDescent="0.2">
      <c r="B36" s="184" t="s">
        <v>739</v>
      </c>
      <c r="C36" s="178">
        <f>SUM('DOE25'!F112:J112)-SUM('DOE25'!G97:G110)+('DOE25'!F175+'DOE25'!F176+'DOE25'!I175+'DOE25'!I176)-C35</f>
        <v>313264.29000000004</v>
      </c>
      <c r="D36" s="181">
        <f t="shared" si="1"/>
        <v>3.3</v>
      </c>
    </row>
    <row r="37" spans="1:4" x14ac:dyDescent="0.2">
      <c r="A37" s="182" t="s">
        <v>835</v>
      </c>
      <c r="B37" s="184" t="s">
        <v>728</v>
      </c>
      <c r="C37" s="178">
        <f>ROUND('DOE25'!F117+'DOE25'!F118,0)</f>
        <v>2789813</v>
      </c>
      <c r="D37" s="181">
        <f t="shared" si="1"/>
        <v>29.2</v>
      </c>
    </row>
    <row r="38" spans="1:4" x14ac:dyDescent="0.2">
      <c r="A38" s="182" t="s">
        <v>734</v>
      </c>
      <c r="B38" s="184" t="s">
        <v>729</v>
      </c>
      <c r="C38" s="178">
        <f>ROUND(SUM('DOE25'!F140:J140)-SUM('DOE25'!F117:F119),0)</f>
        <v>372537</v>
      </c>
      <c r="D38" s="181">
        <f t="shared" si="1"/>
        <v>3.9</v>
      </c>
    </row>
    <row r="39" spans="1:4" x14ac:dyDescent="0.2">
      <c r="A39">
        <v>4000</v>
      </c>
      <c r="B39" s="184" t="s">
        <v>730</v>
      </c>
      <c r="C39" s="178">
        <f>ROUND('DOE25'!F170+'DOE25'!G170+'DOE25'!H170+'DOE25'!I170,0)</f>
        <v>733992</v>
      </c>
      <c r="D39" s="181">
        <f t="shared" si="1"/>
        <v>7.7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9545618.2899999991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7" sqref="A7"/>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Gorham Randolph Shelburne Cooperative</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v>15</v>
      </c>
      <c r="B4" s="372" t="s">
        <v>1803</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21</v>
      </c>
      <c r="B5" s="218">
        <v>19</v>
      </c>
      <c r="C5" s="388" t="s">
        <v>1804</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v>22</v>
      </c>
      <c r="B6" s="372" t="s">
        <v>1805</v>
      </c>
      <c r="C6" s="388" t="s">
        <v>1806</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v>4</v>
      </c>
      <c r="B7" s="218" t="s">
        <v>1807</v>
      </c>
      <c r="C7" s="388" t="s">
        <v>1808</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74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18</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f>IF('School Level Expenditures'!$B$2='School Tables'!L21,'School Tables'!S21,"")</f>
        <v>18</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f>IF('School Level Expenditures'!$B$2='School Tables'!W28,'School Tables'!AD28,"")</f>
        <v>25</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f>IF('School Level Expenditures'!$B$2=A77,'School Tables'!H77,"")</f>
        <v>74</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2022-08-16T14:57:39Z</cp:lastPrinted>
  <dcterms:created xsi:type="dcterms:W3CDTF">1997-12-04T19:04:30Z</dcterms:created>
  <dcterms:modified xsi:type="dcterms:W3CDTF">2022-12-19T15:24:57Z</dcterms:modified>
</cp:coreProperties>
</file>