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6E13C7C-A8F3-4F9B-87F1-E2630FCF02D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605" i="1" l="1"/>
  <c r="H605" i="1"/>
  <c r="I596" i="1"/>
  <c r="H30" i="1" l="1"/>
  <c r="K325" i="15" l="1"/>
  <c r="H325" i="15"/>
  <c r="K324" i="15"/>
  <c r="H324" i="15"/>
  <c r="K323" i="15"/>
  <c r="H323" i="15"/>
  <c r="K322" i="15"/>
  <c r="H322" i="15"/>
  <c r="K321" i="15"/>
  <c r="H321" i="15"/>
  <c r="K320" i="15"/>
  <c r="H320" i="15"/>
  <c r="K319" i="15"/>
  <c r="H319" i="15"/>
  <c r="K318" i="15"/>
  <c r="H318" i="15"/>
  <c r="K317" i="15"/>
  <c r="H317" i="15"/>
  <c r="K316" i="15"/>
  <c r="H316" i="15"/>
  <c r="K315" i="15"/>
  <c r="H315" i="15"/>
  <c r="K314" i="15"/>
  <c r="H314" i="15"/>
  <c r="K313" i="15"/>
  <c r="H313" i="15"/>
  <c r="K312" i="15"/>
  <c r="H312" i="15"/>
  <c r="K311" i="15"/>
  <c r="H311" i="15"/>
  <c r="K310" i="15"/>
  <c r="H310" i="15"/>
  <c r="K309" i="15"/>
  <c r="H309" i="15"/>
  <c r="K308" i="15"/>
  <c r="H308" i="15"/>
  <c r="K307" i="15"/>
  <c r="H307" i="15"/>
  <c r="K306" i="15"/>
  <c r="H306" i="15"/>
  <c r="K305" i="15"/>
  <c r="H305" i="15"/>
  <c r="K304" i="15"/>
  <c r="H304" i="15"/>
  <c r="K303" i="15"/>
  <c r="H303" i="15"/>
  <c r="K302" i="15"/>
  <c r="H302" i="15"/>
  <c r="K301" i="15"/>
  <c r="H301" i="15"/>
  <c r="K300" i="15"/>
  <c r="H300" i="15"/>
  <c r="K299" i="15"/>
  <c r="H299" i="15"/>
  <c r="K298" i="15"/>
  <c r="H298" i="15"/>
  <c r="K297" i="15"/>
  <c r="H297" i="15"/>
  <c r="K296" i="15"/>
  <c r="H296" i="15"/>
  <c r="K295" i="15"/>
  <c r="H295" i="15"/>
  <c r="K294" i="15"/>
  <c r="H294" i="15"/>
  <c r="K293" i="15"/>
  <c r="H293" i="15"/>
  <c r="K292" i="15"/>
  <c r="H292" i="15"/>
  <c r="K291" i="15"/>
  <c r="H291" i="15"/>
  <c r="K290" i="15"/>
  <c r="H290" i="15"/>
  <c r="K289" i="15"/>
  <c r="H289" i="15"/>
  <c r="K288" i="15"/>
  <c r="H288" i="15"/>
  <c r="K287" i="15"/>
  <c r="H287" i="15"/>
  <c r="K286" i="15"/>
  <c r="H286" i="15"/>
  <c r="K285" i="15"/>
  <c r="H285" i="15"/>
  <c r="K284" i="15"/>
  <c r="H284" i="15"/>
  <c r="K283" i="15"/>
  <c r="H283" i="15"/>
  <c r="K282" i="15"/>
  <c r="H282" i="15"/>
  <c r="K281" i="15"/>
  <c r="H281" i="15"/>
  <c r="K280" i="15"/>
  <c r="H280" i="15"/>
  <c r="K279" i="15"/>
  <c r="H279" i="15"/>
  <c r="K278" i="15"/>
  <c r="H278" i="15"/>
  <c r="K277" i="15"/>
  <c r="H277" i="15"/>
  <c r="K276" i="15"/>
  <c r="H276" i="15"/>
  <c r="K275" i="15"/>
  <c r="H275" i="15"/>
  <c r="K274" i="15"/>
  <c r="H274" i="15"/>
  <c r="K273" i="15"/>
  <c r="H273" i="15"/>
  <c r="K272" i="15"/>
  <c r="H272" i="15"/>
  <c r="K271" i="15"/>
  <c r="H271" i="15"/>
  <c r="K270" i="15"/>
  <c r="H270" i="15"/>
  <c r="K269" i="15"/>
  <c r="H269" i="15"/>
  <c r="K268" i="15"/>
  <c r="H268" i="15"/>
  <c r="K267" i="15"/>
  <c r="H267" i="15"/>
  <c r="K266" i="15"/>
  <c r="H266" i="15"/>
  <c r="K265" i="15"/>
  <c r="H265" i="15"/>
  <c r="K264" i="15"/>
  <c r="H264" i="15"/>
  <c r="K263" i="15"/>
  <c r="H263" i="15"/>
  <c r="K262" i="15"/>
  <c r="H262" i="15"/>
  <c r="K261" i="15"/>
  <c r="H261" i="15"/>
  <c r="K260" i="15"/>
  <c r="H260" i="15"/>
  <c r="K259" i="15"/>
  <c r="H259" i="15"/>
  <c r="K258" i="15"/>
  <c r="H258" i="15"/>
  <c r="K257" i="15"/>
  <c r="H257" i="15"/>
  <c r="K256" i="15"/>
  <c r="H256" i="15"/>
  <c r="K255" i="15"/>
  <c r="H255" i="15"/>
  <c r="K254" i="15"/>
  <c r="H254" i="15"/>
  <c r="K253" i="15"/>
  <c r="H253" i="15"/>
  <c r="K252" i="15"/>
  <c r="H252" i="15"/>
  <c r="K251" i="15"/>
  <c r="H251" i="15"/>
  <c r="K250" i="15"/>
  <c r="H250" i="15"/>
  <c r="K249" i="15"/>
  <c r="H249" i="15"/>
  <c r="K248" i="15"/>
  <c r="H248" i="15"/>
  <c r="K247" i="15"/>
  <c r="H247" i="15"/>
  <c r="K246" i="15"/>
  <c r="H246" i="15"/>
  <c r="K245" i="15"/>
  <c r="H245" i="15"/>
  <c r="K244" i="15"/>
  <c r="H244" i="15"/>
  <c r="K243" i="15"/>
  <c r="H243" i="15"/>
  <c r="K242" i="15"/>
  <c r="H242" i="15"/>
  <c r="K241" i="15"/>
  <c r="H241" i="15"/>
  <c r="K240" i="15"/>
  <c r="H240" i="15"/>
  <c r="K239" i="15"/>
  <c r="H239" i="15"/>
  <c r="K238" i="15"/>
  <c r="H238" i="15"/>
  <c r="K237" i="15"/>
  <c r="H237" i="15"/>
  <c r="K236" i="15"/>
  <c r="H236" i="15"/>
  <c r="K235" i="15"/>
  <c r="H235" i="15"/>
  <c r="K234" i="15"/>
  <c r="H234" i="15"/>
  <c r="K233" i="15"/>
  <c r="H233" i="15"/>
  <c r="K232" i="15"/>
  <c r="H232" i="15"/>
  <c r="K231" i="15"/>
  <c r="H231" i="15"/>
  <c r="K230" i="15"/>
  <c r="H230" i="15"/>
  <c r="K229" i="15"/>
  <c r="H229" i="15"/>
  <c r="K228" i="15"/>
  <c r="H228" i="15"/>
  <c r="K227" i="15"/>
  <c r="H227" i="15"/>
  <c r="K226" i="15"/>
  <c r="H226" i="15"/>
  <c r="K225" i="15"/>
  <c r="H225" i="15"/>
  <c r="K224" i="15"/>
  <c r="H224" i="15"/>
  <c r="K223" i="15"/>
  <c r="H223" i="15"/>
  <c r="K222" i="15"/>
  <c r="H222" i="15"/>
  <c r="K221" i="15"/>
  <c r="H221" i="15"/>
  <c r="K220" i="15"/>
  <c r="H220" i="15"/>
  <c r="K219" i="15"/>
  <c r="H219" i="15"/>
  <c r="K218" i="15"/>
  <c r="H218" i="15"/>
  <c r="K217" i="15"/>
  <c r="H217" i="15"/>
  <c r="K216" i="15"/>
  <c r="H216" i="15"/>
  <c r="K215" i="15"/>
  <c r="H215" i="15"/>
  <c r="K214" i="15"/>
  <c r="H214" i="15"/>
  <c r="K213" i="15"/>
  <c r="H213" i="15"/>
  <c r="K212" i="15"/>
  <c r="H212" i="15"/>
  <c r="K211" i="15"/>
  <c r="H211" i="15"/>
  <c r="K210" i="15"/>
  <c r="H210" i="15"/>
  <c r="K209" i="15"/>
  <c r="H209" i="15"/>
  <c r="K208" i="15"/>
  <c r="H208" i="15"/>
  <c r="K207" i="15"/>
  <c r="H207" i="15"/>
  <c r="K206" i="15"/>
  <c r="H206" i="15"/>
  <c r="K205" i="15"/>
  <c r="H205" i="15"/>
  <c r="K204" i="15"/>
  <c r="H204" i="15"/>
  <c r="K203" i="15"/>
  <c r="H203" i="15"/>
  <c r="K202" i="15"/>
  <c r="H202" i="15"/>
  <c r="K201" i="15"/>
  <c r="H201" i="15"/>
  <c r="K200" i="15"/>
  <c r="H200" i="15"/>
  <c r="K199" i="15"/>
  <c r="H199" i="15"/>
  <c r="K198" i="15"/>
  <c r="H198" i="15"/>
  <c r="K197" i="15"/>
  <c r="H197" i="15"/>
  <c r="K196" i="15"/>
  <c r="H196" i="15"/>
  <c r="K195" i="15"/>
  <c r="H195" i="15"/>
  <c r="K194" i="15"/>
  <c r="H194" i="15"/>
  <c r="K193" i="15"/>
  <c r="H193" i="15"/>
  <c r="K192" i="15"/>
  <c r="H192" i="15"/>
  <c r="K191" i="15"/>
  <c r="H191" i="15"/>
  <c r="K190" i="15"/>
  <c r="H190" i="15"/>
  <c r="K189" i="15"/>
  <c r="H189" i="15"/>
  <c r="K188" i="15"/>
  <c r="H188" i="15"/>
  <c r="K187" i="15"/>
  <c r="H187" i="15"/>
  <c r="K186" i="15"/>
  <c r="H186" i="15"/>
  <c r="K185" i="15"/>
  <c r="H185" i="15"/>
  <c r="K184" i="15"/>
  <c r="H184" i="15"/>
  <c r="K183" i="15"/>
  <c r="H183" i="15"/>
  <c r="K182" i="15"/>
  <c r="H182" i="15"/>
  <c r="K181" i="15"/>
  <c r="H181" i="15"/>
  <c r="K180" i="15"/>
  <c r="H180" i="15"/>
  <c r="K179" i="15"/>
  <c r="H179" i="15"/>
  <c r="K178" i="15"/>
  <c r="H178" i="15"/>
  <c r="K177" i="15"/>
  <c r="H177" i="15"/>
  <c r="K176" i="15"/>
  <c r="H176" i="15"/>
  <c r="K175" i="15"/>
  <c r="H175" i="15"/>
  <c r="K174" i="15"/>
  <c r="H174" i="15"/>
  <c r="K173" i="15"/>
  <c r="H173" i="15"/>
  <c r="K172" i="15"/>
  <c r="H172" i="15"/>
  <c r="K171" i="15"/>
  <c r="H171" i="15"/>
  <c r="K170" i="15"/>
  <c r="H170" i="15"/>
  <c r="K169" i="15"/>
  <c r="H169" i="15"/>
  <c r="K168" i="15"/>
  <c r="H168" i="15"/>
  <c r="K167" i="15"/>
  <c r="H167" i="15"/>
  <c r="K166" i="15"/>
  <c r="H166" i="15"/>
  <c r="K165" i="15"/>
  <c r="H165" i="15"/>
  <c r="K164" i="15"/>
  <c r="H164" i="15"/>
  <c r="K163" i="15"/>
  <c r="H163" i="15"/>
  <c r="K162" i="15"/>
  <c r="H162" i="15"/>
  <c r="K161" i="15"/>
  <c r="H161" i="15"/>
  <c r="K160" i="15"/>
  <c r="H160" i="15"/>
  <c r="K159" i="15"/>
  <c r="H159" i="15"/>
  <c r="K158" i="15"/>
  <c r="H158" i="15"/>
  <c r="K157" i="15"/>
  <c r="H157" i="15"/>
  <c r="K156" i="15"/>
  <c r="H156" i="15"/>
  <c r="K155" i="15"/>
  <c r="I155" i="15"/>
  <c r="H155" i="15"/>
  <c r="K154" i="15"/>
  <c r="H154" i="15"/>
  <c r="K153" i="15"/>
  <c r="H153" i="15"/>
  <c r="K152" i="15"/>
  <c r="H152" i="15"/>
  <c r="K151" i="15"/>
  <c r="H151" i="15"/>
  <c r="K150" i="15"/>
  <c r="H150" i="15"/>
  <c r="K149" i="15"/>
  <c r="H149" i="15"/>
  <c r="K148" i="15"/>
  <c r="H148" i="15"/>
  <c r="K147" i="15"/>
  <c r="H147" i="15"/>
  <c r="K146" i="15"/>
  <c r="H146" i="15"/>
  <c r="K145" i="15"/>
  <c r="H145" i="15"/>
  <c r="K144" i="15"/>
  <c r="H144" i="15"/>
  <c r="K143" i="15"/>
  <c r="H143" i="15"/>
  <c r="K142" i="15"/>
  <c r="H142" i="15"/>
  <c r="K141" i="15"/>
  <c r="H141" i="15"/>
  <c r="K140" i="15"/>
  <c r="H140" i="15"/>
  <c r="K139" i="15"/>
  <c r="H139" i="15"/>
  <c r="K138" i="15"/>
  <c r="H138" i="15"/>
  <c r="K137" i="15"/>
  <c r="H137" i="15"/>
  <c r="K136" i="15"/>
  <c r="H136" i="15"/>
  <c r="K135" i="15"/>
  <c r="H135" i="15"/>
  <c r="K134" i="15"/>
  <c r="H134" i="15"/>
  <c r="K133" i="15"/>
  <c r="H133" i="15"/>
  <c r="K132" i="15"/>
  <c r="H132" i="15"/>
  <c r="K131" i="15"/>
  <c r="H131" i="15"/>
  <c r="K130" i="15"/>
  <c r="H130" i="15"/>
  <c r="K129" i="15"/>
  <c r="H129" i="15"/>
  <c r="K128" i="15"/>
  <c r="H128" i="15"/>
  <c r="K127" i="15"/>
  <c r="H127" i="15"/>
  <c r="K126" i="15"/>
  <c r="H126" i="15"/>
  <c r="K125" i="15"/>
  <c r="H125" i="15"/>
  <c r="K124" i="15"/>
  <c r="H124" i="15"/>
  <c r="K123" i="15"/>
  <c r="I123" i="15"/>
  <c r="H123" i="15"/>
  <c r="K122" i="15"/>
  <c r="H122" i="15"/>
  <c r="K121" i="15"/>
  <c r="H121" i="15"/>
  <c r="K120" i="15"/>
  <c r="H120" i="15"/>
  <c r="K119" i="15"/>
  <c r="H119" i="15"/>
  <c r="K118" i="15"/>
  <c r="H118" i="15"/>
  <c r="K117" i="15"/>
  <c r="H117" i="15"/>
  <c r="K116" i="15"/>
  <c r="H116" i="15"/>
  <c r="K115" i="15"/>
  <c r="H115" i="15"/>
  <c r="K114" i="15"/>
  <c r="H114" i="15"/>
  <c r="K113" i="15"/>
  <c r="H113" i="15"/>
  <c r="K112" i="15"/>
  <c r="H112" i="15"/>
  <c r="K111" i="15"/>
  <c r="H111" i="15"/>
  <c r="K110" i="15"/>
  <c r="H110" i="15"/>
  <c r="K109" i="15"/>
  <c r="H109" i="15"/>
  <c r="K108" i="15"/>
  <c r="H108" i="15"/>
  <c r="K107" i="15"/>
  <c r="H107" i="15"/>
  <c r="K106" i="15"/>
  <c r="H106" i="15"/>
  <c r="K105" i="15"/>
  <c r="H105" i="15"/>
  <c r="K104" i="15"/>
  <c r="H104" i="15"/>
  <c r="K103" i="15"/>
  <c r="H103" i="15"/>
  <c r="K102" i="15"/>
  <c r="H102" i="15"/>
  <c r="K101" i="15"/>
  <c r="H101" i="15"/>
  <c r="AD100" i="15"/>
  <c r="K100" i="15"/>
  <c r="H100" i="15"/>
  <c r="AG99" i="15"/>
  <c r="AD99" i="15"/>
  <c r="K99" i="15"/>
  <c r="H99" i="15"/>
  <c r="AG98" i="15"/>
  <c r="AD98" i="15"/>
  <c r="K98" i="15"/>
  <c r="H98" i="15"/>
  <c r="AG97" i="15"/>
  <c r="AD97" i="15"/>
  <c r="K97" i="15"/>
  <c r="H97" i="15"/>
  <c r="AG96" i="15"/>
  <c r="AD96" i="15"/>
  <c r="K96" i="15"/>
  <c r="H96" i="15"/>
  <c r="AG95" i="15"/>
  <c r="AD95" i="15"/>
  <c r="K95" i="15"/>
  <c r="H95" i="15"/>
  <c r="AG94" i="15"/>
  <c r="AD94" i="15"/>
  <c r="K94" i="15"/>
  <c r="H94" i="15"/>
  <c r="AG93" i="15"/>
  <c r="AD93" i="15"/>
  <c r="K93" i="15"/>
  <c r="H93" i="15"/>
  <c r="AG92" i="15"/>
  <c r="AD92" i="15"/>
  <c r="K92" i="15"/>
  <c r="H92" i="15"/>
  <c r="AG91" i="15"/>
  <c r="AD91" i="15"/>
  <c r="K91" i="15"/>
  <c r="H91" i="15"/>
  <c r="AG90" i="15"/>
  <c r="AD90" i="15"/>
  <c r="K90" i="15"/>
  <c r="H90" i="15"/>
  <c r="AG89" i="15"/>
  <c r="AD89" i="15"/>
  <c r="K89" i="15"/>
  <c r="H89" i="15"/>
  <c r="AG88" i="15"/>
  <c r="AD88" i="15"/>
  <c r="K88" i="15"/>
  <c r="H88" i="15"/>
  <c r="AG87" i="15"/>
  <c r="AD87" i="15"/>
  <c r="K87" i="15"/>
  <c r="H87" i="15"/>
  <c r="AG86" i="15"/>
  <c r="AD86" i="15"/>
  <c r="K86" i="15"/>
  <c r="H86" i="15"/>
  <c r="AG85" i="15"/>
  <c r="AD85" i="15"/>
  <c r="K85" i="15"/>
  <c r="H85" i="15"/>
  <c r="AG84" i="15"/>
  <c r="AD84" i="15"/>
  <c r="K84" i="15"/>
  <c r="H84" i="15"/>
  <c r="AG83" i="15"/>
  <c r="AD83" i="15"/>
  <c r="K83" i="15"/>
  <c r="H83" i="15"/>
  <c r="AG82" i="15"/>
  <c r="AD82" i="15"/>
  <c r="K82" i="15"/>
  <c r="H82" i="15"/>
  <c r="AG81" i="15"/>
  <c r="AD81" i="15"/>
  <c r="K81" i="15"/>
  <c r="H81" i="15"/>
  <c r="AG80" i="15"/>
  <c r="AD80" i="15"/>
  <c r="K80" i="15"/>
  <c r="H80" i="15"/>
  <c r="AG79" i="15"/>
  <c r="AD79" i="15"/>
  <c r="K79" i="15"/>
  <c r="H79" i="15"/>
  <c r="AG78" i="15"/>
  <c r="AD78" i="15"/>
  <c r="K78" i="15"/>
  <c r="H78" i="15"/>
  <c r="AG77" i="15"/>
  <c r="AD77" i="15"/>
  <c r="K77" i="15"/>
  <c r="H77" i="15"/>
  <c r="AG76" i="15"/>
  <c r="AD76" i="15"/>
  <c r="K76" i="15"/>
  <c r="H76" i="15"/>
  <c r="AG75" i="15"/>
  <c r="AD75" i="15"/>
  <c r="V75" i="15"/>
  <c r="S75" i="15"/>
  <c r="K75" i="15"/>
  <c r="H75" i="15"/>
  <c r="AG74" i="15"/>
  <c r="AD74" i="15"/>
  <c r="V74" i="15"/>
  <c r="S74" i="15"/>
  <c r="K74" i="15"/>
  <c r="H74" i="15"/>
  <c r="AG73" i="15"/>
  <c r="AD73" i="15"/>
  <c r="V73" i="15"/>
  <c r="S73" i="15"/>
  <c r="K73" i="15"/>
  <c r="H73" i="15"/>
  <c r="AG72" i="15"/>
  <c r="AD72" i="15"/>
  <c r="V72" i="15"/>
  <c r="S72" i="15"/>
  <c r="K72" i="15"/>
  <c r="H72" i="15"/>
  <c r="AG71" i="15"/>
  <c r="AE71" i="15"/>
  <c r="AD71" i="15"/>
  <c r="V71" i="15"/>
  <c r="S71" i="15"/>
  <c r="K71" i="15"/>
  <c r="H71" i="15"/>
  <c r="AG70" i="15"/>
  <c r="AD70" i="15"/>
  <c r="V70" i="15"/>
  <c r="S70" i="15"/>
  <c r="K70" i="15"/>
  <c r="H70" i="15"/>
  <c r="AG69" i="15"/>
  <c r="AD69" i="15"/>
  <c r="V69" i="15"/>
  <c r="S69" i="15"/>
  <c r="K69" i="15"/>
  <c r="H69" i="15"/>
  <c r="AG68" i="15"/>
  <c r="AD68" i="15"/>
  <c r="V68" i="15"/>
  <c r="S68" i="15"/>
  <c r="K68" i="15"/>
  <c r="H68" i="15"/>
  <c r="AG67" i="15"/>
  <c r="AD67" i="15"/>
  <c r="V67" i="15"/>
  <c r="S67" i="15"/>
  <c r="K67" i="15"/>
  <c r="H67" i="15"/>
  <c r="AG66" i="15"/>
  <c r="AD66" i="15"/>
  <c r="V66" i="15"/>
  <c r="S66" i="15"/>
  <c r="K66" i="15"/>
  <c r="H66" i="15"/>
  <c r="AG65" i="15"/>
  <c r="AD65" i="15"/>
  <c r="V65" i="15"/>
  <c r="S65" i="15"/>
  <c r="K65" i="15"/>
  <c r="H65" i="15"/>
  <c r="AG64" i="15"/>
  <c r="AD64" i="15"/>
  <c r="V64" i="15"/>
  <c r="T64" i="15"/>
  <c r="S64" i="15"/>
  <c r="K64" i="15"/>
  <c r="H64" i="15"/>
  <c r="AG63" i="15"/>
  <c r="AD63" i="15"/>
  <c r="V63" i="15"/>
  <c r="S63" i="15"/>
  <c r="K63" i="15"/>
  <c r="H63" i="15"/>
  <c r="AG62" i="15"/>
  <c r="AD62" i="15"/>
  <c r="V62" i="15"/>
  <c r="S62" i="15"/>
  <c r="K62" i="15"/>
  <c r="H62" i="15"/>
  <c r="AG61" i="15"/>
  <c r="AD61" i="15"/>
  <c r="V61" i="15"/>
  <c r="S61" i="15"/>
  <c r="K61" i="15"/>
  <c r="H61" i="15"/>
  <c r="AG60" i="15"/>
  <c r="AD60" i="15"/>
  <c r="V60" i="15"/>
  <c r="S60" i="15"/>
  <c r="K60" i="15"/>
  <c r="H60" i="15"/>
  <c r="AG59" i="15"/>
  <c r="AD59" i="15"/>
  <c r="V59" i="15"/>
  <c r="S59" i="15"/>
  <c r="K59" i="15"/>
  <c r="I59" i="15"/>
  <c r="H59" i="15"/>
  <c r="AG58" i="15"/>
  <c r="AD58" i="15"/>
  <c r="V58" i="15"/>
  <c r="S58" i="15"/>
  <c r="K58" i="15"/>
  <c r="H58" i="15"/>
  <c r="AG57" i="15"/>
  <c r="AD57" i="15"/>
  <c r="V57" i="15"/>
  <c r="S57" i="15"/>
  <c r="K57" i="15"/>
  <c r="H57" i="15"/>
  <c r="AG56" i="15"/>
  <c r="AD56" i="15"/>
  <c r="V56" i="15"/>
  <c r="S56" i="15"/>
  <c r="K56" i="15"/>
  <c r="H56" i="15"/>
  <c r="AG55" i="15"/>
  <c r="AD55" i="15"/>
  <c r="V55" i="15"/>
  <c r="S55" i="15"/>
  <c r="K55" i="15"/>
  <c r="H55" i="15"/>
  <c r="AG54" i="15"/>
  <c r="AD54" i="15"/>
  <c r="V54" i="15"/>
  <c r="S54" i="15"/>
  <c r="K54" i="15"/>
  <c r="H54" i="15"/>
  <c r="AG53" i="15"/>
  <c r="AD53" i="15"/>
  <c r="V53" i="15"/>
  <c r="S53" i="15"/>
  <c r="K53" i="15"/>
  <c r="H53" i="15"/>
  <c r="AG52" i="15"/>
  <c r="AD52" i="15"/>
  <c r="V52" i="15"/>
  <c r="S52" i="15"/>
  <c r="K52" i="15"/>
  <c r="H52" i="15"/>
  <c r="AG51" i="15"/>
  <c r="AD51" i="15"/>
  <c r="V51" i="15"/>
  <c r="S51" i="15"/>
  <c r="K51" i="15"/>
  <c r="H51" i="15"/>
  <c r="AG50" i="15"/>
  <c r="AD50" i="15"/>
  <c r="V50" i="15"/>
  <c r="S50" i="15"/>
  <c r="K50" i="15"/>
  <c r="H50" i="15"/>
  <c r="AG49" i="15"/>
  <c r="AD49" i="15"/>
  <c r="V49" i="15"/>
  <c r="S49" i="15"/>
  <c r="K49" i="15"/>
  <c r="H49" i="15"/>
  <c r="AG48" i="15"/>
  <c r="AD48" i="15"/>
  <c r="V48" i="15"/>
  <c r="S48" i="15"/>
  <c r="K48" i="15"/>
  <c r="H48" i="15"/>
  <c r="AG47" i="15"/>
  <c r="AD47" i="15"/>
  <c r="V47" i="15"/>
  <c r="S47" i="15"/>
  <c r="K47" i="15"/>
  <c r="H47" i="15"/>
  <c r="AG46" i="15"/>
  <c r="AD46" i="15"/>
  <c r="V46" i="15"/>
  <c r="S46" i="15"/>
  <c r="K46" i="15"/>
  <c r="H46" i="15"/>
  <c r="AG45" i="15"/>
  <c r="AD45" i="15"/>
  <c r="V45" i="15"/>
  <c r="S45" i="15"/>
  <c r="K45" i="15"/>
  <c r="H45" i="15"/>
  <c r="AG44" i="15"/>
  <c r="AD44" i="15"/>
  <c r="V44" i="15"/>
  <c r="S44" i="15"/>
  <c r="K44" i="15"/>
  <c r="H44" i="15"/>
  <c r="AG43" i="15"/>
  <c r="AD43" i="15"/>
  <c r="V43" i="15"/>
  <c r="S43" i="15"/>
  <c r="K43" i="15"/>
  <c r="H43" i="15"/>
  <c r="AG42" i="15"/>
  <c r="AD42" i="15"/>
  <c r="V42" i="15"/>
  <c r="S42" i="15"/>
  <c r="K42" i="15"/>
  <c r="H42" i="15"/>
  <c r="AG41" i="15"/>
  <c r="AD41" i="15"/>
  <c r="V41" i="15"/>
  <c r="S41" i="15"/>
  <c r="K41" i="15"/>
  <c r="H41" i="15"/>
  <c r="AG40" i="15"/>
  <c r="AD40" i="15"/>
  <c r="V40" i="15"/>
  <c r="T40" i="15"/>
  <c r="S40" i="15"/>
  <c r="K40" i="15"/>
  <c r="H40" i="15"/>
  <c r="AG39" i="15"/>
  <c r="AD39" i="15"/>
  <c r="V39" i="15"/>
  <c r="S39" i="15"/>
  <c r="K39" i="15"/>
  <c r="H39" i="15"/>
  <c r="AG38" i="15"/>
  <c r="AD38" i="15"/>
  <c r="V38" i="15"/>
  <c r="S38" i="15"/>
  <c r="K38" i="15"/>
  <c r="I38" i="15"/>
  <c r="H38" i="15"/>
  <c r="AG37" i="15"/>
  <c r="AD37" i="15"/>
  <c r="V37" i="15"/>
  <c r="S37" i="15"/>
  <c r="K37" i="15"/>
  <c r="H37" i="15"/>
  <c r="AG36" i="15"/>
  <c r="AD36" i="15"/>
  <c r="V36" i="15"/>
  <c r="S36" i="15"/>
  <c r="K36" i="15"/>
  <c r="H36" i="15"/>
  <c r="AG35" i="15"/>
  <c r="AD35" i="15"/>
  <c r="V35" i="15"/>
  <c r="S35" i="15"/>
  <c r="K35" i="15"/>
  <c r="H35" i="15"/>
  <c r="AG34" i="15"/>
  <c r="AD34" i="15"/>
  <c r="V34" i="15"/>
  <c r="S34" i="15"/>
  <c r="K34" i="15"/>
  <c r="H34" i="15"/>
  <c r="AG33" i="15"/>
  <c r="AD33" i="15"/>
  <c r="V33" i="15"/>
  <c r="S33" i="15"/>
  <c r="K33" i="15"/>
  <c r="H33" i="15"/>
  <c r="AG32" i="15"/>
  <c r="AD32" i="15"/>
  <c r="V32" i="15"/>
  <c r="S32" i="15"/>
  <c r="K32" i="15"/>
  <c r="H32" i="15"/>
  <c r="AG31" i="15"/>
  <c r="AD31" i="15"/>
  <c r="V31" i="15"/>
  <c r="S31" i="15"/>
  <c r="K31" i="15"/>
  <c r="H31" i="15"/>
  <c r="AG30" i="15"/>
  <c r="AD30" i="15"/>
  <c r="V30" i="15"/>
  <c r="S30" i="15"/>
  <c r="K30" i="15"/>
  <c r="H30" i="15"/>
  <c r="AG29" i="15"/>
  <c r="AD29" i="15"/>
  <c r="V29" i="15"/>
  <c r="S29" i="15"/>
  <c r="K29" i="15"/>
  <c r="I29" i="15"/>
  <c r="H29" i="15"/>
  <c r="AG28" i="15"/>
  <c r="AD28" i="15"/>
  <c r="V28" i="15"/>
  <c r="S28" i="15"/>
  <c r="K28" i="15"/>
  <c r="H28" i="15"/>
  <c r="AG27" i="15"/>
  <c r="AD27" i="15"/>
  <c r="V27" i="15"/>
  <c r="S27" i="15"/>
  <c r="K27" i="15"/>
  <c r="H27" i="15"/>
  <c r="AG26" i="15"/>
  <c r="AE26" i="15"/>
  <c r="AD26" i="15"/>
  <c r="V26" i="15"/>
  <c r="S26" i="15"/>
  <c r="K26" i="15"/>
  <c r="H26" i="15"/>
  <c r="AG25" i="15"/>
  <c r="AD25" i="15"/>
  <c r="V25" i="15"/>
  <c r="S25" i="15"/>
  <c r="K25" i="15"/>
  <c r="H25" i="15"/>
  <c r="AG24" i="15"/>
  <c r="AD24" i="15"/>
  <c r="V24" i="15"/>
  <c r="S24" i="15"/>
  <c r="K24" i="15"/>
  <c r="H24" i="15"/>
  <c r="AG23" i="15"/>
  <c r="AE23" i="15"/>
  <c r="AD23" i="15"/>
  <c r="V23" i="15"/>
  <c r="S23" i="15"/>
  <c r="K23" i="15"/>
  <c r="H23" i="15"/>
  <c r="AG22" i="15"/>
  <c r="AD22" i="15"/>
  <c r="V22" i="15"/>
  <c r="S22" i="15"/>
  <c r="K22" i="15"/>
  <c r="H22" i="15"/>
  <c r="AG21" i="15"/>
  <c r="AD21" i="15"/>
  <c r="V21" i="15"/>
  <c r="T21" i="15"/>
  <c r="S21" i="15"/>
  <c r="K21" i="15"/>
  <c r="H21" i="15"/>
  <c r="AG20" i="15"/>
  <c r="AD20" i="15"/>
  <c r="V20" i="15"/>
  <c r="S20" i="15"/>
  <c r="K20" i="15"/>
  <c r="H20" i="15"/>
  <c r="AG19" i="15"/>
  <c r="AD19" i="15"/>
  <c r="V19" i="15"/>
  <c r="S19" i="15"/>
  <c r="K19" i="15"/>
  <c r="I19" i="15"/>
  <c r="H19" i="15"/>
  <c r="AG18" i="15"/>
  <c r="AD18" i="15"/>
  <c r="V18" i="15"/>
  <c r="S18" i="15"/>
  <c r="K18" i="15"/>
  <c r="H18" i="15"/>
  <c r="AG17" i="15"/>
  <c r="AD17" i="15"/>
  <c r="V17" i="15"/>
  <c r="S17" i="15"/>
  <c r="K17" i="15"/>
  <c r="H17" i="15"/>
  <c r="AG16" i="15"/>
  <c r="AE16" i="15"/>
  <c r="AD16" i="15"/>
  <c r="V16" i="15"/>
  <c r="S16" i="15"/>
  <c r="K16" i="15"/>
  <c r="H16" i="15"/>
  <c r="AG15" i="15"/>
  <c r="AD15" i="15"/>
  <c r="V15" i="15"/>
  <c r="S15" i="15"/>
  <c r="K15" i="15"/>
  <c r="H15" i="15"/>
  <c r="AG14" i="15"/>
  <c r="AD14" i="15"/>
  <c r="V14" i="15"/>
  <c r="S14" i="15"/>
  <c r="K14" i="15"/>
  <c r="H14" i="15"/>
  <c r="AG13" i="15"/>
  <c r="AD13" i="15"/>
  <c r="V13" i="15"/>
  <c r="S13" i="15"/>
  <c r="K13" i="15"/>
  <c r="H13" i="15"/>
  <c r="AG12" i="15"/>
  <c r="AD12" i="15"/>
  <c r="V12" i="15"/>
  <c r="S12" i="15"/>
  <c r="K12" i="15"/>
  <c r="H12" i="15"/>
  <c r="AG11" i="15"/>
  <c r="AD11" i="15"/>
  <c r="V11" i="15"/>
  <c r="S11" i="15"/>
  <c r="K11" i="15"/>
  <c r="H11" i="15"/>
  <c r="AG10" i="15"/>
  <c r="AD10" i="15"/>
  <c r="V10" i="15"/>
  <c r="S10" i="15"/>
  <c r="K10" i="15"/>
  <c r="H10" i="15"/>
  <c r="AG9" i="15"/>
  <c r="AD9" i="15"/>
  <c r="V9" i="15"/>
  <c r="S9" i="15"/>
  <c r="K9" i="15"/>
  <c r="H9" i="15"/>
  <c r="AG8" i="15"/>
  <c r="AD8" i="15"/>
  <c r="V8" i="15"/>
  <c r="S8" i="15"/>
  <c r="K8" i="15"/>
  <c r="H8" i="15"/>
  <c r="AG7" i="15"/>
  <c r="AD7" i="15"/>
  <c r="V7" i="15"/>
  <c r="S7" i="15"/>
  <c r="K7" i="15"/>
  <c r="H7" i="15"/>
  <c r="AG6" i="15"/>
  <c r="AD6" i="15"/>
  <c r="V6" i="15"/>
  <c r="S6" i="15"/>
  <c r="K6" i="15"/>
  <c r="H6" i="15"/>
  <c r="AG5" i="15"/>
  <c r="AD5" i="15"/>
  <c r="V5" i="15"/>
  <c r="S5" i="15"/>
  <c r="K5" i="15"/>
  <c r="H5" i="15"/>
  <c r="AG4" i="15"/>
  <c r="AD4" i="15"/>
  <c r="V4" i="15"/>
  <c r="S4" i="15"/>
  <c r="K4" i="15"/>
  <c r="H4" i="15"/>
  <c r="F2" i="11"/>
  <c r="C42" i="10"/>
  <c r="C40" i="10"/>
  <c r="C37" i="10"/>
  <c r="C6" i="10"/>
  <c r="B2" i="10"/>
  <c r="B164" i="2"/>
  <c r="G163" i="2"/>
  <c r="F163" i="2"/>
  <c r="E163" i="2"/>
  <c r="D163" i="2"/>
  <c r="C163" i="2"/>
  <c r="B163" i="2"/>
  <c r="F162" i="2"/>
  <c r="E162" i="2"/>
  <c r="D162" i="2"/>
  <c r="C162" i="2"/>
  <c r="B162" i="2"/>
  <c r="F160" i="2"/>
  <c r="E160" i="2"/>
  <c r="D160" i="2"/>
  <c r="C160" i="2"/>
  <c r="B160" i="2"/>
  <c r="F159" i="2"/>
  <c r="E159" i="2"/>
  <c r="D159" i="2"/>
  <c r="C159" i="2"/>
  <c r="G159" i="2" s="1"/>
  <c r="B159" i="2"/>
  <c r="F158" i="2"/>
  <c r="E158" i="2"/>
  <c r="D158" i="2"/>
  <c r="C158" i="2"/>
  <c r="B158" i="2"/>
  <c r="F157" i="2"/>
  <c r="E157" i="2"/>
  <c r="D157" i="2"/>
  <c r="G157" i="2" s="1"/>
  <c r="C157" i="2"/>
  <c r="B157" i="2"/>
  <c r="F156" i="2"/>
  <c r="E156" i="2"/>
  <c r="D156" i="2"/>
  <c r="C156" i="2"/>
  <c r="B156" i="2"/>
  <c r="G156" i="2" s="1"/>
  <c r="F155" i="2"/>
  <c r="E155" i="2"/>
  <c r="D155" i="2"/>
  <c r="C155" i="2"/>
  <c r="B155" i="2"/>
  <c r="F154" i="2"/>
  <c r="E154" i="2"/>
  <c r="D154" i="2"/>
  <c r="C154" i="2"/>
  <c r="B154" i="2"/>
  <c r="F153" i="2"/>
  <c r="E153" i="2"/>
  <c r="D153" i="2"/>
  <c r="C153" i="2"/>
  <c r="B153" i="2"/>
  <c r="F152" i="2"/>
  <c r="E152" i="2"/>
  <c r="D152" i="2"/>
  <c r="C152" i="2"/>
  <c r="B152" i="2"/>
  <c r="F151" i="2"/>
  <c r="E151" i="2"/>
  <c r="D151" i="2"/>
  <c r="C151" i="2"/>
  <c r="B151" i="2"/>
  <c r="F134" i="2"/>
  <c r="E134" i="2"/>
  <c r="D134" i="2"/>
  <c r="D144" i="2" s="1"/>
  <c r="G128" i="2"/>
  <c r="F128" i="2"/>
  <c r="G115" i="2"/>
  <c r="F115" i="2"/>
  <c r="D115" i="2"/>
  <c r="C113" i="2"/>
  <c r="F102" i="2"/>
  <c r="E102" i="2"/>
  <c r="D102" i="2"/>
  <c r="C102" i="2"/>
  <c r="H102" i="2" s="1"/>
  <c r="F101" i="2"/>
  <c r="H101" i="2" s="1"/>
  <c r="E101" i="2"/>
  <c r="D101" i="2"/>
  <c r="C101" i="2"/>
  <c r="F100" i="2"/>
  <c r="E100" i="2"/>
  <c r="D100" i="2"/>
  <c r="C100" i="2"/>
  <c r="H100" i="2" s="1"/>
  <c r="F99" i="2"/>
  <c r="E99" i="2"/>
  <c r="D99" i="2"/>
  <c r="C99" i="2"/>
  <c r="H99" i="2" s="1"/>
  <c r="G98" i="2"/>
  <c r="E98" i="2"/>
  <c r="H98" i="2" s="1"/>
  <c r="D98" i="2"/>
  <c r="C98" i="2"/>
  <c r="G97" i="2"/>
  <c r="F97" i="2"/>
  <c r="E97" i="2"/>
  <c r="D97" i="2"/>
  <c r="C97" i="2"/>
  <c r="H97" i="2" s="1"/>
  <c r="G96" i="2"/>
  <c r="G103" i="2" s="1"/>
  <c r="F96" i="2"/>
  <c r="E96" i="2"/>
  <c r="E103" i="2" s="1"/>
  <c r="D96" i="2"/>
  <c r="F94" i="2"/>
  <c r="C94" i="2"/>
  <c r="H94" i="2" s="1"/>
  <c r="F93" i="2"/>
  <c r="C93" i="2"/>
  <c r="H90" i="2"/>
  <c r="C90" i="2"/>
  <c r="F89" i="2"/>
  <c r="E89" i="2"/>
  <c r="D89" i="2"/>
  <c r="C89" i="2"/>
  <c r="F88" i="2"/>
  <c r="E88" i="2"/>
  <c r="D88" i="2"/>
  <c r="C88" i="2"/>
  <c r="F87" i="2"/>
  <c r="E87" i="2"/>
  <c r="C87" i="2"/>
  <c r="H87" i="2" s="1"/>
  <c r="F81" i="2"/>
  <c r="E80" i="2"/>
  <c r="C80" i="2"/>
  <c r="H80" i="2" s="1"/>
  <c r="E79" i="2"/>
  <c r="D79" i="2"/>
  <c r="C79" i="2"/>
  <c r="G77" i="2"/>
  <c r="G78" i="2" s="1"/>
  <c r="G81" i="2" s="1"/>
  <c r="F77" i="2"/>
  <c r="E77" i="2"/>
  <c r="D77" i="2"/>
  <c r="D78" i="2" s="1"/>
  <c r="C77" i="2"/>
  <c r="F76" i="2"/>
  <c r="E76" i="2"/>
  <c r="C76" i="2"/>
  <c r="H76" i="2" s="1"/>
  <c r="C75" i="2"/>
  <c r="H75" i="2" s="1"/>
  <c r="H74" i="2"/>
  <c r="C74" i="2"/>
  <c r="F73" i="2"/>
  <c r="F78" i="2" s="1"/>
  <c r="C73" i="2"/>
  <c r="H73" i="2" s="1"/>
  <c r="H72" i="2"/>
  <c r="F72" i="2"/>
  <c r="C72" i="2"/>
  <c r="G70" i="2"/>
  <c r="D70" i="2"/>
  <c r="G69" i="2"/>
  <c r="F69" i="2"/>
  <c r="F70" i="2" s="1"/>
  <c r="E69" i="2"/>
  <c r="E70" i="2" s="1"/>
  <c r="D69" i="2"/>
  <c r="C69" i="2"/>
  <c r="H69" i="2" s="1"/>
  <c r="C68" i="2"/>
  <c r="H67" i="2"/>
  <c r="C67" i="2"/>
  <c r="C66" i="2"/>
  <c r="H66" i="2" s="1"/>
  <c r="G61" i="2"/>
  <c r="F61" i="2"/>
  <c r="E61" i="2"/>
  <c r="D61" i="2"/>
  <c r="C61" i="2"/>
  <c r="G59" i="2"/>
  <c r="F59" i="2"/>
  <c r="F62" i="2" s="1"/>
  <c r="E59" i="2"/>
  <c r="D59" i="2"/>
  <c r="C59" i="2"/>
  <c r="D56" i="2"/>
  <c r="C56" i="2"/>
  <c r="C49" i="2"/>
  <c r="F48" i="2"/>
  <c r="E48" i="2"/>
  <c r="D48" i="2"/>
  <c r="C48" i="2"/>
  <c r="F47" i="2"/>
  <c r="E47" i="2"/>
  <c r="C47" i="2"/>
  <c r="C45" i="2"/>
  <c r="H45" i="2" s="1"/>
  <c r="F44" i="2"/>
  <c r="E44" i="2"/>
  <c r="D44" i="2"/>
  <c r="C44" i="2"/>
  <c r="F43" i="2"/>
  <c r="E43" i="2"/>
  <c r="D43" i="2"/>
  <c r="C43" i="2"/>
  <c r="F42" i="2"/>
  <c r="E42" i="2"/>
  <c r="D42" i="2"/>
  <c r="C42" i="2"/>
  <c r="F40" i="2"/>
  <c r="H40" i="2" s="1"/>
  <c r="D39" i="2"/>
  <c r="H39" i="2" s="1"/>
  <c r="F38" i="2"/>
  <c r="E38" i="2"/>
  <c r="D38" i="2"/>
  <c r="C38" i="2"/>
  <c r="G36" i="2"/>
  <c r="F36" i="2"/>
  <c r="E36" i="2"/>
  <c r="D36" i="2"/>
  <c r="C36" i="2"/>
  <c r="F35" i="2"/>
  <c r="E35" i="2"/>
  <c r="D35" i="2"/>
  <c r="C35" i="2"/>
  <c r="H35" i="2" s="1"/>
  <c r="F34" i="2"/>
  <c r="E34" i="2"/>
  <c r="D34" i="2"/>
  <c r="C34" i="2"/>
  <c r="H34" i="2" s="1"/>
  <c r="D31" i="2"/>
  <c r="C31" i="2"/>
  <c r="F30" i="2"/>
  <c r="E30" i="2"/>
  <c r="D30" i="2"/>
  <c r="C30" i="2"/>
  <c r="F29" i="2"/>
  <c r="E29" i="2"/>
  <c r="H29" i="2" s="1"/>
  <c r="D29" i="2"/>
  <c r="C29" i="2"/>
  <c r="F28" i="2"/>
  <c r="E28" i="2"/>
  <c r="D28" i="2"/>
  <c r="C28" i="2"/>
  <c r="H28" i="2" s="1"/>
  <c r="H27" i="2"/>
  <c r="F27" i="2"/>
  <c r="E27" i="2"/>
  <c r="D27" i="2"/>
  <c r="C27" i="2"/>
  <c r="F26" i="2"/>
  <c r="C26" i="2"/>
  <c r="H26" i="2" s="1"/>
  <c r="H25" i="2"/>
  <c r="F25" i="2"/>
  <c r="C25" i="2"/>
  <c r="H24" i="2"/>
  <c r="F24" i="2"/>
  <c r="E24" i="2"/>
  <c r="D24" i="2"/>
  <c r="C24" i="2"/>
  <c r="F23" i="2"/>
  <c r="E23" i="2"/>
  <c r="D23" i="2"/>
  <c r="C23" i="2"/>
  <c r="F22" i="2"/>
  <c r="E22" i="2"/>
  <c r="D22" i="2"/>
  <c r="C22" i="2"/>
  <c r="G21" i="2"/>
  <c r="G31" i="2" s="1"/>
  <c r="F21" i="2"/>
  <c r="F31" i="2" s="1"/>
  <c r="E21" i="2"/>
  <c r="D21" i="2"/>
  <c r="C21" i="2"/>
  <c r="F17" i="2"/>
  <c r="E17" i="2"/>
  <c r="D17" i="2"/>
  <c r="C17" i="2"/>
  <c r="F16" i="2"/>
  <c r="E16" i="2"/>
  <c r="D16" i="2"/>
  <c r="C16" i="2"/>
  <c r="F15" i="2"/>
  <c r="E15" i="2"/>
  <c r="D15" i="2"/>
  <c r="C15" i="2"/>
  <c r="F14" i="2"/>
  <c r="H14" i="2" s="1"/>
  <c r="H13" i="2"/>
  <c r="F13" i="2"/>
  <c r="E13" i="2"/>
  <c r="D13" i="2"/>
  <c r="C13" i="2"/>
  <c r="F12" i="2"/>
  <c r="E12" i="2"/>
  <c r="D12" i="2"/>
  <c r="C12" i="2"/>
  <c r="F11" i="2"/>
  <c r="E11" i="2"/>
  <c r="D11" i="2"/>
  <c r="C11" i="2"/>
  <c r="H11" i="2" s="1"/>
  <c r="C10" i="2"/>
  <c r="H10" i="2" s="1"/>
  <c r="F9" i="2"/>
  <c r="E9" i="2"/>
  <c r="D9" i="2"/>
  <c r="C9" i="2"/>
  <c r="F8" i="2"/>
  <c r="E8" i="2"/>
  <c r="E18" i="2" s="1"/>
  <c r="D8" i="2"/>
  <c r="A2" i="2"/>
  <c r="A1" i="2"/>
  <c r="E43" i="14"/>
  <c r="D43" i="14"/>
  <c r="F42" i="14"/>
  <c r="F41" i="14"/>
  <c r="F40" i="14"/>
  <c r="F39" i="14"/>
  <c r="F38" i="14"/>
  <c r="F37" i="14"/>
  <c r="E33" i="14"/>
  <c r="D33" i="14"/>
  <c r="F32" i="14"/>
  <c r="F31" i="14"/>
  <c r="F30" i="14"/>
  <c r="F29" i="14"/>
  <c r="F28" i="14"/>
  <c r="F27" i="14"/>
  <c r="F26" i="14"/>
  <c r="F25" i="14"/>
  <c r="E21" i="14"/>
  <c r="D21" i="14"/>
  <c r="F20" i="14"/>
  <c r="F19" i="14"/>
  <c r="F18" i="14"/>
  <c r="F17" i="14"/>
  <c r="F16" i="14"/>
  <c r="F15" i="14"/>
  <c r="F14" i="14"/>
  <c r="F13" i="14"/>
  <c r="F12" i="14"/>
  <c r="F11" i="14"/>
  <c r="F10" i="14"/>
  <c r="F9" i="14"/>
  <c r="F8" i="14"/>
  <c r="F7" i="14"/>
  <c r="F6" i="14"/>
  <c r="F5" i="14"/>
  <c r="B5" i="14"/>
  <c r="C5" i="14" s="1"/>
  <c r="A2" i="14"/>
  <c r="D39" i="13"/>
  <c r="G36" i="13"/>
  <c r="F33" i="13"/>
  <c r="H29" i="13"/>
  <c r="G29" i="13"/>
  <c r="H19" i="13"/>
  <c r="G19" i="13"/>
  <c r="H18" i="13"/>
  <c r="G18" i="13"/>
  <c r="H17" i="13"/>
  <c r="G17" i="13"/>
  <c r="D17" i="13" s="1"/>
  <c r="C17" i="13" s="1"/>
  <c r="H16" i="13"/>
  <c r="G16" i="13"/>
  <c r="H15" i="13"/>
  <c r="G15" i="13"/>
  <c r="H14" i="13"/>
  <c r="G14" i="13"/>
  <c r="H13" i="13"/>
  <c r="G13" i="13"/>
  <c r="H12" i="13"/>
  <c r="G12" i="13"/>
  <c r="C11" i="13"/>
  <c r="C10" i="13"/>
  <c r="C9" i="13"/>
  <c r="H8" i="13"/>
  <c r="G8" i="13"/>
  <c r="H7" i="13"/>
  <c r="G7" i="13"/>
  <c r="H6" i="13"/>
  <c r="G6" i="13"/>
  <c r="H5" i="13"/>
  <c r="G5" i="13"/>
  <c r="B2" i="13"/>
  <c r="B40" i="12"/>
  <c r="C36" i="12"/>
  <c r="B36" i="12"/>
  <c r="C31" i="12"/>
  <c r="B31" i="12"/>
  <c r="C27" i="12"/>
  <c r="B27" i="12"/>
  <c r="B22" i="12"/>
  <c r="C18" i="12"/>
  <c r="B18" i="12"/>
  <c r="B13" i="12"/>
  <c r="C9" i="12"/>
  <c r="B9" i="12"/>
  <c r="B4" i="12"/>
  <c r="B1" i="12"/>
  <c r="B31" i="16"/>
  <c r="B27" i="16"/>
  <c r="B5" i="16"/>
  <c r="H7" i="17"/>
  <c r="E7" i="17"/>
  <c r="I671" i="1"/>
  <c r="I670" i="1"/>
  <c r="I666" i="1"/>
  <c r="J656" i="1"/>
  <c r="H656" i="1"/>
  <c r="G656" i="1"/>
  <c r="H655" i="1"/>
  <c r="J655" i="1" s="1"/>
  <c r="G655" i="1"/>
  <c r="J654" i="1"/>
  <c r="H654" i="1"/>
  <c r="G654" i="1"/>
  <c r="H653" i="1"/>
  <c r="G653" i="1"/>
  <c r="J653" i="1" s="1"/>
  <c r="H646" i="1"/>
  <c r="G645" i="1"/>
  <c r="J645" i="1" s="1"/>
  <c r="G644" i="1"/>
  <c r="G641" i="1"/>
  <c r="J641" i="1" s="1"/>
  <c r="H639" i="1"/>
  <c r="H638" i="1"/>
  <c r="H637" i="1"/>
  <c r="H636" i="1"/>
  <c r="J635" i="1"/>
  <c r="H634" i="1"/>
  <c r="H633" i="1"/>
  <c r="H632" i="1"/>
  <c r="H631" i="1"/>
  <c r="H630" i="1"/>
  <c r="H629" i="1"/>
  <c r="H628" i="1"/>
  <c r="H624" i="1"/>
  <c r="G621" i="1"/>
  <c r="G620" i="1"/>
  <c r="K615" i="1"/>
  <c r="J615" i="1"/>
  <c r="I615" i="1"/>
  <c r="H615" i="1"/>
  <c r="G615" i="1"/>
  <c r="F615" i="1"/>
  <c r="L614" i="1"/>
  <c r="H664" i="1" s="1"/>
  <c r="L613" i="1"/>
  <c r="G664" i="1" s="1"/>
  <c r="L612" i="1"/>
  <c r="F664" i="1" s="1"/>
  <c r="J606" i="1"/>
  <c r="I606" i="1"/>
  <c r="H606" i="1"/>
  <c r="K605" i="1"/>
  <c r="K604" i="1"/>
  <c r="K603" i="1"/>
  <c r="J599" i="1"/>
  <c r="H652" i="1" s="1"/>
  <c r="I599" i="1"/>
  <c r="H651" i="1" s="1"/>
  <c r="H599" i="1"/>
  <c r="H650" i="1" s="1"/>
  <c r="K598" i="1"/>
  <c r="K597" i="1"/>
  <c r="K596" i="1"/>
  <c r="K595" i="1"/>
  <c r="K594" i="1"/>
  <c r="K593" i="1"/>
  <c r="K592" i="1"/>
  <c r="I588" i="1"/>
  <c r="I587" i="1"/>
  <c r="I586" i="1"/>
  <c r="I585" i="1"/>
  <c r="I584" i="1"/>
  <c r="I583" i="1"/>
  <c r="I582" i="1"/>
  <c r="I581" i="1"/>
  <c r="I580" i="1"/>
  <c r="I579" i="1"/>
  <c r="I578" i="1"/>
  <c r="I577" i="1"/>
  <c r="I576" i="1"/>
  <c r="I572" i="1"/>
  <c r="H572" i="1"/>
  <c r="G572" i="1"/>
  <c r="K571" i="1"/>
  <c r="J571" i="1"/>
  <c r="I571" i="1"/>
  <c r="H571" i="1"/>
  <c r="G571" i="1"/>
  <c r="F571" i="1"/>
  <c r="L570" i="1"/>
  <c r="L569" i="1"/>
  <c r="L571" i="1" s="1"/>
  <c r="L568" i="1"/>
  <c r="K566" i="1"/>
  <c r="J566" i="1"/>
  <c r="I566" i="1"/>
  <c r="H566" i="1"/>
  <c r="G566" i="1"/>
  <c r="F566" i="1"/>
  <c r="L565" i="1"/>
  <c r="L564" i="1"/>
  <c r="L566" i="1" s="1"/>
  <c r="L563" i="1"/>
  <c r="K561" i="1"/>
  <c r="K572" i="1" s="1"/>
  <c r="J561" i="1"/>
  <c r="J572" i="1" s="1"/>
  <c r="I561" i="1"/>
  <c r="H561" i="1"/>
  <c r="G561" i="1"/>
  <c r="F561" i="1"/>
  <c r="L560" i="1"/>
  <c r="L559" i="1"/>
  <c r="L558" i="1"/>
  <c r="L561" i="1" s="1"/>
  <c r="L572" i="1" s="1"/>
  <c r="H551" i="1"/>
  <c r="K545" i="1"/>
  <c r="J545" i="1"/>
  <c r="I545" i="1"/>
  <c r="H545" i="1"/>
  <c r="G545" i="1"/>
  <c r="F545" i="1"/>
  <c r="L544" i="1"/>
  <c r="J552" i="1" s="1"/>
  <c r="L543" i="1"/>
  <c r="J551" i="1" s="1"/>
  <c r="L542" i="1"/>
  <c r="J550" i="1" s="1"/>
  <c r="K540" i="1"/>
  <c r="J540" i="1"/>
  <c r="I540" i="1"/>
  <c r="H540" i="1"/>
  <c r="G540" i="1"/>
  <c r="F540" i="1"/>
  <c r="L539" i="1"/>
  <c r="I552" i="1" s="1"/>
  <c r="L538" i="1"/>
  <c r="I551" i="1" s="1"/>
  <c r="L537" i="1"/>
  <c r="L540" i="1" s="1"/>
  <c r="K535" i="1"/>
  <c r="J535" i="1"/>
  <c r="I535" i="1"/>
  <c r="H535" i="1"/>
  <c r="G535" i="1"/>
  <c r="F535" i="1"/>
  <c r="L534" i="1"/>
  <c r="H552" i="1" s="1"/>
  <c r="L533" i="1"/>
  <c r="L532" i="1"/>
  <c r="H550" i="1" s="1"/>
  <c r="K530" i="1"/>
  <c r="J530" i="1"/>
  <c r="I530" i="1"/>
  <c r="H530" i="1"/>
  <c r="G530" i="1"/>
  <c r="F530" i="1"/>
  <c r="L529" i="1"/>
  <c r="G552" i="1" s="1"/>
  <c r="L528" i="1"/>
  <c r="G551" i="1" s="1"/>
  <c r="L527" i="1"/>
  <c r="L530" i="1" s="1"/>
  <c r="K525" i="1"/>
  <c r="J525" i="1"/>
  <c r="I525" i="1"/>
  <c r="H525" i="1"/>
  <c r="G525" i="1"/>
  <c r="F525" i="1"/>
  <c r="L524" i="1"/>
  <c r="F552" i="1" s="1"/>
  <c r="L523" i="1"/>
  <c r="F551" i="1" s="1"/>
  <c r="L522" i="1"/>
  <c r="F550" i="1" s="1"/>
  <c r="I518" i="1"/>
  <c r="H518" i="1"/>
  <c r="G518" i="1"/>
  <c r="F518" i="1"/>
  <c r="J504" i="1"/>
  <c r="F164" i="2" s="1"/>
  <c r="I504" i="1"/>
  <c r="E164" i="2" s="1"/>
  <c r="H504" i="1"/>
  <c r="D164" i="2" s="1"/>
  <c r="G504" i="1"/>
  <c r="F504" i="1"/>
  <c r="K503" i="1"/>
  <c r="K502" i="1"/>
  <c r="J501" i="1"/>
  <c r="F161" i="2" s="1"/>
  <c r="I501" i="1"/>
  <c r="E161" i="2" s="1"/>
  <c r="H501" i="1"/>
  <c r="D161" i="2" s="1"/>
  <c r="G501" i="1"/>
  <c r="F501" i="1"/>
  <c r="B161" i="2" s="1"/>
  <c r="K500" i="1"/>
  <c r="K499" i="1"/>
  <c r="K498" i="1"/>
  <c r="K497" i="1"/>
  <c r="K496" i="1"/>
  <c r="J477" i="1"/>
  <c r="H627" i="1" s="1"/>
  <c r="J475" i="1"/>
  <c r="I475" i="1"/>
  <c r="H475" i="1"/>
  <c r="G475" i="1"/>
  <c r="F475" i="1"/>
  <c r="J471" i="1"/>
  <c r="I471" i="1"/>
  <c r="I477" i="1" s="1"/>
  <c r="H626" i="1" s="1"/>
  <c r="H471" i="1"/>
  <c r="G471" i="1"/>
  <c r="G477" i="1" s="1"/>
  <c r="B33" i="16" s="1"/>
  <c r="F471" i="1"/>
  <c r="G462" i="1"/>
  <c r="H641" i="1" s="1"/>
  <c r="F462" i="1"/>
  <c r="H640" i="1" s="1"/>
  <c r="I461" i="1"/>
  <c r="H461" i="1"/>
  <c r="G461" i="1"/>
  <c r="I460" i="1"/>
  <c r="F460" i="1"/>
  <c r="F461" i="1" s="1"/>
  <c r="I459" i="1"/>
  <c r="I458" i="1"/>
  <c r="J37" i="1" s="1"/>
  <c r="I457" i="1"/>
  <c r="I456" i="1"/>
  <c r="I455" i="1"/>
  <c r="J49" i="1" s="1"/>
  <c r="G48" i="2" s="1"/>
  <c r="H453" i="1"/>
  <c r="H462" i="1" s="1"/>
  <c r="H642" i="1" s="1"/>
  <c r="G453" i="1"/>
  <c r="F453" i="1"/>
  <c r="I452" i="1"/>
  <c r="I451" i="1"/>
  <c r="I450" i="1"/>
  <c r="I449" i="1"/>
  <c r="I453" i="1" s="1"/>
  <c r="H447" i="1"/>
  <c r="G642" i="1" s="1"/>
  <c r="G447" i="1"/>
  <c r="F447" i="1"/>
  <c r="G640" i="1" s="1"/>
  <c r="I446" i="1"/>
  <c r="I445" i="1"/>
  <c r="J17" i="1" s="1"/>
  <c r="G16" i="2" s="1"/>
  <c r="I444" i="1"/>
  <c r="I443" i="1"/>
  <c r="J13" i="1" s="1"/>
  <c r="G12" i="2" s="1"/>
  <c r="I442" i="1"/>
  <c r="I441" i="1"/>
  <c r="J10" i="1" s="1"/>
  <c r="G9" i="2" s="1"/>
  <c r="I440" i="1"/>
  <c r="I447" i="1" s="1"/>
  <c r="G643" i="1" s="1"/>
  <c r="K434" i="1"/>
  <c r="J434" i="1"/>
  <c r="I434" i="1"/>
  <c r="H434" i="1"/>
  <c r="G434" i="1"/>
  <c r="F434" i="1"/>
  <c r="L433" i="1"/>
  <c r="L432" i="1"/>
  <c r="L431" i="1"/>
  <c r="L430" i="1"/>
  <c r="K428" i="1"/>
  <c r="J428" i="1"/>
  <c r="I428" i="1"/>
  <c r="H428" i="1"/>
  <c r="H435" i="1" s="1"/>
  <c r="G428" i="1"/>
  <c r="F428" i="1"/>
  <c r="F435" i="1" s="1"/>
  <c r="L427" i="1"/>
  <c r="L426" i="1"/>
  <c r="L428" i="1" s="1"/>
  <c r="L425" i="1"/>
  <c r="L424" i="1"/>
  <c r="L423" i="1"/>
  <c r="L422" i="1"/>
  <c r="K420" i="1"/>
  <c r="K435" i="1" s="1"/>
  <c r="G134" i="2" s="1"/>
  <c r="G144" i="2" s="1"/>
  <c r="J420" i="1"/>
  <c r="J435" i="1" s="1"/>
  <c r="I420" i="1"/>
  <c r="H420" i="1"/>
  <c r="G420" i="1"/>
  <c r="G435" i="1" s="1"/>
  <c r="F420" i="1"/>
  <c r="L419" i="1"/>
  <c r="L418" i="1"/>
  <c r="L417" i="1"/>
  <c r="L416" i="1"/>
  <c r="L415" i="1"/>
  <c r="L414" i="1"/>
  <c r="L420" i="1" s="1"/>
  <c r="I408" i="1"/>
  <c r="H408" i="1"/>
  <c r="G408" i="1"/>
  <c r="F408" i="1"/>
  <c r="L407" i="1"/>
  <c r="L406" i="1"/>
  <c r="L405" i="1"/>
  <c r="L404" i="1"/>
  <c r="L408" i="1" s="1"/>
  <c r="C140" i="2" s="1"/>
  <c r="H140" i="2" s="1"/>
  <c r="I402" i="1"/>
  <c r="H402" i="1"/>
  <c r="H409" i="1" s="1"/>
  <c r="H645" i="1" s="1"/>
  <c r="G402" i="1"/>
  <c r="F402" i="1"/>
  <c r="L401" i="1"/>
  <c r="L400" i="1"/>
  <c r="L399" i="1"/>
  <c r="L398" i="1"/>
  <c r="L402" i="1" s="1"/>
  <c r="C139" i="2" s="1"/>
  <c r="H139" i="2" s="1"/>
  <c r="L397" i="1"/>
  <c r="L396" i="1"/>
  <c r="I394" i="1"/>
  <c r="I409" i="1" s="1"/>
  <c r="H394" i="1"/>
  <c r="G394" i="1"/>
  <c r="G409" i="1" s="1"/>
  <c r="F394" i="1"/>
  <c r="F409" i="1" s="1"/>
  <c r="H644" i="1" s="1"/>
  <c r="L393" i="1"/>
  <c r="L392" i="1"/>
  <c r="L391" i="1"/>
  <c r="L390" i="1"/>
  <c r="L389" i="1"/>
  <c r="L388" i="1"/>
  <c r="K383" i="1"/>
  <c r="J383" i="1"/>
  <c r="I383" i="1"/>
  <c r="H383" i="1"/>
  <c r="G383" i="1"/>
  <c r="F383" i="1"/>
  <c r="L382" i="1"/>
  <c r="L381" i="1"/>
  <c r="L380" i="1"/>
  <c r="L379" i="1"/>
  <c r="L383" i="1" s="1"/>
  <c r="G637" i="1" s="1"/>
  <c r="J637" i="1" s="1"/>
  <c r="L378" i="1"/>
  <c r="L377" i="1"/>
  <c r="L376" i="1"/>
  <c r="L375" i="1"/>
  <c r="H370" i="1"/>
  <c r="G370" i="1"/>
  <c r="F370" i="1"/>
  <c r="I369" i="1"/>
  <c r="I368" i="1"/>
  <c r="I370" i="1" s="1"/>
  <c r="H635" i="1" s="1"/>
  <c r="K363" i="1"/>
  <c r="J363" i="1"/>
  <c r="I363" i="1"/>
  <c r="G635" i="1" s="1"/>
  <c r="H363" i="1"/>
  <c r="G363" i="1"/>
  <c r="F363" i="1"/>
  <c r="L362" i="1"/>
  <c r="B28" i="16" s="1"/>
  <c r="L361" i="1"/>
  <c r="L360" i="1"/>
  <c r="L359" i="1"/>
  <c r="K352" i="1"/>
  <c r="L351" i="1"/>
  <c r="E143" i="2" s="1"/>
  <c r="L350" i="1"/>
  <c r="E142" i="2" s="1"/>
  <c r="L348" i="1"/>
  <c r="L347" i="1"/>
  <c r="E137" i="2" s="1"/>
  <c r="L346" i="1"/>
  <c r="E135" i="2" s="1"/>
  <c r="L345" i="1"/>
  <c r="L343" i="1"/>
  <c r="E132" i="2" s="1"/>
  <c r="L342" i="1"/>
  <c r="E131" i="2" s="1"/>
  <c r="K338" i="1"/>
  <c r="J338" i="1"/>
  <c r="I338" i="1"/>
  <c r="H338" i="1"/>
  <c r="G338" i="1"/>
  <c r="F338" i="1"/>
  <c r="L337" i="1"/>
  <c r="E130" i="2" s="1"/>
  <c r="L336" i="1"/>
  <c r="L335" i="1"/>
  <c r="L334" i="1"/>
  <c r="L333" i="1"/>
  <c r="E113" i="2" s="1"/>
  <c r="K329" i="1"/>
  <c r="J329" i="1"/>
  <c r="I329" i="1"/>
  <c r="H329" i="1"/>
  <c r="G329" i="1"/>
  <c r="F329" i="1"/>
  <c r="L327" i="1"/>
  <c r="L326" i="1"/>
  <c r="L325" i="1"/>
  <c r="L324" i="1"/>
  <c r="L323" i="1"/>
  <c r="L322" i="1"/>
  <c r="L321" i="1"/>
  <c r="L320" i="1"/>
  <c r="L318" i="1"/>
  <c r="L317" i="1"/>
  <c r="L316" i="1"/>
  <c r="L315" i="1"/>
  <c r="K310" i="1"/>
  <c r="J310" i="1"/>
  <c r="I310" i="1"/>
  <c r="H310" i="1"/>
  <c r="G310" i="1"/>
  <c r="F310" i="1"/>
  <c r="L308" i="1"/>
  <c r="L307" i="1"/>
  <c r="L306" i="1"/>
  <c r="L305" i="1"/>
  <c r="L304" i="1"/>
  <c r="E121" i="2" s="1"/>
  <c r="L303" i="1"/>
  <c r="L302" i="1"/>
  <c r="L301" i="1"/>
  <c r="L299" i="1"/>
  <c r="L298" i="1"/>
  <c r="L297" i="1"/>
  <c r="L296" i="1"/>
  <c r="K291" i="1"/>
  <c r="J291" i="1"/>
  <c r="I291" i="1"/>
  <c r="H291" i="1"/>
  <c r="G291" i="1"/>
  <c r="F291" i="1"/>
  <c r="L289" i="1"/>
  <c r="L288" i="1"/>
  <c r="L287" i="1"/>
  <c r="E123" i="2" s="1"/>
  <c r="L286" i="1"/>
  <c r="L285" i="1"/>
  <c r="L284" i="1"/>
  <c r="L283" i="1"/>
  <c r="L282" i="1"/>
  <c r="L280" i="1"/>
  <c r="L279" i="1"/>
  <c r="L278" i="1"/>
  <c r="L277" i="1"/>
  <c r="K271" i="1"/>
  <c r="J271" i="1"/>
  <c r="I271" i="1"/>
  <c r="H271" i="1"/>
  <c r="G271" i="1"/>
  <c r="F271" i="1"/>
  <c r="L271" i="1" s="1"/>
  <c r="L270" i="1"/>
  <c r="C143" i="2" s="1"/>
  <c r="L269" i="1"/>
  <c r="C142" i="2" s="1"/>
  <c r="H142" i="2" s="1"/>
  <c r="L267" i="1"/>
  <c r="L266" i="1"/>
  <c r="C137" i="2" s="1"/>
  <c r="H137" i="2" s="1"/>
  <c r="L265" i="1"/>
  <c r="C136" i="2" s="1"/>
  <c r="H136" i="2" s="1"/>
  <c r="L264" i="1"/>
  <c r="C135" i="2" s="1"/>
  <c r="H135" i="2" s="1"/>
  <c r="L262" i="1"/>
  <c r="L261" i="1"/>
  <c r="C32" i="10" s="1"/>
  <c r="K257" i="1"/>
  <c r="J257" i="1"/>
  <c r="I257" i="1"/>
  <c r="H257" i="1"/>
  <c r="G257" i="1"/>
  <c r="F257" i="1"/>
  <c r="L256" i="1"/>
  <c r="L255" i="1"/>
  <c r="L254" i="1"/>
  <c r="C114" i="2" s="1"/>
  <c r="L253" i="1"/>
  <c r="D18" i="13" s="1"/>
  <c r="C18" i="13" s="1"/>
  <c r="L252" i="1"/>
  <c r="L251" i="1"/>
  <c r="C23" i="10" s="1"/>
  <c r="K248" i="1"/>
  <c r="J248" i="1"/>
  <c r="I248" i="1"/>
  <c r="H248" i="1"/>
  <c r="G248" i="1"/>
  <c r="F248" i="1"/>
  <c r="L246" i="1"/>
  <c r="L245" i="1"/>
  <c r="L244" i="1"/>
  <c r="L243" i="1"/>
  <c r="L242" i="1"/>
  <c r="L241" i="1"/>
  <c r="L240" i="1"/>
  <c r="L239" i="1"/>
  <c r="L237" i="1"/>
  <c r="L236" i="1"/>
  <c r="L235" i="1"/>
  <c r="L234" i="1"/>
  <c r="K230" i="1"/>
  <c r="J230" i="1"/>
  <c r="I230" i="1"/>
  <c r="H230" i="1"/>
  <c r="G230" i="1"/>
  <c r="F230" i="1"/>
  <c r="L228" i="1"/>
  <c r="L227" i="1"/>
  <c r="G651" i="1" s="1"/>
  <c r="L226" i="1"/>
  <c r="L225" i="1"/>
  <c r="L224" i="1"/>
  <c r="L223" i="1"/>
  <c r="L222" i="1"/>
  <c r="L221" i="1"/>
  <c r="L219" i="1"/>
  <c r="L218" i="1"/>
  <c r="L217" i="1"/>
  <c r="L216" i="1"/>
  <c r="K212" i="1"/>
  <c r="J212" i="1"/>
  <c r="I212" i="1"/>
  <c r="H212" i="1"/>
  <c r="G212" i="1"/>
  <c r="F212" i="1"/>
  <c r="L210" i="1"/>
  <c r="C125" i="2" s="1"/>
  <c r="L209" i="1"/>
  <c r="F663" i="1" s="1"/>
  <c r="L208" i="1"/>
  <c r="L207" i="1"/>
  <c r="L206" i="1"/>
  <c r="L205" i="1"/>
  <c r="L204" i="1"/>
  <c r="L203" i="1"/>
  <c r="L201" i="1"/>
  <c r="L200" i="1"/>
  <c r="L199" i="1"/>
  <c r="L198" i="1"/>
  <c r="G193" i="1"/>
  <c r="B13" i="16" s="1"/>
  <c r="I189" i="1"/>
  <c r="H189" i="1"/>
  <c r="G189" i="1"/>
  <c r="F189" i="1"/>
  <c r="J184" i="1"/>
  <c r="I184" i="1"/>
  <c r="I193" i="1" s="1"/>
  <c r="H184" i="1"/>
  <c r="H193" i="1" s="1"/>
  <c r="G184" i="1"/>
  <c r="F184" i="1"/>
  <c r="I178" i="1"/>
  <c r="F178" i="1"/>
  <c r="F193" i="1" s="1"/>
  <c r="I163" i="1"/>
  <c r="H163" i="1"/>
  <c r="G163" i="1"/>
  <c r="F163" i="1"/>
  <c r="G158" i="1"/>
  <c r="I147" i="1"/>
  <c r="F85" i="2" s="1"/>
  <c r="F91" i="2" s="1"/>
  <c r="H147" i="1"/>
  <c r="E85" i="2" s="1"/>
  <c r="G147" i="1"/>
  <c r="D85" i="2" s="1"/>
  <c r="D91" i="2" s="1"/>
  <c r="F147" i="1"/>
  <c r="C85" i="2" s="1"/>
  <c r="J136" i="1"/>
  <c r="I136" i="1"/>
  <c r="H136" i="1"/>
  <c r="H140" i="1" s="1"/>
  <c r="G136" i="1"/>
  <c r="G140" i="1" s="1"/>
  <c r="F136" i="1"/>
  <c r="F140" i="1" s="1"/>
  <c r="J121" i="1"/>
  <c r="J140" i="1" s="1"/>
  <c r="I121" i="1"/>
  <c r="I140" i="1" s="1"/>
  <c r="H121" i="1"/>
  <c r="G121" i="1"/>
  <c r="F121" i="1"/>
  <c r="I112" i="1"/>
  <c r="H112" i="1"/>
  <c r="J111" i="1"/>
  <c r="I111" i="1"/>
  <c r="H111" i="1"/>
  <c r="G111" i="1"/>
  <c r="F111" i="1"/>
  <c r="G97" i="1"/>
  <c r="H94" i="1"/>
  <c r="E58" i="2" s="1"/>
  <c r="F94" i="1"/>
  <c r="C58" i="2" s="1"/>
  <c r="H58" i="2" s="1"/>
  <c r="H79" i="1"/>
  <c r="E57" i="2" s="1"/>
  <c r="F79" i="1"/>
  <c r="C57" i="2" s="1"/>
  <c r="H57" i="2" s="1"/>
  <c r="F63" i="1"/>
  <c r="J60" i="1"/>
  <c r="G56" i="2" s="1"/>
  <c r="I60" i="1"/>
  <c r="F56" i="2" s="1"/>
  <c r="F63" i="2" s="1"/>
  <c r="H60" i="1"/>
  <c r="E56" i="2" s="1"/>
  <c r="G60" i="1"/>
  <c r="F60" i="1"/>
  <c r="I51" i="1"/>
  <c r="H51" i="1"/>
  <c r="G625" i="1" s="1"/>
  <c r="G51" i="1"/>
  <c r="G624" i="1" s="1"/>
  <c r="J624" i="1" s="1"/>
  <c r="F51" i="1"/>
  <c r="G623" i="1" s="1"/>
  <c r="J48" i="1"/>
  <c r="G47" i="2" s="1"/>
  <c r="G48" i="1"/>
  <c r="D47" i="2" s="1"/>
  <c r="J45" i="1"/>
  <c r="G44" i="2" s="1"/>
  <c r="H44" i="2" s="1"/>
  <c r="J43" i="1"/>
  <c r="G42" i="2" s="1"/>
  <c r="J39" i="1"/>
  <c r="G38" i="2" s="1"/>
  <c r="I32" i="1"/>
  <c r="H32" i="1"/>
  <c r="G32" i="1"/>
  <c r="F32" i="1"/>
  <c r="J31" i="1"/>
  <c r="G30" i="2" s="1"/>
  <c r="J24" i="1"/>
  <c r="G23" i="2" s="1"/>
  <c r="J23" i="1"/>
  <c r="G22" i="2" s="1"/>
  <c r="J22" i="1"/>
  <c r="J32" i="1" s="1"/>
  <c r="I19" i="1"/>
  <c r="H19" i="1"/>
  <c r="G19" i="1"/>
  <c r="G619" i="1" s="1"/>
  <c r="J18" i="1"/>
  <c r="G17" i="2" s="1"/>
  <c r="J14" i="1"/>
  <c r="G13" i="2" s="1"/>
  <c r="J12" i="1"/>
  <c r="G11" i="2" s="1"/>
  <c r="J9" i="1"/>
  <c r="F9" i="1"/>
  <c r="C8" i="2" s="1"/>
  <c r="C2" i="1"/>
  <c r="B2" i="1"/>
  <c r="B2" i="14" s="1"/>
  <c r="T34" i="15" s="1"/>
  <c r="H8" i="2" l="1"/>
  <c r="C18" i="2"/>
  <c r="H18" i="2" s="1"/>
  <c r="G170" i="1"/>
  <c r="B12" i="16" s="1"/>
  <c r="H143" i="2"/>
  <c r="L394" i="1"/>
  <c r="I435" i="1"/>
  <c r="L434" i="1"/>
  <c r="L435" i="1" s="1"/>
  <c r="G639" i="1" s="1"/>
  <c r="J639" i="1" s="1"/>
  <c r="F18" i="2"/>
  <c r="H38" i="2"/>
  <c r="C62" i="2"/>
  <c r="AE13" i="15"/>
  <c r="AE32" i="15"/>
  <c r="I35" i="15"/>
  <c r="I117" i="15"/>
  <c r="I292" i="15"/>
  <c r="C91" i="2"/>
  <c r="H85" i="2"/>
  <c r="G50" i="2"/>
  <c r="G51" i="2" s="1"/>
  <c r="H48" i="2"/>
  <c r="L352" i="1"/>
  <c r="H9" i="2"/>
  <c r="H16" i="2"/>
  <c r="E91" i="2"/>
  <c r="I16" i="15"/>
  <c r="T18" i="15"/>
  <c r="T37" i="15"/>
  <c r="AE39" i="15"/>
  <c r="AE45" i="15"/>
  <c r="G646" i="1"/>
  <c r="J646" i="1" s="1"/>
  <c r="J193" i="1"/>
  <c r="F130" i="2"/>
  <c r="F144" i="2" s="1"/>
  <c r="F145" i="2" s="1"/>
  <c r="I194" i="1"/>
  <c r="G631" i="1" s="1"/>
  <c r="J631" i="1" s="1"/>
  <c r="C25" i="10"/>
  <c r="C132" i="2"/>
  <c r="H132" i="2" s="1"/>
  <c r="D18" i="2"/>
  <c r="G62" i="2"/>
  <c r="T27" i="15"/>
  <c r="AE29" i="15"/>
  <c r="I262" i="15"/>
  <c r="G63" i="2"/>
  <c r="G104" i="2" s="1"/>
  <c r="J642" i="1"/>
  <c r="G112" i="1"/>
  <c r="B10" i="16" s="1"/>
  <c r="F19" i="1"/>
  <c r="G618" i="1" s="1"/>
  <c r="D60" i="2"/>
  <c r="H60" i="2" s="1"/>
  <c r="B9" i="16"/>
  <c r="J112" i="1"/>
  <c r="J194" i="1" s="1"/>
  <c r="G161" i="2"/>
  <c r="C164" i="2"/>
  <c r="G164" i="2" s="1"/>
  <c r="K504" i="1"/>
  <c r="J644" i="1"/>
  <c r="F662" i="1"/>
  <c r="H23" i="2"/>
  <c r="D103" i="2"/>
  <c r="I13" i="15"/>
  <c r="I32" i="15"/>
  <c r="H134" i="2"/>
  <c r="G8" i="2"/>
  <c r="G18" i="2" s="1"/>
  <c r="J19" i="1"/>
  <c r="G622" i="1" s="1"/>
  <c r="I52" i="1"/>
  <c r="H621" i="1" s="1"/>
  <c r="J621" i="1" s="1"/>
  <c r="G626" i="1"/>
  <c r="J626" i="1" s="1"/>
  <c r="F170" i="1"/>
  <c r="I462" i="1"/>
  <c r="H643" i="1" s="1"/>
  <c r="J643" i="1" s="1"/>
  <c r="J51" i="1"/>
  <c r="C131" i="2"/>
  <c r="H131" i="2" s="1"/>
  <c r="I25" i="13"/>
  <c r="E144" i="2"/>
  <c r="G194" i="1"/>
  <c r="G629" i="1" s="1"/>
  <c r="J629" i="1" s="1"/>
  <c r="G22" i="13"/>
  <c r="I325" i="15"/>
  <c r="I323" i="15"/>
  <c r="I321" i="15"/>
  <c r="I319" i="15"/>
  <c r="I317" i="15"/>
  <c r="I315" i="15"/>
  <c r="I313" i="15"/>
  <c r="I311" i="15"/>
  <c r="I309" i="15"/>
  <c r="I307" i="15"/>
  <c r="I305" i="15"/>
  <c r="I303" i="15"/>
  <c r="I301" i="15"/>
  <c r="I299" i="15"/>
  <c r="I297" i="15"/>
  <c r="I295" i="15"/>
  <c r="I293" i="15"/>
  <c r="I291" i="15"/>
  <c r="I289" i="15"/>
  <c r="I287" i="15"/>
  <c r="I285" i="15"/>
  <c r="I283" i="15"/>
  <c r="I281" i="15"/>
  <c r="I279" i="15"/>
  <c r="I277" i="15"/>
  <c r="I275" i="15"/>
  <c r="I273" i="15"/>
  <c r="I271" i="15"/>
  <c r="I269" i="15"/>
  <c r="I267" i="15"/>
  <c r="I265" i="15"/>
  <c r="I263" i="15"/>
  <c r="I261" i="15"/>
  <c r="I259" i="15"/>
  <c r="I257" i="15"/>
  <c r="I255" i="15"/>
  <c r="I253" i="15"/>
  <c r="I251" i="15"/>
  <c r="I249" i="15"/>
  <c r="I247" i="15"/>
  <c r="I245" i="15"/>
  <c r="I243" i="15"/>
  <c r="I241" i="15"/>
  <c r="I239" i="15"/>
  <c r="I237" i="15"/>
  <c r="I235" i="15"/>
  <c r="I233" i="15"/>
  <c r="I231" i="15"/>
  <c r="I229" i="15"/>
  <c r="I227" i="15"/>
  <c r="I225" i="15"/>
  <c r="I223" i="15"/>
  <c r="I221" i="15"/>
  <c r="I219" i="15"/>
  <c r="I217" i="15"/>
  <c r="I215" i="15"/>
  <c r="I213" i="15"/>
  <c r="I211" i="15"/>
  <c r="I209" i="15"/>
  <c r="I207" i="15"/>
  <c r="I205" i="15"/>
  <c r="I203" i="15"/>
  <c r="I201" i="15"/>
  <c r="I199" i="15"/>
  <c r="I197" i="15"/>
  <c r="I195" i="15"/>
  <c r="I193" i="15"/>
  <c r="I191" i="15"/>
  <c r="I189" i="15"/>
  <c r="I187" i="15"/>
  <c r="I185" i="15"/>
  <c r="I183" i="15"/>
  <c r="I181" i="15"/>
  <c r="I179" i="15"/>
  <c r="I177" i="15"/>
  <c r="I175" i="15"/>
  <c r="I173" i="15"/>
  <c r="I171" i="15"/>
  <c r="I169" i="15"/>
  <c r="I167" i="15"/>
  <c r="I165" i="15"/>
  <c r="I163" i="15"/>
  <c r="I161" i="15"/>
  <c r="I159" i="15"/>
  <c r="I157" i="15"/>
  <c r="I316" i="15"/>
  <c r="I300" i="15"/>
  <c r="I284" i="15"/>
  <c r="I268" i="15"/>
  <c r="I252" i="15"/>
  <c r="I236" i="15"/>
  <c r="I220" i="15"/>
  <c r="I204" i="15"/>
  <c r="I188" i="15"/>
  <c r="I172" i="15"/>
  <c r="I156" i="15"/>
  <c r="I154" i="15"/>
  <c r="I152" i="15"/>
  <c r="I150" i="15"/>
  <c r="I148" i="15"/>
  <c r="I146" i="15"/>
  <c r="I144" i="15"/>
  <c r="I142" i="15"/>
  <c r="I140" i="15"/>
  <c r="I138" i="15"/>
  <c r="I136" i="15"/>
  <c r="I134" i="15"/>
  <c r="I132" i="15"/>
  <c r="I130" i="15"/>
  <c r="I128" i="15"/>
  <c r="I126" i="15"/>
  <c r="I124" i="15"/>
  <c r="I122" i="15"/>
  <c r="I120" i="15"/>
  <c r="I118" i="15"/>
  <c r="I116" i="15"/>
  <c r="I114" i="15"/>
  <c r="I112" i="15"/>
  <c r="I110" i="15"/>
  <c r="I108" i="15"/>
  <c r="I106" i="15"/>
  <c r="I104" i="15"/>
  <c r="I102" i="15"/>
  <c r="I318" i="15"/>
  <c r="I302" i="15"/>
  <c r="I286" i="15"/>
  <c r="I270" i="15"/>
  <c r="I254" i="15"/>
  <c r="I238" i="15"/>
  <c r="I222" i="15"/>
  <c r="I206" i="15"/>
  <c r="I190" i="15"/>
  <c r="I174" i="15"/>
  <c r="I158" i="15"/>
  <c r="I320" i="15"/>
  <c r="I304" i="15"/>
  <c r="I288" i="15"/>
  <c r="I272" i="15"/>
  <c r="I256" i="15"/>
  <c r="I240" i="15"/>
  <c r="I224" i="15"/>
  <c r="I208" i="15"/>
  <c r="I192" i="15"/>
  <c r="I176" i="15"/>
  <c r="I160" i="15"/>
  <c r="I322" i="15"/>
  <c r="I306" i="15"/>
  <c r="I290" i="15"/>
  <c r="I274" i="15"/>
  <c r="I258" i="15"/>
  <c r="I242" i="15"/>
  <c r="I226" i="15"/>
  <c r="I210" i="15"/>
  <c r="I194" i="15"/>
  <c r="I178" i="15"/>
  <c r="I162" i="15"/>
  <c r="I100" i="15"/>
  <c r="I99" i="15"/>
  <c r="I98" i="15"/>
  <c r="I97" i="15"/>
  <c r="I96" i="15"/>
  <c r="I95" i="15"/>
  <c r="I94" i="15"/>
  <c r="I93" i="15"/>
  <c r="I92" i="15"/>
  <c r="I91" i="15"/>
  <c r="I90" i="15"/>
  <c r="I89" i="15"/>
  <c r="I88" i="15"/>
  <c r="I87" i="15"/>
  <c r="I86" i="15"/>
  <c r="I85" i="15"/>
  <c r="I84" i="15"/>
  <c r="I83" i="15"/>
  <c r="I82" i="15"/>
  <c r="I81" i="15"/>
  <c r="I80" i="15"/>
  <c r="I79" i="15"/>
  <c r="I78" i="15"/>
  <c r="I77" i="15"/>
  <c r="I76" i="15"/>
  <c r="I296" i="15"/>
  <c r="I264" i="15"/>
  <c r="I232" i="15"/>
  <c r="I200" i="15"/>
  <c r="I168" i="15"/>
  <c r="AE100" i="15"/>
  <c r="AF100" i="15" s="1"/>
  <c r="AE96" i="15"/>
  <c r="AE92" i="15"/>
  <c r="AE87" i="15"/>
  <c r="AE79" i="15"/>
  <c r="T75" i="15"/>
  <c r="AE74" i="15"/>
  <c r="I74" i="15"/>
  <c r="T73" i="15"/>
  <c r="AE72" i="15"/>
  <c r="I72" i="15"/>
  <c r="T71" i="15"/>
  <c r="AE70" i="15"/>
  <c r="I70" i="15"/>
  <c r="T69" i="15"/>
  <c r="AE68" i="15"/>
  <c r="I68" i="15"/>
  <c r="T67" i="15"/>
  <c r="AE66" i="15"/>
  <c r="I66" i="15"/>
  <c r="T65" i="15"/>
  <c r="AE64" i="15"/>
  <c r="I64" i="15"/>
  <c r="T63" i="15"/>
  <c r="AE62" i="15"/>
  <c r="I62" i="15"/>
  <c r="T61" i="15"/>
  <c r="AE60" i="15"/>
  <c r="I60" i="15"/>
  <c r="T59" i="15"/>
  <c r="AE58" i="15"/>
  <c r="I58" i="15"/>
  <c r="T57" i="15"/>
  <c r="AE56" i="15"/>
  <c r="I56" i="15"/>
  <c r="T55" i="15"/>
  <c r="AE54" i="15"/>
  <c r="I54" i="15"/>
  <c r="T53" i="15"/>
  <c r="AE52" i="15"/>
  <c r="I52" i="15"/>
  <c r="T51" i="15"/>
  <c r="AE50" i="15"/>
  <c r="I50" i="15"/>
  <c r="T49" i="15"/>
  <c r="AE48" i="15"/>
  <c r="I48" i="15"/>
  <c r="T47" i="15"/>
  <c r="AE46" i="15"/>
  <c r="I46" i="15"/>
  <c r="T45" i="15"/>
  <c r="AE44" i="15"/>
  <c r="I44" i="15"/>
  <c r="T43" i="15"/>
  <c r="AE42" i="15"/>
  <c r="I42" i="15"/>
  <c r="T41" i="15"/>
  <c r="AE40" i="15"/>
  <c r="I153" i="15"/>
  <c r="I145" i="15"/>
  <c r="I137" i="15"/>
  <c r="I129" i="15"/>
  <c r="I121" i="15"/>
  <c r="I113" i="15"/>
  <c r="I105" i="15"/>
  <c r="AE88" i="15"/>
  <c r="AE80" i="15"/>
  <c r="I310" i="15"/>
  <c r="I298" i="15"/>
  <c r="I278" i="15"/>
  <c r="I266" i="15"/>
  <c r="I246" i="15"/>
  <c r="I234" i="15"/>
  <c r="I214" i="15"/>
  <c r="I202" i="15"/>
  <c r="I182" i="15"/>
  <c r="I170" i="15"/>
  <c r="AE97" i="15"/>
  <c r="AE93" i="15"/>
  <c r="AE89" i="15"/>
  <c r="AE81" i="15"/>
  <c r="I312" i="15"/>
  <c r="I280" i="15"/>
  <c r="I248" i="15"/>
  <c r="I216" i="15"/>
  <c r="I184" i="15"/>
  <c r="I282" i="15"/>
  <c r="I218" i="15"/>
  <c r="I115" i="15"/>
  <c r="I109" i="15"/>
  <c r="I103" i="15"/>
  <c r="AE94" i="15"/>
  <c r="AE77" i="15"/>
  <c r="I73" i="15"/>
  <c r="AE67" i="15"/>
  <c r="T62" i="15"/>
  <c r="I57" i="15"/>
  <c r="AE51" i="15"/>
  <c r="T46" i="15"/>
  <c r="I41" i="15"/>
  <c r="I164" i="15"/>
  <c r="I139" i="15"/>
  <c r="I133" i="15"/>
  <c r="I127" i="15"/>
  <c r="AE85" i="15"/>
  <c r="AE73" i="15"/>
  <c r="T68" i="15"/>
  <c r="I63" i="15"/>
  <c r="AE57" i="15"/>
  <c r="T52" i="15"/>
  <c r="I47" i="15"/>
  <c r="AE41" i="15"/>
  <c r="I308" i="15"/>
  <c r="I294" i="15"/>
  <c r="I244" i="15"/>
  <c r="I230" i="15"/>
  <c r="I180" i="15"/>
  <c r="I151" i="15"/>
  <c r="AE95" i="15"/>
  <c r="AE78" i="15"/>
  <c r="T74" i="15"/>
  <c r="I69" i="15"/>
  <c r="AE63" i="15"/>
  <c r="T58" i="15"/>
  <c r="I53" i="15"/>
  <c r="AE47" i="15"/>
  <c r="T42" i="15"/>
  <c r="I314" i="15"/>
  <c r="I250" i="15"/>
  <c r="I186" i="15"/>
  <c r="I166" i="15"/>
  <c r="I147" i="15"/>
  <c r="I141" i="15"/>
  <c r="I135" i="15"/>
  <c r="AE75" i="15"/>
  <c r="T70" i="15"/>
  <c r="I65" i="15"/>
  <c r="AE59" i="15"/>
  <c r="T54" i="15"/>
  <c r="I49" i="15"/>
  <c r="AE43" i="15"/>
  <c r="I107" i="15"/>
  <c r="I101" i="15"/>
  <c r="AE99" i="15"/>
  <c r="AE90" i="15"/>
  <c r="AE83" i="15"/>
  <c r="I71" i="15"/>
  <c r="AE65" i="15"/>
  <c r="T60" i="15"/>
  <c r="I55" i="15"/>
  <c r="AE49" i="15"/>
  <c r="T44" i="15"/>
  <c r="I228" i="15"/>
  <c r="I198" i="15"/>
  <c r="AE86" i="15"/>
  <c r="I61" i="15"/>
  <c r="AE53" i="15"/>
  <c r="AE38" i="15"/>
  <c r="AE35" i="15"/>
  <c r="T33" i="15"/>
  <c r="T30" i="15"/>
  <c r="I28" i="15"/>
  <c r="I25" i="15"/>
  <c r="AE22" i="15"/>
  <c r="AE19" i="15"/>
  <c r="T17" i="15"/>
  <c r="T14" i="15"/>
  <c r="I12" i="15"/>
  <c r="T11" i="15"/>
  <c r="AE10" i="15"/>
  <c r="I10" i="15"/>
  <c r="T9" i="15"/>
  <c r="AE8" i="15"/>
  <c r="I8" i="15"/>
  <c r="T7" i="15"/>
  <c r="AE6" i="15"/>
  <c r="I6" i="15"/>
  <c r="T5" i="15"/>
  <c r="AE4" i="15"/>
  <c r="I4" i="15"/>
  <c r="AE33" i="15"/>
  <c r="AE20" i="15"/>
  <c r="I125" i="15"/>
  <c r="I119" i="15"/>
  <c r="AE76" i="15"/>
  <c r="T72" i="15"/>
  <c r="AE55" i="15"/>
  <c r="T48" i="15"/>
  <c r="T39" i="15"/>
  <c r="T36" i="15"/>
  <c r="I34" i="15"/>
  <c r="I31" i="15"/>
  <c r="AE28" i="15"/>
  <c r="AE25" i="15"/>
  <c r="T23" i="15"/>
  <c r="T20" i="15"/>
  <c r="I18" i="15"/>
  <c r="I15" i="15"/>
  <c r="AE12" i="15"/>
  <c r="I276" i="15"/>
  <c r="I143" i="15"/>
  <c r="AE91" i="15"/>
  <c r="AE84" i="15"/>
  <c r="I67" i="15"/>
  <c r="T50" i="15"/>
  <c r="I43" i="15"/>
  <c r="I40" i="15"/>
  <c r="I37" i="15"/>
  <c r="AE34" i="15"/>
  <c r="AE31" i="15"/>
  <c r="T29" i="15"/>
  <c r="T26" i="15"/>
  <c r="I24" i="15"/>
  <c r="I21" i="15"/>
  <c r="AE18" i="15"/>
  <c r="AE15" i="15"/>
  <c r="T13" i="15"/>
  <c r="I324" i="15"/>
  <c r="I212" i="15"/>
  <c r="I131" i="15"/>
  <c r="AE98" i="15"/>
  <c r="AF98" i="15" s="1"/>
  <c r="AE82" i="15"/>
  <c r="AE61" i="15"/>
  <c r="I45" i="15"/>
  <c r="AE37" i="15"/>
  <c r="T35" i="15"/>
  <c r="T32" i="15"/>
  <c r="I30" i="15"/>
  <c r="I27" i="15"/>
  <c r="AE24" i="15"/>
  <c r="AF23" i="15" s="1"/>
  <c r="AE21" i="15"/>
  <c r="T19" i="15"/>
  <c r="T16" i="15"/>
  <c r="I14" i="15"/>
  <c r="I23" i="15"/>
  <c r="T12" i="15"/>
  <c r="I260" i="15"/>
  <c r="I149" i="15"/>
  <c r="I111" i="15"/>
  <c r="I75" i="15"/>
  <c r="T56" i="15"/>
  <c r="T38" i="15"/>
  <c r="I36" i="15"/>
  <c r="I33" i="15"/>
  <c r="AE30" i="15"/>
  <c r="AF30" i="15" s="1"/>
  <c r="AE27" i="15"/>
  <c r="T25" i="15"/>
  <c r="T22" i="15"/>
  <c r="I20" i="15"/>
  <c r="I17" i="15"/>
  <c r="AE14" i="15"/>
  <c r="AE11" i="15"/>
  <c r="I11" i="15"/>
  <c r="T10" i="15"/>
  <c r="AE9" i="15"/>
  <c r="I9" i="15"/>
  <c r="T8" i="15"/>
  <c r="AE7" i="15"/>
  <c r="I7" i="15"/>
  <c r="T6" i="15"/>
  <c r="AE5" i="15"/>
  <c r="AF5" i="15" s="1"/>
  <c r="A39" i="14" s="1" a="1"/>
  <c r="A39" i="14" s="1"/>
  <c r="I5" i="15"/>
  <c r="T4" i="15"/>
  <c r="I196" i="15"/>
  <c r="AE69" i="15"/>
  <c r="I51" i="15"/>
  <c r="I39" i="15"/>
  <c r="AE36" i="15"/>
  <c r="T31" i="15"/>
  <c r="T28" i="15"/>
  <c r="I26" i="15"/>
  <c r="AE17" i="15"/>
  <c r="T15" i="15"/>
  <c r="F104" i="2"/>
  <c r="H662" i="1"/>
  <c r="J640" i="1"/>
  <c r="K501" i="1"/>
  <c r="C161" i="2"/>
  <c r="F572" i="1"/>
  <c r="G662" i="1"/>
  <c r="H12" i="2"/>
  <c r="D50" i="2"/>
  <c r="D51" i="2" s="1"/>
  <c r="H47" i="2"/>
  <c r="C63" i="2"/>
  <c r="C104" i="2" s="1"/>
  <c r="H56" i="2"/>
  <c r="I22" i="15"/>
  <c r="T24" i="15"/>
  <c r="T66" i="15"/>
  <c r="G52" i="1"/>
  <c r="H619" i="1" s="1"/>
  <c r="J619" i="1" s="1"/>
  <c r="I170" i="1"/>
  <c r="D127" i="2"/>
  <c r="H553" i="1"/>
  <c r="C10" i="12"/>
  <c r="C11" i="12"/>
  <c r="C12" i="12"/>
  <c r="H15" i="2"/>
  <c r="H42" i="2"/>
  <c r="H59" i="2"/>
  <c r="H79" i="2"/>
  <c r="H89" i="2"/>
  <c r="F103" i="2"/>
  <c r="F546" i="1"/>
  <c r="L615" i="1"/>
  <c r="F24" i="14"/>
  <c r="H30" i="2"/>
  <c r="G158" i="2"/>
  <c r="H52" i="1"/>
  <c r="H620" i="1" s="1"/>
  <c r="H663" i="1"/>
  <c r="G339" i="1"/>
  <c r="G353" i="1" s="1"/>
  <c r="E125" i="2"/>
  <c r="H125" i="2" s="1"/>
  <c r="L338" i="1"/>
  <c r="L363" i="1"/>
  <c r="D29" i="13"/>
  <c r="C29" i="13" s="1"/>
  <c r="H17" i="2"/>
  <c r="E50" i="2"/>
  <c r="H36" i="2"/>
  <c r="C78" i="2"/>
  <c r="C81" i="2" s="1"/>
  <c r="H113" i="2"/>
  <c r="C35" i="10"/>
  <c r="C36" i="10" s="1"/>
  <c r="F112" i="1"/>
  <c r="F194" i="1" s="1"/>
  <c r="G628" i="1" s="1"/>
  <c r="J628" i="1" s="1"/>
  <c r="I258" i="1"/>
  <c r="I272" i="1" s="1"/>
  <c r="I550" i="1"/>
  <c r="F50" i="2"/>
  <c r="F51" i="2" s="1"/>
  <c r="C70" i="2"/>
  <c r="H70" i="2" s="1"/>
  <c r="D81" i="2"/>
  <c r="H96" i="2"/>
  <c r="G145" i="2"/>
  <c r="C103" i="2"/>
  <c r="H103" i="2" s="1"/>
  <c r="H93" i="2"/>
  <c r="H170" i="1"/>
  <c r="E13" i="13"/>
  <c r="C13" i="13" s="1"/>
  <c r="C26" i="10"/>
  <c r="E119" i="2"/>
  <c r="E114" i="2"/>
  <c r="I546" i="1"/>
  <c r="C20" i="12"/>
  <c r="C19" i="12"/>
  <c r="C22" i="12" s="1"/>
  <c r="A22" i="12" s="1"/>
  <c r="C21" i="12"/>
  <c r="C39" i="12"/>
  <c r="C37" i="12"/>
  <c r="C38" i="12"/>
  <c r="F36" i="14"/>
  <c r="H43" i="2"/>
  <c r="G160" i="2"/>
  <c r="G162" i="2"/>
  <c r="E78" i="2"/>
  <c r="E62" i="2"/>
  <c r="E63" i="2" s="1"/>
  <c r="H21" i="2"/>
  <c r="C50" i="2"/>
  <c r="H50" i="2" s="1"/>
  <c r="J553" i="1"/>
  <c r="L545" i="1"/>
  <c r="I553" i="1"/>
  <c r="H546" i="1"/>
  <c r="L535" i="1"/>
  <c r="J546" i="1"/>
  <c r="K546" i="1"/>
  <c r="K551" i="1"/>
  <c r="G550" i="1"/>
  <c r="G553" i="1" s="1"/>
  <c r="K552" i="1"/>
  <c r="G546" i="1"/>
  <c r="F553" i="1"/>
  <c r="L525" i="1"/>
  <c r="F4" i="14"/>
  <c r="F477" i="1"/>
  <c r="H623" i="1" s="1"/>
  <c r="J623" i="1" s="1"/>
  <c r="B11" i="16"/>
  <c r="I664" i="1"/>
  <c r="H477" i="1"/>
  <c r="H625" i="1" s="1"/>
  <c r="J625" i="1" s="1"/>
  <c r="H49" i="2"/>
  <c r="F52" i="1"/>
  <c r="H618" i="1" s="1"/>
  <c r="C110" i="2"/>
  <c r="C122" i="2"/>
  <c r="C120" i="2"/>
  <c r="D12" i="13"/>
  <c r="C12" i="13" s="1"/>
  <c r="D19" i="13"/>
  <c r="C19" i="13" s="1"/>
  <c r="C24" i="10"/>
  <c r="H114" i="2"/>
  <c r="E8" i="13"/>
  <c r="C8" i="13" s="1"/>
  <c r="C112" i="2"/>
  <c r="A31" i="12"/>
  <c r="C109" i="2"/>
  <c r="C118" i="2"/>
  <c r="F258" i="1"/>
  <c r="F272" i="1" s="1"/>
  <c r="C119" i="2"/>
  <c r="H119" i="2" s="1"/>
  <c r="D14" i="13"/>
  <c r="C14" i="13" s="1"/>
  <c r="D5" i="13"/>
  <c r="C5" i="13" s="1"/>
  <c r="K258" i="1"/>
  <c r="K272" i="1" s="1"/>
  <c r="C111" i="2"/>
  <c r="C121" i="2"/>
  <c r="H121" i="2" s="1"/>
  <c r="E16" i="13"/>
  <c r="C16" i="13" s="1"/>
  <c r="C123" i="2"/>
  <c r="H123" i="2" s="1"/>
  <c r="D7" i="13"/>
  <c r="C7" i="13" s="1"/>
  <c r="C16" i="10"/>
  <c r="D6" i="13"/>
  <c r="C6" i="13" s="1"/>
  <c r="C12" i="10"/>
  <c r="L212" i="1"/>
  <c r="J258" i="1"/>
  <c r="J272" i="1" s="1"/>
  <c r="G258" i="1"/>
  <c r="G272" i="1" s="1"/>
  <c r="L329" i="1"/>
  <c r="H339" i="1"/>
  <c r="H353" i="1" s="1"/>
  <c r="C11" i="10"/>
  <c r="H31" i="13"/>
  <c r="H33" i="13" s="1"/>
  <c r="E112" i="2"/>
  <c r="E110" i="2"/>
  <c r="G663" i="1"/>
  <c r="E124" i="2"/>
  <c r="C17" i="10"/>
  <c r="E118" i="2"/>
  <c r="F339" i="1"/>
  <c r="F353" i="1" s="1"/>
  <c r="L310" i="1"/>
  <c r="C18" i="10"/>
  <c r="I339" i="1"/>
  <c r="I353" i="1" s="1"/>
  <c r="E122" i="2"/>
  <c r="C10" i="10"/>
  <c r="E109" i="2"/>
  <c r="G31" i="13"/>
  <c r="C19" i="10"/>
  <c r="C20" i="10"/>
  <c r="J339" i="1"/>
  <c r="J353" i="1" s="1"/>
  <c r="C15" i="10"/>
  <c r="K339" i="1"/>
  <c r="K353" i="1" s="1"/>
  <c r="E120" i="2"/>
  <c r="H120" i="2" s="1"/>
  <c r="L291" i="1"/>
  <c r="E111" i="2"/>
  <c r="C13" i="10"/>
  <c r="H88" i="2"/>
  <c r="H194" i="1"/>
  <c r="G630" i="1" s="1"/>
  <c r="J630" i="1" s="1"/>
  <c r="E81" i="2"/>
  <c r="H77" i="2"/>
  <c r="C38" i="10"/>
  <c r="H61" i="2"/>
  <c r="E31" i="2"/>
  <c r="E51" i="2" s="1"/>
  <c r="H22" i="2"/>
  <c r="J620" i="1"/>
  <c r="L257" i="1"/>
  <c r="C22" i="13"/>
  <c r="G33" i="13"/>
  <c r="C29" i="10"/>
  <c r="C130" i="2"/>
  <c r="K606" i="1"/>
  <c r="G649" i="1" s="1"/>
  <c r="G652" i="1"/>
  <c r="J652" i="1" s="1"/>
  <c r="L248" i="1"/>
  <c r="H258" i="1"/>
  <c r="H272" i="1" s="1"/>
  <c r="L230" i="1"/>
  <c r="C124" i="2"/>
  <c r="H124" i="2" s="1"/>
  <c r="J651" i="1"/>
  <c r="I663" i="1"/>
  <c r="H648" i="1"/>
  <c r="C21" i="10"/>
  <c r="D15" i="13"/>
  <c r="G650" i="1"/>
  <c r="J650" i="1" s="1"/>
  <c r="K599" i="1"/>
  <c r="G648" i="1" s="1"/>
  <c r="H130" i="2" l="1"/>
  <c r="AF69" i="15"/>
  <c r="AF37" i="15"/>
  <c r="AF34" i="15"/>
  <c r="AF76" i="15"/>
  <c r="AF90" i="15"/>
  <c r="G627" i="1"/>
  <c r="J627" i="1" s="1"/>
  <c r="J52" i="1"/>
  <c r="H622" i="1" s="1"/>
  <c r="AF71" i="15"/>
  <c r="AF32" i="15"/>
  <c r="H31" i="2"/>
  <c r="C40" i="12"/>
  <c r="A40" i="12" s="1"/>
  <c r="AF17" i="15"/>
  <c r="AF78" i="15"/>
  <c r="AF68" i="15"/>
  <c r="AF39" i="15"/>
  <c r="H81" i="2"/>
  <c r="H118" i="2"/>
  <c r="K550" i="1"/>
  <c r="U68" i="15"/>
  <c r="U65" i="15"/>
  <c r="U52" i="15"/>
  <c r="U49" i="15"/>
  <c r="U74" i="15"/>
  <c r="U71" i="15"/>
  <c r="U58" i="15"/>
  <c r="U55" i="15"/>
  <c r="U42" i="15"/>
  <c r="U64" i="15"/>
  <c r="U61" i="15"/>
  <c r="U48" i="15"/>
  <c r="U45" i="15"/>
  <c r="U39" i="15"/>
  <c r="U37" i="15"/>
  <c r="U35" i="15"/>
  <c r="U33" i="15"/>
  <c r="U31" i="15"/>
  <c r="U29" i="15"/>
  <c r="U27" i="15"/>
  <c r="U25" i="15"/>
  <c r="U23" i="15"/>
  <c r="U21" i="15"/>
  <c r="U19" i="15"/>
  <c r="U17" i="15"/>
  <c r="U15" i="15"/>
  <c r="U13" i="15"/>
  <c r="U73" i="15"/>
  <c r="U60" i="15"/>
  <c r="U57" i="15"/>
  <c r="U44" i="15"/>
  <c r="U41" i="15"/>
  <c r="U66" i="15"/>
  <c r="U63" i="15"/>
  <c r="U50" i="15"/>
  <c r="U47" i="15"/>
  <c r="U72" i="15"/>
  <c r="U69" i="15"/>
  <c r="U36" i="15"/>
  <c r="U20" i="15"/>
  <c r="U75" i="15"/>
  <c r="U51" i="15"/>
  <c r="U26" i="15"/>
  <c r="U54" i="15"/>
  <c r="U32" i="15"/>
  <c r="U16" i="15"/>
  <c r="U18" i="15"/>
  <c r="U56" i="15"/>
  <c r="U53" i="15"/>
  <c r="U38" i="15"/>
  <c r="U22" i="15"/>
  <c r="U10" i="15"/>
  <c r="A32" i="14" s="1" a="1"/>
  <c r="A32" i="14" s="1"/>
  <c r="B32" i="14" s="1"/>
  <c r="C32" i="14" s="1" a="1"/>
  <c r="C32" i="14" s="1"/>
  <c r="U8" i="15"/>
  <c r="A30" i="14" s="1" a="1"/>
  <c r="A30" i="14" s="1"/>
  <c r="U6" i="15"/>
  <c r="A28" i="14" s="1" a="1"/>
  <c r="A28" i="14" s="1"/>
  <c r="U4" i="15"/>
  <c r="A26" i="14" s="1" a="1"/>
  <c r="A26" i="14" s="1"/>
  <c r="U62" i="15"/>
  <c r="U59" i="15"/>
  <c r="U28" i="15"/>
  <c r="U12" i="15"/>
  <c r="U34" i="15"/>
  <c r="U70" i="15"/>
  <c r="U14" i="15"/>
  <c r="U67" i="15"/>
  <c r="U5" i="15"/>
  <c r="A27" i="14" s="1" a="1"/>
  <c r="A27" i="14" s="1"/>
  <c r="U46" i="15"/>
  <c r="U24" i="15"/>
  <c r="U43" i="15"/>
  <c r="U7" i="15"/>
  <c r="A29" i="14" s="1" a="1"/>
  <c r="A29" i="14" s="1"/>
  <c r="U9" i="15"/>
  <c r="A31" i="14" s="1" a="1"/>
  <c r="A31" i="14" s="1"/>
  <c r="U30" i="15"/>
  <c r="U11" i="15"/>
  <c r="U40" i="15"/>
  <c r="AF9" i="15"/>
  <c r="AF21" i="15"/>
  <c r="AF61" i="15"/>
  <c r="AF18" i="15"/>
  <c r="AF12" i="15"/>
  <c r="AF35" i="15"/>
  <c r="AF49" i="15"/>
  <c r="AF75" i="15"/>
  <c r="AF95" i="15"/>
  <c r="AF67" i="15"/>
  <c r="AF93" i="15"/>
  <c r="AF42" i="15"/>
  <c r="AF58" i="15"/>
  <c r="AF74" i="15"/>
  <c r="G632" i="1"/>
  <c r="J632" i="1" s="1"/>
  <c r="G647" i="1"/>
  <c r="AF28" i="15"/>
  <c r="AF85" i="15"/>
  <c r="AF81" i="15"/>
  <c r="AF46" i="15"/>
  <c r="AF62" i="15"/>
  <c r="AF26" i="15"/>
  <c r="AF45" i="15"/>
  <c r="AF15" i="15"/>
  <c r="AF6" i="15"/>
  <c r="A40" i="14" s="1" a="1"/>
  <c r="A40" i="14" s="1"/>
  <c r="AF99" i="15"/>
  <c r="AF41" i="15"/>
  <c r="AF89" i="15"/>
  <c r="AF52" i="15"/>
  <c r="AF16" i="15"/>
  <c r="AF13" i="15"/>
  <c r="H78" i="2"/>
  <c r="H110" i="2"/>
  <c r="F661" i="1"/>
  <c r="H109" i="2"/>
  <c r="B14" i="16"/>
  <c r="C39" i="10"/>
  <c r="C41" i="10" s="1"/>
  <c r="C13" i="12"/>
  <c r="A13" i="12" s="1"/>
  <c r="AF27" i="15"/>
  <c r="AF24" i="15"/>
  <c r="AF82" i="15"/>
  <c r="AF20" i="15"/>
  <c r="AF38" i="15"/>
  <c r="AF47" i="15"/>
  <c r="AF97" i="15"/>
  <c r="AF48" i="15"/>
  <c r="AF64" i="15"/>
  <c r="AF8" i="15"/>
  <c r="A42" i="14" s="1" a="1"/>
  <c r="A42" i="14" s="1"/>
  <c r="AF53" i="15"/>
  <c r="AF43" i="15"/>
  <c r="AF57" i="15"/>
  <c r="AF77" i="15"/>
  <c r="AF79" i="15"/>
  <c r="AF36" i="15"/>
  <c r="AF11" i="15"/>
  <c r="J325" i="15"/>
  <c r="J318" i="15"/>
  <c r="J309" i="15"/>
  <c r="J302" i="15"/>
  <c r="J293" i="15"/>
  <c r="J286" i="15"/>
  <c r="J277" i="15"/>
  <c r="J270" i="15"/>
  <c r="J261" i="15"/>
  <c r="J254" i="15"/>
  <c r="J245" i="15"/>
  <c r="J238" i="15"/>
  <c r="J229" i="15"/>
  <c r="J222" i="15"/>
  <c r="J213" i="15"/>
  <c r="J206" i="15"/>
  <c r="J197" i="15"/>
  <c r="J190" i="15"/>
  <c r="J181" i="15"/>
  <c r="J174" i="15"/>
  <c r="J165" i="15"/>
  <c r="J158" i="15"/>
  <c r="J320" i="15"/>
  <c r="J311" i="15"/>
  <c r="J304" i="15"/>
  <c r="J295" i="15"/>
  <c r="J288" i="15"/>
  <c r="J279" i="15"/>
  <c r="J272" i="15"/>
  <c r="J263" i="15"/>
  <c r="J256" i="15"/>
  <c r="J247" i="15"/>
  <c r="J240" i="15"/>
  <c r="J231" i="15"/>
  <c r="J224" i="15"/>
  <c r="J215" i="15"/>
  <c r="J208" i="15"/>
  <c r="J199" i="15"/>
  <c r="J192" i="15"/>
  <c r="J183" i="15"/>
  <c r="J176" i="15"/>
  <c r="J167" i="15"/>
  <c r="J160" i="15"/>
  <c r="J322" i="15"/>
  <c r="J313" i="15"/>
  <c r="J306" i="15"/>
  <c r="J297" i="15"/>
  <c r="J290" i="15"/>
  <c r="J281" i="15"/>
  <c r="J274" i="15"/>
  <c r="J265" i="15"/>
  <c r="J258" i="15"/>
  <c r="J249" i="15"/>
  <c r="J242" i="15"/>
  <c r="J233" i="15"/>
  <c r="J226" i="15"/>
  <c r="J217" i="15"/>
  <c r="J210" i="15"/>
  <c r="J201" i="15"/>
  <c r="J194" i="15"/>
  <c r="J185" i="15"/>
  <c r="J178" i="15"/>
  <c r="J169" i="15"/>
  <c r="J162" i="15"/>
  <c r="J100" i="15"/>
  <c r="J99" i="15"/>
  <c r="J98" i="15"/>
  <c r="J97" i="15"/>
  <c r="J96" i="15"/>
  <c r="J95" i="15"/>
  <c r="J94" i="15"/>
  <c r="J93" i="15"/>
  <c r="J92" i="15"/>
  <c r="J91" i="15"/>
  <c r="J90" i="15"/>
  <c r="J324" i="15"/>
  <c r="J315" i="15"/>
  <c r="J308" i="15"/>
  <c r="J299" i="15"/>
  <c r="J292" i="15"/>
  <c r="J283" i="15"/>
  <c r="J276" i="15"/>
  <c r="J267" i="15"/>
  <c r="J260" i="15"/>
  <c r="J251" i="15"/>
  <c r="J244" i="15"/>
  <c r="J235" i="15"/>
  <c r="J228" i="15"/>
  <c r="J219" i="15"/>
  <c r="J212" i="15"/>
  <c r="J203" i="15"/>
  <c r="J196" i="15"/>
  <c r="J187" i="15"/>
  <c r="J180" i="15"/>
  <c r="J171" i="15"/>
  <c r="J164" i="15"/>
  <c r="J155" i="15"/>
  <c r="J153" i="15"/>
  <c r="J151" i="15"/>
  <c r="J149" i="15"/>
  <c r="J147" i="15"/>
  <c r="J145" i="15"/>
  <c r="J143" i="15"/>
  <c r="J141" i="15"/>
  <c r="J139" i="15"/>
  <c r="J137" i="15"/>
  <c r="J135" i="15"/>
  <c r="J133" i="15"/>
  <c r="J131" i="15"/>
  <c r="J129" i="15"/>
  <c r="J127" i="15"/>
  <c r="J125" i="15"/>
  <c r="J123" i="15"/>
  <c r="J121" i="15"/>
  <c r="J119" i="15"/>
  <c r="J117" i="15"/>
  <c r="J115" i="15"/>
  <c r="J113" i="15"/>
  <c r="J111" i="15"/>
  <c r="J109" i="15"/>
  <c r="J107" i="15"/>
  <c r="J105" i="15"/>
  <c r="J103" i="15"/>
  <c r="J101" i="15"/>
  <c r="J319" i="15"/>
  <c r="J316" i="15"/>
  <c r="J287" i="15"/>
  <c r="J284" i="15"/>
  <c r="J255" i="15"/>
  <c r="J252" i="15"/>
  <c r="J223" i="15"/>
  <c r="J220" i="15"/>
  <c r="J191" i="15"/>
  <c r="J188" i="15"/>
  <c r="J159" i="15"/>
  <c r="J156" i="15"/>
  <c r="J148" i="15"/>
  <c r="J140" i="15"/>
  <c r="J132" i="15"/>
  <c r="J124" i="15"/>
  <c r="J116" i="15"/>
  <c r="J108" i="15"/>
  <c r="J84" i="15"/>
  <c r="J76" i="15"/>
  <c r="J310" i="15"/>
  <c r="J301" i="15"/>
  <c r="J298" i="15"/>
  <c r="J278" i="15"/>
  <c r="J269" i="15"/>
  <c r="J266" i="15"/>
  <c r="J246" i="15"/>
  <c r="J237" i="15"/>
  <c r="J234" i="15"/>
  <c r="J214" i="15"/>
  <c r="J205" i="15"/>
  <c r="J202" i="15"/>
  <c r="J182" i="15"/>
  <c r="J173" i="15"/>
  <c r="J170" i="15"/>
  <c r="J85" i="15"/>
  <c r="J77" i="15"/>
  <c r="J307" i="15"/>
  <c r="J275" i="15"/>
  <c r="J243" i="15"/>
  <c r="J211" i="15"/>
  <c r="J179" i="15"/>
  <c r="J150" i="15"/>
  <c r="J142" i="15"/>
  <c r="J134" i="15"/>
  <c r="J126" i="15"/>
  <c r="J118" i="15"/>
  <c r="J110" i="15"/>
  <c r="J102" i="15"/>
  <c r="J86" i="15"/>
  <c r="J78" i="15"/>
  <c r="J303" i="15"/>
  <c r="J300" i="15"/>
  <c r="J271" i="15"/>
  <c r="J268" i="15"/>
  <c r="J239" i="15"/>
  <c r="J236" i="15"/>
  <c r="J207" i="15"/>
  <c r="J204" i="15"/>
  <c r="J285" i="15"/>
  <c r="J264" i="15"/>
  <c r="J221" i="15"/>
  <c r="J200" i="15"/>
  <c r="J112" i="15"/>
  <c r="J106" i="15"/>
  <c r="J83" i="15"/>
  <c r="J80" i="15"/>
  <c r="J63" i="15"/>
  <c r="J60" i="15"/>
  <c r="J47" i="15"/>
  <c r="J44" i="15"/>
  <c r="J312" i="15"/>
  <c r="J305" i="15"/>
  <c r="J294" i="15"/>
  <c r="J248" i="15"/>
  <c r="J241" i="15"/>
  <c r="J230" i="15"/>
  <c r="J184" i="15"/>
  <c r="J177" i="15"/>
  <c r="J161" i="15"/>
  <c r="J136" i="15"/>
  <c r="J130" i="15"/>
  <c r="J88" i="15"/>
  <c r="J69" i="15"/>
  <c r="J66" i="15"/>
  <c r="J53" i="15"/>
  <c r="J50" i="15"/>
  <c r="J291" i="15"/>
  <c r="J227" i="15"/>
  <c r="J157" i="15"/>
  <c r="J154" i="15"/>
  <c r="J75" i="15"/>
  <c r="J72" i="15"/>
  <c r="J59" i="15"/>
  <c r="J56" i="15"/>
  <c r="J43" i="15"/>
  <c r="J40" i="15"/>
  <c r="J38" i="15"/>
  <c r="J36" i="15"/>
  <c r="J34" i="15"/>
  <c r="J32" i="15"/>
  <c r="J30" i="15"/>
  <c r="J28" i="15"/>
  <c r="J26" i="15"/>
  <c r="J24" i="15"/>
  <c r="J22" i="15"/>
  <c r="J20" i="15"/>
  <c r="J18" i="15"/>
  <c r="A20" i="14" s="1" a="1"/>
  <c r="A20" i="14" s="1"/>
  <c r="B20" i="14" s="1"/>
  <c r="C20" i="14" s="1"/>
  <c r="J16" i="15"/>
  <c r="A18" i="14" s="1" a="1"/>
  <c r="A18" i="14" s="1"/>
  <c r="B18" i="14" s="1"/>
  <c r="C18" i="14" s="1"/>
  <c r="J14" i="15"/>
  <c r="A16" i="14" s="1" a="1"/>
  <c r="A16" i="14" s="1"/>
  <c r="B16" i="14" s="1"/>
  <c r="C16" i="14" s="1"/>
  <c r="J12" i="15"/>
  <c r="A14" i="14" s="1" a="1"/>
  <c r="A14" i="14" s="1"/>
  <c r="B14" i="14" s="1"/>
  <c r="C14" i="14" s="1"/>
  <c r="J317" i="15"/>
  <c r="J296" i="15"/>
  <c r="J253" i="15"/>
  <c r="J232" i="15"/>
  <c r="J189" i="15"/>
  <c r="J163" i="15"/>
  <c r="J144" i="15"/>
  <c r="J138" i="15"/>
  <c r="J89" i="15"/>
  <c r="J71" i="15"/>
  <c r="J68" i="15"/>
  <c r="J55" i="15"/>
  <c r="J52" i="15"/>
  <c r="J280" i="15"/>
  <c r="J273" i="15"/>
  <c r="J262" i="15"/>
  <c r="J216" i="15"/>
  <c r="J209" i="15"/>
  <c r="J198" i="15"/>
  <c r="J172" i="15"/>
  <c r="J104" i="15"/>
  <c r="J74" i="15"/>
  <c r="J61" i="15"/>
  <c r="J58" i="15"/>
  <c r="J45" i="15"/>
  <c r="J42" i="15"/>
  <c r="J195" i="15"/>
  <c r="J65" i="15"/>
  <c r="J41" i="15"/>
  <c r="J31" i="15"/>
  <c r="J15" i="15"/>
  <c r="A17" i="14" s="1" a="1"/>
  <c r="A17" i="14" s="1"/>
  <c r="B17" i="14" s="1"/>
  <c r="C17" i="14" s="1"/>
  <c r="J13" i="15"/>
  <c r="A15" i="14" s="1" a="1"/>
  <c r="A15" i="14" s="1"/>
  <c r="B15" i="14" s="1"/>
  <c r="C15" i="14" s="1"/>
  <c r="J122" i="15"/>
  <c r="J67" i="15"/>
  <c r="J64" i="15"/>
  <c r="J37" i="15"/>
  <c r="J21" i="15"/>
  <c r="J314" i="15"/>
  <c r="J168" i="15"/>
  <c r="J128" i="15"/>
  <c r="J73" i="15"/>
  <c r="J70" i="15"/>
  <c r="J46" i="15"/>
  <c r="J27" i="15"/>
  <c r="J321" i="15"/>
  <c r="J250" i="15"/>
  <c r="J175" i="15"/>
  <c r="J146" i="15"/>
  <c r="J81" i="15"/>
  <c r="J49" i="15"/>
  <c r="J33" i="15"/>
  <c r="J17" i="15"/>
  <c r="A19" i="14" s="1" a="1"/>
  <c r="A19" i="14" s="1"/>
  <c r="B19" i="14" s="1"/>
  <c r="C19" i="14" s="1"/>
  <c r="J11" i="15"/>
  <c r="A13" i="14" s="1" a="1"/>
  <c r="A13" i="14" s="1"/>
  <c r="B13" i="14" s="1"/>
  <c r="C13" i="14" s="1"/>
  <c r="J9" i="15"/>
  <c r="A11" i="14" s="1" a="1"/>
  <c r="A11" i="14" s="1"/>
  <c r="B11" i="14" s="1"/>
  <c r="C11" i="14" s="1"/>
  <c r="J7" i="15"/>
  <c r="A9" i="14" s="1" a="1"/>
  <c r="A9" i="14" s="1"/>
  <c r="B9" i="14" s="1"/>
  <c r="C9" i="14" s="1"/>
  <c r="J5" i="15"/>
  <c r="A7" i="14" s="1" a="1"/>
  <c r="A7" i="14" s="1"/>
  <c r="B7" i="14" s="1"/>
  <c r="C7" i="14" s="1"/>
  <c r="J257" i="15"/>
  <c r="J186" i="15"/>
  <c r="J51" i="15"/>
  <c r="J48" i="15"/>
  <c r="J39" i="15"/>
  <c r="J23" i="15"/>
  <c r="J282" i="15"/>
  <c r="J193" i="15"/>
  <c r="J152" i="15"/>
  <c r="J114" i="15"/>
  <c r="J87" i="15"/>
  <c r="J79" i="15"/>
  <c r="J57" i="15"/>
  <c r="J54" i="15"/>
  <c r="J29" i="15"/>
  <c r="J82" i="15"/>
  <c r="J225" i="15"/>
  <c r="J259" i="15"/>
  <c r="J218" i="15"/>
  <c r="J120" i="15"/>
  <c r="J166" i="15"/>
  <c r="J25" i="15"/>
  <c r="J289" i="15"/>
  <c r="J35" i="15"/>
  <c r="J4" i="15"/>
  <c r="A6" i="14" s="1" a="1"/>
  <c r="A6" i="14" s="1"/>
  <c r="B6" i="14" s="1"/>
  <c r="C6" i="14" s="1"/>
  <c r="J323" i="15"/>
  <c r="J19" i="15"/>
  <c r="J8" i="15"/>
  <c r="A10" i="14" s="1" a="1"/>
  <c r="A10" i="14" s="1"/>
  <c r="B10" i="14" s="1"/>
  <c r="C10" i="14" s="1"/>
  <c r="J10" i="15"/>
  <c r="A12" i="14" s="1" a="1"/>
  <c r="A12" i="14" s="1"/>
  <c r="B12" i="14" s="1"/>
  <c r="C12" i="14" s="1"/>
  <c r="J62" i="15"/>
  <c r="J6" i="15"/>
  <c r="A8" i="14" s="1" a="1"/>
  <c r="A8" i="14" s="1"/>
  <c r="B8" i="14" s="1"/>
  <c r="C8" i="14" s="1"/>
  <c r="AF65" i="15"/>
  <c r="AF44" i="15"/>
  <c r="AF60" i="15"/>
  <c r="AF87" i="15"/>
  <c r="I662" i="1"/>
  <c r="C27" i="10"/>
  <c r="G636" i="1"/>
  <c r="J636" i="1" s="1"/>
  <c r="B17" i="16"/>
  <c r="B19" i="16" s="1"/>
  <c r="AF14" i="15"/>
  <c r="AF84" i="15"/>
  <c r="AF55" i="15"/>
  <c r="AF4" i="15"/>
  <c r="A38" i="14" s="1" a="1"/>
  <c r="A38" i="14" s="1"/>
  <c r="AF86" i="15"/>
  <c r="AF63" i="15"/>
  <c r="AF80" i="15"/>
  <c r="AF50" i="15"/>
  <c r="AF66" i="15"/>
  <c r="AF92" i="15"/>
  <c r="I33" i="13"/>
  <c r="C25" i="13"/>
  <c r="AF29" i="15"/>
  <c r="C39" i="14"/>
  <c r="B39" i="14"/>
  <c r="AF33" i="15"/>
  <c r="AF19" i="15"/>
  <c r="AF54" i="15"/>
  <c r="AF70" i="15"/>
  <c r="D62" i="2"/>
  <c r="H127" i="2"/>
  <c r="D128" i="2"/>
  <c r="D145" i="2" s="1"/>
  <c r="AF22" i="15"/>
  <c r="AF94" i="15"/>
  <c r="J622" i="1"/>
  <c r="H91" i="2"/>
  <c r="J618" i="1"/>
  <c r="AF7" i="15"/>
  <c r="A41" i="14" s="1" a="1"/>
  <c r="A41" i="14" s="1"/>
  <c r="AF31" i="15"/>
  <c r="AF91" i="15"/>
  <c r="AF25" i="15"/>
  <c r="AF10" i="15"/>
  <c r="AF83" i="15"/>
  <c r="AF59" i="15"/>
  <c r="AF73" i="15"/>
  <c r="AF51" i="15"/>
  <c r="AF88" i="15"/>
  <c r="AF40" i="15"/>
  <c r="AF56" i="15"/>
  <c r="AF72" i="15"/>
  <c r="AF96" i="15"/>
  <c r="C138" i="2"/>
  <c r="L409" i="1"/>
  <c r="C51" i="2"/>
  <c r="H51" i="2" s="1"/>
  <c r="L546" i="1"/>
  <c r="K553" i="1"/>
  <c r="H112" i="2"/>
  <c r="H122" i="2"/>
  <c r="C115" i="2"/>
  <c r="H111" i="2"/>
  <c r="G4" i="14"/>
  <c r="H4" i="14" s="1"/>
  <c r="I4" i="14" s="1"/>
  <c r="L258" i="1"/>
  <c r="L272" i="1" s="1"/>
  <c r="G633" i="1" s="1"/>
  <c r="J633" i="1" s="1"/>
  <c r="E33" i="13"/>
  <c r="D35" i="13" s="1"/>
  <c r="H649" i="1"/>
  <c r="J649" i="1" s="1"/>
  <c r="E128" i="2"/>
  <c r="D31" i="13"/>
  <c r="C31" i="13" s="1"/>
  <c r="L339" i="1"/>
  <c r="L353" i="1" s="1"/>
  <c r="G634" i="1" s="1"/>
  <c r="J634" i="1" s="1"/>
  <c r="E115" i="2"/>
  <c r="E104" i="2"/>
  <c r="G36" i="14"/>
  <c r="H36" i="14" s="1"/>
  <c r="I36" i="14" s="1"/>
  <c r="H661" i="1"/>
  <c r="H665" i="1" s="1"/>
  <c r="H668" i="1" s="1"/>
  <c r="J648" i="1"/>
  <c r="C128" i="2"/>
  <c r="G661" i="1"/>
  <c r="G665" i="1" s="1"/>
  <c r="G24" i="14"/>
  <c r="H24" i="14" s="1"/>
  <c r="I24" i="14" s="1"/>
  <c r="C15" i="13"/>
  <c r="C28" i="10"/>
  <c r="F665" i="1"/>
  <c r="D36" i="10" l="1"/>
  <c r="D35" i="10"/>
  <c r="D39" i="10"/>
  <c r="D38" i="10"/>
  <c r="D37" i="10"/>
  <c r="D40" i="10"/>
  <c r="G638" i="1"/>
  <c r="J638" i="1" s="1"/>
  <c r="H647" i="1"/>
  <c r="H138" i="2"/>
  <c r="C141" i="2"/>
  <c r="H141" i="2" s="1"/>
  <c r="B22" i="16"/>
  <c r="B31" i="14"/>
  <c r="C31" i="14"/>
  <c r="B30" i="14"/>
  <c r="C30" i="14"/>
  <c r="C29" i="14"/>
  <c r="B29" i="14"/>
  <c r="B42" i="14"/>
  <c r="C42" i="14"/>
  <c r="B40" i="14"/>
  <c r="C40" i="14"/>
  <c r="C144" i="2"/>
  <c r="H144" i="2" s="1"/>
  <c r="C145" i="2"/>
  <c r="J647" i="1"/>
  <c r="C27" i="14"/>
  <c r="B27" i="14"/>
  <c r="C41" i="14"/>
  <c r="B41" i="14"/>
  <c r="H62" i="2"/>
  <c r="D63" i="2"/>
  <c r="B38" i="14"/>
  <c r="C38" i="14"/>
  <c r="B26" i="14"/>
  <c r="C26" i="14"/>
  <c r="C28" i="14"/>
  <c r="B28" i="14"/>
  <c r="D33" i="13"/>
  <c r="D36" i="13" s="1"/>
  <c r="E145" i="2"/>
  <c r="H145" i="2" s="1"/>
  <c r="H115" i="2"/>
  <c r="D41" i="10"/>
  <c r="I661" i="1"/>
  <c r="I665" i="1" s="1"/>
  <c r="I668" i="1" s="1"/>
  <c r="H128" i="2"/>
  <c r="H673" i="1"/>
  <c r="G668" i="1"/>
  <c r="G673" i="1"/>
  <c r="C5" i="10" s="1"/>
  <c r="D27" i="10"/>
  <c r="D23" i="10"/>
  <c r="D18" i="10"/>
  <c r="D13" i="10"/>
  <c r="D26" i="10"/>
  <c r="D22" i="10"/>
  <c r="D17" i="10"/>
  <c r="D12" i="10"/>
  <c r="C30" i="10"/>
  <c r="D25" i="10"/>
  <c r="D20" i="10"/>
  <c r="D16" i="10"/>
  <c r="D11" i="10"/>
  <c r="D19" i="10"/>
  <c r="D24" i="10"/>
  <c r="D15" i="10"/>
  <c r="D10" i="10"/>
  <c r="F668" i="1"/>
  <c r="F673" i="1"/>
  <c r="C4" i="10" s="1"/>
  <c r="D21" i="10"/>
  <c r="D104" i="2" l="1"/>
  <c r="H104" i="2" s="1"/>
  <c r="H63" i="2"/>
  <c r="H657" i="1"/>
  <c r="I673" i="1"/>
  <c r="C7" i="10" s="1"/>
  <c r="D2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<sst xmlns="http://schemas.openxmlformats.org/spreadsheetml/2006/main" count="6530" uniqueCount="1802">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</sst>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10" zoomScaleNormal="11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1085</v>
      </c>
      <c r="B2" s="126">
        <f>INDEX('School Tables'!$AH$3:$AH$208,MATCH('DOE25'!A2,'School Tables'!$AJ$3:$AJ$208,0))</f>
        <v>223</v>
      </c>
      <c r="C2" s="126">
        <f>INDEX('School Tables'!$AI$3:$AI$208,MATCH('DOE25'!A2,'School Tables'!$AJ$3:$AJ$208,0))</f>
        <v>223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2861344.11+925</f>
        <v>2862269.11</v>
      </c>
      <c r="G9" s="18">
        <v>327505.09000000003</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780136.28</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20977.4</v>
      </c>
      <c r="G13" s="18">
        <v>99534.93</v>
      </c>
      <c r="H13" s="18">
        <v>586848.93000000005</v>
      </c>
      <c r="I13" s="18"/>
      <c r="J13" s="67">
        <f>SUM(I443)</f>
        <v>208308.51</v>
      </c>
      <c r="K13" s="24" t="s">
        <v>288</v>
      </c>
      <c r="L13" s="24" t="s">
        <v>288</v>
      </c>
      <c r="M13" s="8"/>
      <c r="N13" s="265"/>
    </row>
    <row r="14" spans="1:14" s="3" customFormat="1" ht="12.2" customHeight="1" x14ac:dyDescent="0.15">
      <c r="A14" s="1" t="s">
        <v>565</v>
      </c>
      <c r="B14" s="2" t="s">
        <v>289</v>
      </c>
      <c r="C14" s="6">
        <v>6</v>
      </c>
      <c r="D14" s="2" t="s">
        <v>428</v>
      </c>
      <c r="E14" s="6">
        <v>150</v>
      </c>
      <c r="F14" s="18">
        <v>2000</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19812.28</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2100</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3667482.7899999996</v>
      </c>
      <c r="G19" s="41">
        <f>SUM(G9:G18)</f>
        <v>446852.30000000005</v>
      </c>
      <c r="H19" s="41">
        <f>SUM(H9:H18)</f>
        <v>586848.93000000005</v>
      </c>
      <c r="I19" s="41">
        <f>SUM(I9:I18)</f>
        <v>0</v>
      </c>
      <c r="J19" s="41">
        <f>SUM(J9:J18)</f>
        <v>208308.51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211645.4</v>
      </c>
      <c r="H22" s="18">
        <v>568490.88</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122104.07</v>
      </c>
      <c r="G24" s="18">
        <v>67677.8</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15227.59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59978.78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30351.46</v>
      </c>
      <c r="H30" s="18">
        <f>18357.58+0.47</f>
        <v>18358.050000000003</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197310.44</v>
      </c>
      <c r="G32" s="41">
        <f>SUM(G22:G31)</f>
        <v>309674.66000000003</v>
      </c>
      <c r="H32" s="41">
        <f>SUM(H22:H31)</f>
        <v>586848.93000000005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99652.82</v>
      </c>
      <c r="G35" s="18">
        <v>19812.28</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636993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28070.1+89295.26</f>
        <v>117365.35999999999</v>
      </c>
      <c r="H48" s="18"/>
      <c r="I48" s="18"/>
      <c r="J48" s="13">
        <f>SUM(I460)</f>
        <v>208308.51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2233526.5299999998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3470172.3499999996</v>
      </c>
      <c r="G51" s="41">
        <f>SUM(G35:G50)</f>
        <v>137177.63999999998</v>
      </c>
      <c r="H51" s="41">
        <f>SUM(H35:H50)</f>
        <v>0</v>
      </c>
      <c r="I51" s="41">
        <f>SUM(I35:I50)</f>
        <v>0</v>
      </c>
      <c r="J51" s="41">
        <f>SUM(J35:J50)</f>
        <v>208308.51</v>
      </c>
      <c r="K51" s="45" t="s">
        <v>288</v>
      </c>
      <c r="L51" s="45" t="s">
        <v>288</v>
      </c>
      <c r="N51" s="263"/>
    </row>
    <row r="52" spans="1:14" s="3" customFormat="1" ht="12.2" customHeight="1" thickTop="1" x14ac:dyDescent="0.15">
      <c r="A52" s="38" t="s">
        <v>455</v>
      </c>
      <c r="B52" s="39" t="s">
        <v>289</v>
      </c>
      <c r="C52" s="6">
        <v>37</v>
      </c>
      <c r="D52" s="39" t="s">
        <v>653</v>
      </c>
      <c r="E52" s="39"/>
      <c r="F52" s="41">
        <f>F51+F32</f>
        <v>3667482.7899999996</v>
      </c>
      <c r="G52" s="41">
        <f>G51+G32</f>
        <v>446852.30000000005</v>
      </c>
      <c r="H52" s="41">
        <f>H51+H32</f>
        <v>586848.93000000005</v>
      </c>
      <c r="I52" s="41">
        <f>I51+I32</f>
        <v>0</v>
      </c>
      <c r="J52" s="41">
        <f>J51+J32</f>
        <v>208308.51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22967178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22967178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f>179058+26500</f>
        <v>205558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205558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1446.52</v>
      </c>
      <c r="G96" s="18"/>
      <c r="H96" s="18"/>
      <c r="I96" s="18"/>
      <c r="J96" s="18">
        <v>893.54</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31658.41+4690.31</f>
        <v>36348.720000000001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423.53</v>
      </c>
      <c r="G102" s="18"/>
      <c r="H102" s="18"/>
      <c r="I102" s="18"/>
      <c r="J102" s="18">
        <v>250</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424003.63</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3672.53</v>
      </c>
      <c r="G110" s="18"/>
      <c r="H110" s="18">
        <v>3896.84</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429546.21</v>
      </c>
      <c r="G111" s="41">
        <f>SUM(G96:G110)</f>
        <v>36348.720000000001</v>
      </c>
      <c r="H111" s="41">
        <f>SUM(H96:H110)</f>
        <v>3896.84</v>
      </c>
      <c r="I111" s="41">
        <f>SUM(I96:I110)</f>
        <v>0</v>
      </c>
      <c r="J111" s="41">
        <f>SUM(J96:J110)</f>
        <v>1143.54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23602282.210000001</v>
      </c>
      <c r="G112" s="41">
        <f>G60+G111</f>
        <v>36348.720000000001</v>
      </c>
      <c r="H112" s="41">
        <f>H60+H79+H94+H111</f>
        <v>3896.84</v>
      </c>
      <c r="I112" s="41">
        <f>I60+I111</f>
        <v>0</v>
      </c>
      <c r="J112" s="41">
        <f>J60+J111</f>
        <v>1143.54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2845579.06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2512545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1104.1500000000001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5359228.2100000009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779313.34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13895.21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0.47</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779313.34</v>
      </c>
      <c r="G136" s="41">
        <f>SUM(G123:G135)</f>
        <v>13895.21</v>
      </c>
      <c r="H136" s="41">
        <f>SUM(H123:H135)</f>
        <v>0.47</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6138541.5500000007</v>
      </c>
      <c r="G140" s="41">
        <f>G121+SUM(G136:G137)</f>
        <v>13895.21</v>
      </c>
      <c r="H140" s="41">
        <f>H121+SUM(H136:H139)</f>
        <v>0.47</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1923.28</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1923.28</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13132.63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62895.83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435431.12+24956.88</f>
        <v>460388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152213.96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17579.419999999998</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269388.84999999998</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17579.419999999998</v>
      </c>
      <c r="G163" s="41">
        <f>SUM(G150:G162)</f>
        <v>460388</v>
      </c>
      <c r="H163" s="41">
        <f>SUM(H150:H162)</f>
        <v>497631.26999999996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19502.699999999997</v>
      </c>
      <c r="G170" s="41">
        <f>G147+G163+SUM(G164:G169)</f>
        <v>460388</v>
      </c>
      <c r="H170" s="41">
        <f>H147+H163+SUM(H164:H169)</f>
        <v>497631.26999999996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1160000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1160000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1160000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30920326.460000001</v>
      </c>
      <c r="G194" s="47">
        <f>G112+G140+G170+G193</f>
        <v>510631.93</v>
      </c>
      <c r="H194" s="47">
        <f>H112+H140+H170+H193</f>
        <v>501528.57999999996</v>
      </c>
      <c r="I194" s="47">
        <f>I112+I140+I170+I193</f>
        <v>0</v>
      </c>
      <c r="J194" s="47">
        <f>J112+J140+J193</f>
        <v>1143.54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2793391.83</v>
      </c>
      <c r="G198" s="18">
        <v>1575368.62</v>
      </c>
      <c r="H198" s="18">
        <v>14733.75</v>
      </c>
      <c r="I198" s="18">
        <v>110859.24</v>
      </c>
      <c r="J198" s="18">
        <v>76925.91</v>
      </c>
      <c r="K198" s="18">
        <v>3709.35</v>
      </c>
      <c r="L198" s="19">
        <f>SUM(F198:K198)</f>
        <v>4574988.7</v>
      </c>
      <c r="M198" s="8"/>
      <c r="N198" s="265"/>
    </row>
    <row r="199" spans="1:14" s="3" customFormat="1" ht="12.2" customHeight="1" x14ac:dyDescent="0.15">
      <c r="A199" s="1" t="s">
        <v>439</v>
      </c>
      <c r="B199" s="2" t="s">
        <v>341</v>
      </c>
      <c r="C199" s="2" t="s">
        <v>291</v>
      </c>
      <c r="D199" s="2" t="s">
        <v>431</v>
      </c>
      <c r="E199" s="6">
        <v>1200</v>
      </c>
      <c r="F199" s="18">
        <v>1222795.3600000001</v>
      </c>
      <c r="G199" s="18">
        <v>689610.89</v>
      </c>
      <c r="H199" s="18">
        <v>885113.35</v>
      </c>
      <c r="I199" s="18">
        <v>7525.44</v>
      </c>
      <c r="J199" s="18">
        <v>1880.87</v>
      </c>
      <c r="K199" s="18">
        <v>968.71</v>
      </c>
      <c r="L199" s="19">
        <f>SUM(F199:K199)</f>
        <v>2807894.62</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449124.67</v>
      </c>
      <c r="G203" s="18">
        <v>253289.53</v>
      </c>
      <c r="H203" s="18">
        <v>3237.64</v>
      </c>
      <c r="I203" s="18">
        <v>9453.4</v>
      </c>
      <c r="J203" s="18">
        <v>177.77</v>
      </c>
      <c r="K203" s="18">
        <v>0</v>
      </c>
      <c r="L203" s="19">
        <f t="shared" ref="L203:L209" si="0">SUM(F203:K203)</f>
        <v>715283.01</v>
      </c>
      <c r="M203" s="8"/>
      <c r="N203" s="265"/>
    </row>
    <row r="204" spans="1:14" s="3" customFormat="1" ht="12.2" customHeight="1" x14ac:dyDescent="0.15">
      <c r="A204" s="1" t="s">
        <v>443</v>
      </c>
      <c r="B204" s="2" t="s">
        <v>341</v>
      </c>
      <c r="C204" s="2" t="s">
        <v>295</v>
      </c>
      <c r="D204" s="2" t="s">
        <v>431</v>
      </c>
      <c r="E204" s="6">
        <v>2200</v>
      </c>
      <c r="F204" s="18">
        <v>85330.53</v>
      </c>
      <c r="G204" s="18">
        <v>71536.930000000008</v>
      </c>
      <c r="H204" s="18">
        <v>14868.88</v>
      </c>
      <c r="I204" s="18">
        <v>18921.61</v>
      </c>
      <c r="J204" s="18">
        <v>2771.3</v>
      </c>
      <c r="K204" s="18">
        <v>0</v>
      </c>
      <c r="L204" s="19">
        <f t="shared" si="0"/>
        <v>193429.25</v>
      </c>
      <c r="M204" s="8"/>
      <c r="N204" s="265"/>
    </row>
    <row r="205" spans="1:14" s="3" customFormat="1" ht="12.2" customHeight="1" x14ac:dyDescent="0.15">
      <c r="A205" s="1" t="s">
        <v>444</v>
      </c>
      <c r="B205" s="2" t="s">
        <v>341</v>
      </c>
      <c r="C205" s="2" t="s">
        <v>296</v>
      </c>
      <c r="D205" s="2" t="s">
        <v>431</v>
      </c>
      <c r="E205" s="6">
        <v>2300</v>
      </c>
      <c r="F205" s="18">
        <v>78469.240000000005</v>
      </c>
      <c r="G205" s="18">
        <v>44253.72</v>
      </c>
      <c r="H205" s="18">
        <v>21547.91</v>
      </c>
      <c r="I205" s="18">
        <v>4366.93</v>
      </c>
      <c r="J205" s="18">
        <v>14045.75</v>
      </c>
      <c r="K205" s="18">
        <v>12824.17</v>
      </c>
      <c r="L205" s="19">
        <f t="shared" si="0"/>
        <v>175507.72</v>
      </c>
      <c r="M205" s="8"/>
      <c r="N205" s="265"/>
    </row>
    <row r="206" spans="1:14" s="3" customFormat="1" ht="12.2" customHeight="1" x14ac:dyDescent="0.15">
      <c r="A206" s="1" t="s">
        <v>445</v>
      </c>
      <c r="B206" s="2" t="s">
        <v>341</v>
      </c>
      <c r="C206" s="2" t="s">
        <v>297</v>
      </c>
      <c r="D206" s="2" t="s">
        <v>431</v>
      </c>
      <c r="E206" s="6">
        <v>2400</v>
      </c>
      <c r="F206" s="18">
        <v>304875.71000000002</v>
      </c>
      <c r="G206" s="18">
        <v>171938.51</v>
      </c>
      <c r="H206" s="18">
        <v>28416.17</v>
      </c>
      <c r="I206" s="18">
        <v>3910.62</v>
      </c>
      <c r="J206" s="18">
        <v>5217.58</v>
      </c>
      <c r="K206" s="18">
        <v>2008</v>
      </c>
      <c r="L206" s="19">
        <f t="shared" si="0"/>
        <v>516366.59</v>
      </c>
      <c r="M206" s="8"/>
      <c r="N206" s="265"/>
    </row>
    <row r="207" spans="1:14" s="3" customFormat="1" ht="12.2" customHeight="1" x14ac:dyDescent="0.15">
      <c r="A207" s="1" t="s">
        <v>446</v>
      </c>
      <c r="B207" s="2" t="s">
        <v>341</v>
      </c>
      <c r="C207" s="2" t="s">
        <v>298</v>
      </c>
      <c r="D207" s="2" t="s">
        <v>431</v>
      </c>
      <c r="E207" s="6">
        <v>2500</v>
      </c>
      <c r="F207" s="18">
        <v>102900.63</v>
      </c>
      <c r="G207" s="18">
        <v>58032.11</v>
      </c>
      <c r="H207" s="18">
        <v>0</v>
      </c>
      <c r="I207" s="18">
        <v>0</v>
      </c>
      <c r="J207" s="18">
        <v>0</v>
      </c>
      <c r="K207" s="18">
        <v>0</v>
      </c>
      <c r="L207" s="19">
        <f t="shared" si="0"/>
        <v>160932.74</v>
      </c>
      <c r="M207" s="8"/>
      <c r="N207" s="265"/>
    </row>
    <row r="208" spans="1:14" s="3" customFormat="1" ht="12.2" customHeight="1" x14ac:dyDescent="0.15">
      <c r="A208" s="1" t="s">
        <v>447</v>
      </c>
      <c r="B208" s="2" t="s">
        <v>341</v>
      </c>
      <c r="C208" s="2" t="s">
        <v>299</v>
      </c>
      <c r="D208" s="2" t="s">
        <v>431</v>
      </c>
      <c r="E208" s="6">
        <v>2600</v>
      </c>
      <c r="F208" s="18">
        <v>355151.1</v>
      </c>
      <c r="G208" s="18">
        <v>201928.43000000002</v>
      </c>
      <c r="H208" s="18">
        <v>157661.78</v>
      </c>
      <c r="I208" s="18">
        <v>175593.24</v>
      </c>
      <c r="J208" s="18">
        <v>11326.8</v>
      </c>
      <c r="K208" s="18">
        <v>6879.05</v>
      </c>
      <c r="L208" s="19">
        <f t="shared" si="0"/>
        <v>908540.40000000014</v>
      </c>
      <c r="M208" s="8"/>
      <c r="N208" s="265"/>
    </row>
    <row r="209" spans="1:14" s="3" customFormat="1" ht="12.2" customHeight="1" x14ac:dyDescent="0.15">
      <c r="A209" s="1" t="s">
        <v>448</v>
      </c>
      <c r="B209" s="2" t="s">
        <v>341</v>
      </c>
      <c r="C209" s="2" t="s">
        <v>300</v>
      </c>
      <c r="D209" s="2" t="s">
        <v>431</v>
      </c>
      <c r="E209" s="6">
        <v>2700</v>
      </c>
      <c r="F209" s="18">
        <v>0</v>
      </c>
      <c r="G209" s="18">
        <v>0</v>
      </c>
      <c r="H209" s="18">
        <v>385704.96000000002</v>
      </c>
      <c r="I209" s="18">
        <v>0</v>
      </c>
      <c r="J209" s="18">
        <v>0</v>
      </c>
      <c r="K209" s="18">
        <v>0</v>
      </c>
      <c r="L209" s="19">
        <f t="shared" si="0"/>
        <v>385704.96000000002</v>
      </c>
      <c r="M209" s="8"/>
      <c r="N209" s="265"/>
    </row>
    <row r="210" spans="1:14" s="3" customFormat="1" ht="12.2" customHeight="1" x14ac:dyDescent="0.15">
      <c r="A210" s="1" t="s">
        <v>449</v>
      </c>
      <c r="B210" s="2" t="s">
        <v>341</v>
      </c>
      <c r="C210" s="2" t="s">
        <v>343</v>
      </c>
      <c r="D210" s="2" t="s">
        <v>431</v>
      </c>
      <c r="E210" s="6">
        <v>2800</v>
      </c>
      <c r="F210" s="18">
        <v>66485.279999999999</v>
      </c>
      <c r="G210" s="18">
        <v>37495.21</v>
      </c>
      <c r="H210" s="18">
        <v>4317.41</v>
      </c>
      <c r="I210" s="18">
        <v>37248.400000000001</v>
      </c>
      <c r="J210" s="18">
        <v>0</v>
      </c>
      <c r="K210" s="18">
        <v>0</v>
      </c>
      <c r="L210" s="19">
        <f>SUM(F210:K210)</f>
        <v>145546.29999999999</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5458524.3500000006</v>
      </c>
      <c r="G212" s="41">
        <f t="shared" si="1"/>
        <v>3103453.95</v>
      </c>
      <c r="H212" s="41">
        <f t="shared" si="1"/>
        <v>1515601.8499999999</v>
      </c>
      <c r="I212" s="41">
        <f t="shared" si="1"/>
        <v>367878.88</v>
      </c>
      <c r="J212" s="41">
        <f t="shared" si="1"/>
        <v>112345.98000000001</v>
      </c>
      <c r="K212" s="41">
        <f t="shared" si="1"/>
        <v>26389.279999999999</v>
      </c>
      <c r="L212" s="41">
        <f t="shared" si="1"/>
        <v>10584194.290000003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2313012.8199999998</v>
      </c>
      <c r="G216" s="18">
        <v>1304452.8</v>
      </c>
      <c r="H216" s="18">
        <v>24450.49</v>
      </c>
      <c r="I216" s="18">
        <v>227670.48</v>
      </c>
      <c r="J216" s="18">
        <v>72877.539999999994</v>
      </c>
      <c r="K216" s="18">
        <v>7438.48</v>
      </c>
      <c r="L216" s="19">
        <f>SUM(F216:K216)</f>
        <v>3949902.6100000003</v>
      </c>
      <c r="M216" s="8"/>
      <c r="N216" s="265"/>
    </row>
    <row r="217" spans="1:14" s="3" customFormat="1" ht="12.2" customHeight="1" x14ac:dyDescent="0.15">
      <c r="A217" s="1" t="s">
        <v>439</v>
      </c>
      <c r="B217" s="2" t="s">
        <v>346</v>
      </c>
      <c r="C217" s="2" t="s">
        <v>291</v>
      </c>
      <c r="D217" s="2" t="s">
        <v>431</v>
      </c>
      <c r="E217" s="6">
        <v>1200</v>
      </c>
      <c r="F217" s="18">
        <v>974321.26</v>
      </c>
      <c r="G217" s="18">
        <v>549480.78</v>
      </c>
      <c r="H217" s="18">
        <v>814652.53</v>
      </c>
      <c r="I217" s="18">
        <v>5795.01</v>
      </c>
      <c r="J217" s="18">
        <v>1528.07</v>
      </c>
      <c r="K217" s="18">
        <v>787.01</v>
      </c>
      <c r="L217" s="19">
        <f>SUM(F217:K217)</f>
        <v>2346564.6599999997</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42745</v>
      </c>
      <c r="G219" s="18">
        <v>24106.58</v>
      </c>
      <c r="H219" s="18">
        <v>7200</v>
      </c>
      <c r="I219" s="18">
        <v>3538.72</v>
      </c>
      <c r="J219" s="18">
        <v>403.99</v>
      </c>
      <c r="K219" s="18">
        <v>6988.94</v>
      </c>
      <c r="L219" s="19">
        <f>SUM(F219:K219)</f>
        <v>84983.23000000001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455623.37</v>
      </c>
      <c r="G221" s="18">
        <v>256954.56</v>
      </c>
      <c r="H221" s="18">
        <v>7111.1</v>
      </c>
      <c r="I221" s="18">
        <v>6953.91</v>
      </c>
      <c r="J221" s="18">
        <v>249</v>
      </c>
      <c r="K221" s="18">
        <v>0</v>
      </c>
      <c r="L221" s="19">
        <f t="shared" ref="L221:L227" si="2">SUM(F221:K221)</f>
        <v>726891.94</v>
      </c>
      <c r="M221" s="8"/>
      <c r="N221" s="265"/>
    </row>
    <row r="222" spans="1:14" s="3" customFormat="1" ht="12.2" customHeight="1" x14ac:dyDescent="0.15">
      <c r="A222" s="1" t="s">
        <v>443</v>
      </c>
      <c r="B222" s="2" t="s">
        <v>346</v>
      </c>
      <c r="C222" s="2" t="s">
        <v>295</v>
      </c>
      <c r="D222" s="2" t="s">
        <v>431</v>
      </c>
      <c r="E222" s="6">
        <v>2200</v>
      </c>
      <c r="F222" s="18">
        <v>110829.75999999999</v>
      </c>
      <c r="G222" s="18">
        <v>81525.81</v>
      </c>
      <c r="H222" s="18">
        <v>12079.91</v>
      </c>
      <c r="I222" s="18">
        <v>12213.88</v>
      </c>
      <c r="J222" s="18">
        <v>29973.29</v>
      </c>
      <c r="K222" s="18">
        <v>0</v>
      </c>
      <c r="L222" s="19">
        <f t="shared" si="2"/>
        <v>246622.65000000002</v>
      </c>
      <c r="M222" s="8"/>
      <c r="N222" s="265"/>
    </row>
    <row r="223" spans="1:14" s="3" customFormat="1" ht="12.2" customHeight="1" x14ac:dyDescent="0.15">
      <c r="A223" s="1" t="s">
        <v>444</v>
      </c>
      <c r="B223" s="2" t="s">
        <v>346</v>
      </c>
      <c r="C223" s="2" t="s">
        <v>296</v>
      </c>
      <c r="D223" s="2" t="s">
        <v>431</v>
      </c>
      <c r="E223" s="6">
        <v>2300</v>
      </c>
      <c r="F223" s="18">
        <v>63750.720000000001</v>
      </c>
      <c r="G223" s="18">
        <v>35953.019999999997</v>
      </c>
      <c r="H223" s="18">
        <v>17506.150000000001</v>
      </c>
      <c r="I223" s="18">
        <v>3547.83</v>
      </c>
      <c r="J223" s="18">
        <v>11411.18</v>
      </c>
      <c r="K223" s="18">
        <v>10418.74</v>
      </c>
      <c r="L223" s="19">
        <f t="shared" si="2"/>
        <v>142587.63999999998</v>
      </c>
      <c r="M223" s="8"/>
      <c r="N223" s="265"/>
    </row>
    <row r="224" spans="1:14" s="3" customFormat="1" ht="12.2" customHeight="1" x14ac:dyDescent="0.15">
      <c r="A224" s="1" t="s">
        <v>445</v>
      </c>
      <c r="B224" s="2" t="s">
        <v>346</v>
      </c>
      <c r="C224" s="2" t="s">
        <v>297</v>
      </c>
      <c r="D224" s="2" t="s">
        <v>431</v>
      </c>
      <c r="E224" s="6">
        <v>2400</v>
      </c>
      <c r="F224" s="18">
        <v>352251.45</v>
      </c>
      <c r="G224" s="18">
        <v>198656.66</v>
      </c>
      <c r="H224" s="18">
        <v>7235.9</v>
      </c>
      <c r="I224" s="18">
        <v>4997.72</v>
      </c>
      <c r="J224" s="18">
        <v>909.42</v>
      </c>
      <c r="K224" s="18">
        <v>2765.74</v>
      </c>
      <c r="L224" s="19">
        <f t="shared" si="2"/>
        <v>566816.89</v>
      </c>
      <c r="M224" s="8"/>
      <c r="N224" s="265"/>
    </row>
    <row r="225" spans="1:14" s="3" customFormat="1" ht="12.2" customHeight="1" x14ac:dyDescent="0.15">
      <c r="A225" s="1" t="s">
        <v>446</v>
      </c>
      <c r="B225" s="2" t="s">
        <v>346</v>
      </c>
      <c r="C225" s="2" t="s">
        <v>298</v>
      </c>
      <c r="D225" s="2" t="s">
        <v>431</v>
      </c>
      <c r="E225" s="6">
        <v>2500</v>
      </c>
      <c r="F225" s="18">
        <v>83599.5</v>
      </c>
      <c r="G225" s="18">
        <v>47146.99</v>
      </c>
      <c r="H225" s="18">
        <v>0</v>
      </c>
      <c r="I225" s="18">
        <v>0</v>
      </c>
      <c r="J225" s="18">
        <v>0</v>
      </c>
      <c r="K225" s="18">
        <v>0</v>
      </c>
      <c r="L225" s="19">
        <f t="shared" si="2"/>
        <v>130746.48999999999</v>
      </c>
      <c r="M225" s="8"/>
      <c r="N225" s="265"/>
    </row>
    <row r="226" spans="1:14" s="3" customFormat="1" ht="12.2" customHeight="1" x14ac:dyDescent="0.15">
      <c r="A226" s="1" t="s">
        <v>447</v>
      </c>
      <c r="B226" s="2" t="s">
        <v>346</v>
      </c>
      <c r="C226" s="2" t="s">
        <v>299</v>
      </c>
      <c r="D226" s="2" t="s">
        <v>431</v>
      </c>
      <c r="E226" s="6">
        <v>2600</v>
      </c>
      <c r="F226" s="18">
        <v>342144.49</v>
      </c>
      <c r="G226" s="18">
        <v>194286.22999999998</v>
      </c>
      <c r="H226" s="18">
        <v>128089.06</v>
      </c>
      <c r="I226" s="18">
        <v>142657.10999999999</v>
      </c>
      <c r="J226" s="18">
        <v>9202.2199999999993</v>
      </c>
      <c r="K226" s="18">
        <v>3536.13</v>
      </c>
      <c r="L226" s="19">
        <f t="shared" si="2"/>
        <v>819915.24</v>
      </c>
      <c r="M226" s="8"/>
      <c r="N226" s="265"/>
    </row>
    <row r="227" spans="1:14" s="3" customFormat="1" ht="12.2" customHeight="1" x14ac:dyDescent="0.15">
      <c r="A227" s="1" t="s">
        <v>448</v>
      </c>
      <c r="B227" s="2" t="s">
        <v>346</v>
      </c>
      <c r="C227" s="2" t="s">
        <v>300</v>
      </c>
      <c r="D227" s="2" t="s">
        <v>431</v>
      </c>
      <c r="E227" s="6">
        <v>2700</v>
      </c>
      <c r="F227" s="18">
        <v>0</v>
      </c>
      <c r="G227" s="18">
        <v>0</v>
      </c>
      <c r="H227" s="18">
        <v>348886.25</v>
      </c>
      <c r="I227" s="18">
        <v>0</v>
      </c>
      <c r="J227" s="18">
        <v>0</v>
      </c>
      <c r="K227" s="18">
        <v>0</v>
      </c>
      <c r="L227" s="19">
        <f t="shared" si="2"/>
        <v>348886.25</v>
      </c>
      <c r="M227" s="8"/>
      <c r="N227" s="265"/>
    </row>
    <row r="228" spans="1:14" s="3" customFormat="1" ht="12.2" customHeight="1" x14ac:dyDescent="0.15">
      <c r="A228" s="1" t="s">
        <v>449</v>
      </c>
      <c r="B228" s="2" t="s">
        <v>346</v>
      </c>
      <c r="C228" s="2" t="s">
        <v>343</v>
      </c>
      <c r="D228" s="2" t="s">
        <v>431</v>
      </c>
      <c r="E228" s="6">
        <v>2800</v>
      </c>
      <c r="F228" s="18">
        <v>54014.59</v>
      </c>
      <c r="G228" s="18">
        <v>30462.21</v>
      </c>
      <c r="H228" s="18">
        <v>3507.59</v>
      </c>
      <c r="I228" s="18">
        <v>30261.7</v>
      </c>
      <c r="J228" s="18">
        <v>0</v>
      </c>
      <c r="K228" s="18">
        <v>0</v>
      </c>
      <c r="L228" s="19">
        <f>SUM(F228:K228)</f>
        <v>118246.08999999998</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4792292.96</v>
      </c>
      <c r="G230" s="41">
        <f>SUM(G216:G229)</f>
        <v>2723025.6400000006</v>
      </c>
      <c r="H230" s="41">
        <f>SUM(H216:H229)</f>
        <v>1370718.9800000002</v>
      </c>
      <c r="I230" s="41">
        <f>SUM(I216:I229)</f>
        <v>437636.36</v>
      </c>
      <c r="J230" s="41">
        <f>SUM(J216:J229)</f>
        <v>126554.71</v>
      </c>
      <c r="K230" s="41">
        <f t="shared" si="3"/>
        <v>31935.039999999997</v>
      </c>
      <c r="L230" s="41">
        <f t="shared" si="3"/>
        <v>9482163.6899999995</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5309834.99</v>
      </c>
      <c r="I234" s="18">
        <v>0</v>
      </c>
      <c r="J234" s="18">
        <v>0</v>
      </c>
      <c r="K234" s="18">
        <v>0</v>
      </c>
      <c r="L234" s="19">
        <f>SUM(F234:K234)</f>
        <v>5309834.99</v>
      </c>
      <c r="M234" s="8"/>
      <c r="N234" s="265"/>
    </row>
    <row r="235" spans="1:14" s="3" customFormat="1" ht="12.2" customHeight="1" x14ac:dyDescent="0.15">
      <c r="A235" s="1" t="s">
        <v>439</v>
      </c>
      <c r="B235" s="2" t="s">
        <v>350</v>
      </c>
      <c r="C235" s="2" t="s">
        <v>291</v>
      </c>
      <c r="D235" s="2" t="s">
        <v>431</v>
      </c>
      <c r="E235" s="6">
        <v>1200</v>
      </c>
      <c r="F235" s="18">
        <v>73476.509999999995</v>
      </c>
      <c r="G235" s="18">
        <v>41438.01</v>
      </c>
      <c r="H235" s="18">
        <v>1554986.48</v>
      </c>
      <c r="I235" s="18">
        <v>0</v>
      </c>
      <c r="J235" s="18">
        <v>0</v>
      </c>
      <c r="K235" s="18">
        <v>0</v>
      </c>
      <c r="L235" s="19">
        <f>SUM(F235:K235)</f>
        <v>1669901</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91123.9</v>
      </c>
      <c r="I241" s="18">
        <v>0</v>
      </c>
      <c r="J241" s="18">
        <v>0</v>
      </c>
      <c r="K241" s="18">
        <v>0</v>
      </c>
      <c r="L241" s="19">
        <f t="shared" si="4"/>
        <v>91123.9</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406199.92</v>
      </c>
      <c r="I245" s="18">
        <v>0</v>
      </c>
      <c r="J245" s="18">
        <v>0</v>
      </c>
      <c r="K245" s="18">
        <v>0</v>
      </c>
      <c r="L245" s="19">
        <f t="shared" si="4"/>
        <v>406199.92</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73476.509999999995</v>
      </c>
      <c r="G248" s="41">
        <f t="shared" si="5"/>
        <v>41438.01</v>
      </c>
      <c r="H248" s="41">
        <f t="shared" si="5"/>
        <v>7362145.290000001</v>
      </c>
      <c r="I248" s="41">
        <f t="shared" si="5"/>
        <v>0</v>
      </c>
      <c r="J248" s="41">
        <f t="shared" si="5"/>
        <v>0</v>
      </c>
      <c r="K248" s="41">
        <f t="shared" si="5"/>
        <v>0</v>
      </c>
      <c r="L248" s="41">
        <f t="shared" si="5"/>
        <v>7477059.8100000005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5947.8</v>
      </c>
      <c r="G254" s="18">
        <v>3354.34</v>
      </c>
      <c r="H254" s="18">
        <v>0</v>
      </c>
      <c r="I254" s="18">
        <v>0</v>
      </c>
      <c r="J254" s="18">
        <v>0</v>
      </c>
      <c r="K254" s="18">
        <v>0</v>
      </c>
      <c r="L254" s="19">
        <f t="shared" si="6"/>
        <v>9302.14</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2001172.12</v>
      </c>
      <c r="K256" s="18">
        <v>0</v>
      </c>
      <c r="L256" s="19">
        <f t="shared" si="6"/>
        <v>2001172.12</v>
      </c>
      <c r="M256" s="8"/>
      <c r="N256" s="265"/>
    </row>
    <row r="257" spans="1:14" s="3" customFormat="1" ht="12.2" customHeight="1" thickTop="1" thickBot="1" x14ac:dyDescent="0.2">
      <c r="A257" s="38" t="s">
        <v>461</v>
      </c>
      <c r="B257" s="40">
        <v>10</v>
      </c>
      <c r="C257" s="40">
        <v>7</v>
      </c>
      <c r="D257" s="39" t="s">
        <v>431</v>
      </c>
      <c r="E257" s="40"/>
      <c r="F257" s="41">
        <f t="shared" ref="F257:K257" si="7">SUM(F251:F256)</f>
        <v>5947.8</v>
      </c>
      <c r="G257" s="41">
        <f t="shared" si="7"/>
        <v>3354.34</v>
      </c>
      <c r="H257" s="41">
        <f t="shared" si="7"/>
        <v>0</v>
      </c>
      <c r="I257" s="41">
        <f t="shared" si="7"/>
        <v>0</v>
      </c>
      <c r="J257" s="41">
        <f t="shared" si="7"/>
        <v>2001172.12</v>
      </c>
      <c r="K257" s="41">
        <f t="shared" si="7"/>
        <v>0</v>
      </c>
      <c r="L257" s="41">
        <f>SUM(F257:K257)</f>
        <v>2010474.26</v>
      </c>
      <c r="M257" s="8"/>
      <c r="N257" s="265"/>
    </row>
    <row r="258" spans="1:14" s="3" customFormat="1" ht="12.2" customHeight="1" thickTop="1" x14ac:dyDescent="0.15">
      <c r="A258" s="38" t="s">
        <v>462</v>
      </c>
      <c r="B258" s="40">
        <v>10</v>
      </c>
      <c r="C258" s="40">
        <v>8</v>
      </c>
      <c r="D258" s="39" t="s">
        <v>431</v>
      </c>
      <c r="E258" s="40"/>
      <c r="F258" s="41">
        <f t="shared" ref="F258:L258" si="8">F212+F230+F248+F257</f>
        <v>10330241.620000001</v>
      </c>
      <c r="G258" s="41">
        <f t="shared" si="8"/>
        <v>5871271.9400000004</v>
      </c>
      <c r="H258" s="41">
        <f t="shared" si="8"/>
        <v>10248466.120000001</v>
      </c>
      <c r="I258" s="41">
        <f t="shared" si="8"/>
        <v>805515.24</v>
      </c>
      <c r="J258" s="41">
        <f t="shared" si="8"/>
        <v>2240072.81</v>
      </c>
      <c r="K258" s="41">
        <f t="shared" si="8"/>
        <v>58324.319999999992</v>
      </c>
      <c r="L258" s="41">
        <f t="shared" si="8"/>
        <v>29553892.050000008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10330241.620000001</v>
      </c>
      <c r="G272" s="42">
        <f t="shared" si="11"/>
        <v>5871271.9400000004</v>
      </c>
      <c r="H272" s="42">
        <f t="shared" si="11"/>
        <v>10248466.120000001</v>
      </c>
      <c r="I272" s="42">
        <f t="shared" si="11"/>
        <v>805515.24</v>
      </c>
      <c r="J272" s="42">
        <f t="shared" si="11"/>
        <v>2240072.81</v>
      </c>
      <c r="K272" s="42">
        <f t="shared" si="11"/>
        <v>58324.319999999992</v>
      </c>
      <c r="L272" s="42">
        <f t="shared" si="11"/>
        <v>29553892.050000008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35280.25</v>
      </c>
      <c r="G277" s="18">
        <v>498.57</v>
      </c>
      <c r="H277" s="18">
        <v>13266.72</v>
      </c>
      <c r="I277" s="18">
        <v>14970.62</v>
      </c>
      <c r="J277" s="18">
        <v>11728.9</v>
      </c>
      <c r="K277" s="18">
        <v>0</v>
      </c>
      <c r="L277" s="19">
        <f>SUM(F277:K277)</f>
        <v>75745.06</v>
      </c>
      <c r="M277" s="8"/>
      <c r="N277" s="265"/>
    </row>
    <row r="278" spans="1:14" s="3" customFormat="1" ht="12.2" customHeight="1" x14ac:dyDescent="0.15">
      <c r="A278" s="1" t="s">
        <v>439</v>
      </c>
      <c r="B278" s="2" t="s">
        <v>357</v>
      </c>
      <c r="C278" s="2" t="s">
        <v>291</v>
      </c>
      <c r="D278" s="2" t="s">
        <v>431</v>
      </c>
      <c r="E278" s="6">
        <v>1200</v>
      </c>
      <c r="F278" s="18">
        <v>7614.75</v>
      </c>
      <c r="G278" s="18">
        <v>307.37</v>
      </c>
      <c r="H278" s="18">
        <v>47458.400000000001</v>
      </c>
      <c r="I278" s="18">
        <v>3173.69</v>
      </c>
      <c r="J278" s="18">
        <v>364.74</v>
      </c>
      <c r="K278" s="18">
        <v>0</v>
      </c>
      <c r="L278" s="19">
        <f>SUM(F278:K278)</f>
        <v>58918.950000000004</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29331.35</v>
      </c>
      <c r="G282" s="18">
        <v>0</v>
      </c>
      <c r="H282" s="18">
        <v>37434.58</v>
      </c>
      <c r="I282" s="18">
        <v>1001.86</v>
      </c>
      <c r="J282" s="18">
        <v>0</v>
      </c>
      <c r="K282" s="18">
        <v>0</v>
      </c>
      <c r="L282" s="19">
        <f t="shared" ref="L282:L288" si="12">SUM(F282:K282)</f>
        <v>67767.789999999994</v>
      </c>
      <c r="M282" s="8"/>
      <c r="N282" s="265"/>
    </row>
    <row r="283" spans="1:14" s="3" customFormat="1" ht="12.2" customHeight="1" x14ac:dyDescent="0.15">
      <c r="A283" s="1" t="s">
        <v>443</v>
      </c>
      <c r="B283" s="2" t="s">
        <v>357</v>
      </c>
      <c r="C283" s="2" t="s">
        <v>295</v>
      </c>
      <c r="D283" s="2" t="s">
        <v>431</v>
      </c>
      <c r="E283" s="6">
        <v>2200</v>
      </c>
      <c r="F283" s="18">
        <v>4855.3599999999997</v>
      </c>
      <c r="G283" s="18">
        <v>0</v>
      </c>
      <c r="H283" s="18">
        <v>5925.75</v>
      </c>
      <c r="I283" s="18">
        <v>0</v>
      </c>
      <c r="J283" s="18">
        <v>27674.46</v>
      </c>
      <c r="K283" s="18">
        <v>0</v>
      </c>
      <c r="L283" s="19">
        <f t="shared" si="12"/>
        <v>38455.57</v>
      </c>
      <c r="M283" s="8"/>
      <c r="N283" s="265"/>
    </row>
    <row r="284" spans="1:14" s="3" customFormat="1" ht="12.2" customHeight="1" x14ac:dyDescent="0.15">
      <c r="A284" s="1" t="s">
        <v>444</v>
      </c>
      <c r="B284" s="2" t="s">
        <v>357</v>
      </c>
      <c r="C284" s="2" t="s">
        <v>296</v>
      </c>
      <c r="D284" s="2" t="s">
        <v>431</v>
      </c>
      <c r="E284" s="6">
        <v>2300</v>
      </c>
      <c r="F284" s="18">
        <v>154.51</v>
      </c>
      <c r="G284" s="18">
        <v>0</v>
      </c>
      <c r="H284" s="18">
        <v>0</v>
      </c>
      <c r="I284" s="18">
        <v>0</v>
      </c>
      <c r="J284" s="18">
        <v>0</v>
      </c>
      <c r="K284" s="18">
        <v>0</v>
      </c>
      <c r="L284" s="19">
        <f t="shared" si="12"/>
        <v>154.51</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40767.74</v>
      </c>
      <c r="G287" s="18">
        <v>0</v>
      </c>
      <c r="H287" s="18">
        <v>0</v>
      </c>
      <c r="I287" s="18">
        <v>0</v>
      </c>
      <c r="J287" s="18">
        <v>0</v>
      </c>
      <c r="K287" s="18">
        <v>0</v>
      </c>
      <c r="L287" s="19">
        <f t="shared" si="12"/>
        <v>40767.74</v>
      </c>
      <c r="M287" s="8"/>
      <c r="N287" s="265"/>
    </row>
    <row r="288" spans="1:14" s="3" customFormat="1" ht="12.2" customHeight="1" x14ac:dyDescent="0.15">
      <c r="A288" s="1" t="s">
        <v>448</v>
      </c>
      <c r="B288" s="2" t="s">
        <v>357</v>
      </c>
      <c r="C288" s="2" t="s">
        <v>300</v>
      </c>
      <c r="D288" s="2" t="s">
        <v>431</v>
      </c>
      <c r="E288" s="6">
        <v>2700</v>
      </c>
      <c r="F288" s="18">
        <v>0</v>
      </c>
      <c r="G288" s="18">
        <v>0</v>
      </c>
      <c r="H288" s="18">
        <v>7911.33</v>
      </c>
      <c r="I288" s="18">
        <v>0</v>
      </c>
      <c r="J288" s="18">
        <v>0</v>
      </c>
      <c r="K288" s="18">
        <v>0</v>
      </c>
      <c r="L288" s="19">
        <f t="shared" si="12"/>
        <v>7911.33</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118003.95999999999</v>
      </c>
      <c r="G291" s="42">
        <f t="shared" si="13"/>
        <v>805.94</v>
      </c>
      <c r="H291" s="42">
        <f t="shared" si="13"/>
        <v>111996.78000000001</v>
      </c>
      <c r="I291" s="42">
        <f t="shared" si="13"/>
        <v>19146.170000000002</v>
      </c>
      <c r="J291" s="42">
        <f t="shared" si="13"/>
        <v>39768.1</v>
      </c>
      <c r="K291" s="42">
        <f t="shared" si="13"/>
        <v>0</v>
      </c>
      <c r="L291" s="41">
        <f t="shared" si="13"/>
        <v>289720.95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28662.71</v>
      </c>
      <c r="G296" s="18">
        <v>405.06</v>
      </c>
      <c r="H296" s="18">
        <v>10778.28</v>
      </c>
      <c r="I296" s="18">
        <v>12162.58</v>
      </c>
      <c r="J296" s="18">
        <v>9528.9</v>
      </c>
      <c r="K296" s="18">
        <v>0</v>
      </c>
      <c r="L296" s="19">
        <f>SUM(F296:K296)</f>
        <v>61537.530000000006</v>
      </c>
      <c r="M296" s="8"/>
      <c r="N296" s="265"/>
    </row>
    <row r="297" spans="1:14" s="3" customFormat="1" ht="12.2" customHeight="1" x14ac:dyDescent="0.15">
      <c r="A297" s="1" t="s">
        <v>439</v>
      </c>
      <c r="B297" s="2" t="s">
        <v>358</v>
      </c>
      <c r="C297" s="2" t="s">
        <v>291</v>
      </c>
      <c r="D297" s="2" t="s">
        <v>431</v>
      </c>
      <c r="E297" s="6">
        <v>1200</v>
      </c>
      <c r="F297" s="18">
        <v>6186.44</v>
      </c>
      <c r="G297" s="18">
        <v>249.72</v>
      </c>
      <c r="H297" s="18">
        <v>38556.6</v>
      </c>
      <c r="I297" s="18">
        <v>2578.4</v>
      </c>
      <c r="J297" s="18">
        <v>296.32</v>
      </c>
      <c r="K297" s="18">
        <v>0</v>
      </c>
      <c r="L297" s="19">
        <f>SUM(F297:K297)</f>
        <v>47867.479999999996</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30412.95</v>
      </c>
      <c r="I301" s="18">
        <v>813.94</v>
      </c>
      <c r="J301" s="18">
        <v>0</v>
      </c>
      <c r="K301" s="18">
        <v>0</v>
      </c>
      <c r="L301" s="19">
        <f t="shared" ref="L301:L307" si="14">SUM(F301:K301)</f>
        <v>31226.89</v>
      </c>
      <c r="M301" s="8"/>
      <c r="N301" s="265"/>
    </row>
    <row r="302" spans="1:14" s="3" customFormat="1" ht="12.2" customHeight="1" x14ac:dyDescent="0.15">
      <c r="A302" s="1" t="s">
        <v>443</v>
      </c>
      <c r="B302" s="2" t="s">
        <v>358</v>
      </c>
      <c r="C302" s="2" t="s">
        <v>295</v>
      </c>
      <c r="D302" s="2" t="s">
        <v>431</v>
      </c>
      <c r="E302" s="6">
        <v>2200</v>
      </c>
      <c r="F302" s="18">
        <v>3944.64</v>
      </c>
      <c r="G302" s="18">
        <v>0</v>
      </c>
      <c r="H302" s="18">
        <v>4814.25</v>
      </c>
      <c r="I302" s="18">
        <v>0</v>
      </c>
      <c r="J302" s="18">
        <v>22483.54</v>
      </c>
      <c r="K302" s="18">
        <v>0</v>
      </c>
      <c r="L302" s="19">
        <f t="shared" si="14"/>
        <v>31242.43</v>
      </c>
      <c r="M302" s="8"/>
      <c r="N302" s="265"/>
    </row>
    <row r="303" spans="1:14" s="3" customFormat="1" ht="12.2" customHeight="1" x14ac:dyDescent="0.15">
      <c r="A303" s="1" t="s">
        <v>444</v>
      </c>
      <c r="B303" s="2" t="s">
        <v>358</v>
      </c>
      <c r="C303" s="2" t="s">
        <v>296</v>
      </c>
      <c r="D303" s="2" t="s">
        <v>431</v>
      </c>
      <c r="E303" s="6">
        <v>2300</v>
      </c>
      <c r="F303" s="18">
        <v>125.53</v>
      </c>
      <c r="G303" s="18">
        <v>0</v>
      </c>
      <c r="H303" s="18">
        <v>0</v>
      </c>
      <c r="I303" s="18">
        <v>0</v>
      </c>
      <c r="J303" s="18">
        <v>0</v>
      </c>
      <c r="K303" s="18">
        <v>0</v>
      </c>
      <c r="L303" s="19">
        <f t="shared" si="14"/>
        <v>125.53</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33120.910000000003</v>
      </c>
      <c r="G306" s="18">
        <v>0</v>
      </c>
      <c r="H306" s="18">
        <v>0</v>
      </c>
      <c r="I306" s="18">
        <v>0</v>
      </c>
      <c r="J306" s="18">
        <v>0</v>
      </c>
      <c r="K306" s="18">
        <v>0</v>
      </c>
      <c r="L306" s="19">
        <f t="shared" si="14"/>
        <v>33120.910000000003</v>
      </c>
      <c r="M306" s="8"/>
      <c r="N306" s="265"/>
    </row>
    <row r="307" spans="1:14" s="3" customFormat="1" ht="12.2" customHeight="1" x14ac:dyDescent="0.15">
      <c r="A307" s="1" t="s">
        <v>448</v>
      </c>
      <c r="B307" s="2" t="s">
        <v>358</v>
      </c>
      <c r="C307" s="2" t="s">
        <v>300</v>
      </c>
      <c r="D307" s="2" t="s">
        <v>431</v>
      </c>
      <c r="E307" s="6">
        <v>2700</v>
      </c>
      <c r="F307" s="18">
        <v>0</v>
      </c>
      <c r="G307" s="18">
        <v>0</v>
      </c>
      <c r="H307" s="18">
        <v>6427.39</v>
      </c>
      <c r="I307" s="18">
        <v>0</v>
      </c>
      <c r="J307" s="18">
        <v>0</v>
      </c>
      <c r="K307" s="18">
        <v>0</v>
      </c>
      <c r="L307" s="19">
        <f t="shared" si="14"/>
        <v>6427.39</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72040.23000000001</v>
      </c>
      <c r="G310" s="42">
        <f t="shared" si="15"/>
        <v>654.78</v>
      </c>
      <c r="H310" s="42">
        <f t="shared" si="15"/>
        <v>90989.47</v>
      </c>
      <c r="I310" s="42">
        <f t="shared" si="15"/>
        <v>15554.92</v>
      </c>
      <c r="J310" s="42">
        <f t="shared" si="15"/>
        <v>32308.760000000002</v>
      </c>
      <c r="K310" s="42">
        <f t="shared" si="15"/>
        <v>0</v>
      </c>
      <c r="L310" s="41">
        <f t="shared" si="15"/>
        <v>211548.16000000003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259</v>
      </c>
      <c r="I336" s="18"/>
      <c r="J336" s="18"/>
      <c r="K336" s="18"/>
      <c r="L336" s="19">
        <f t="shared" si="18"/>
        <v>259</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259</v>
      </c>
      <c r="I338" s="41">
        <f t="shared" si="19"/>
        <v>0</v>
      </c>
      <c r="J338" s="41">
        <f t="shared" si="19"/>
        <v>0</v>
      </c>
      <c r="K338" s="41">
        <f t="shared" si="19"/>
        <v>0</v>
      </c>
      <c r="L338" s="41">
        <f t="shared" si="18"/>
        <v>259</v>
      </c>
      <c r="M338" s="8"/>
      <c r="N338" s="265"/>
    </row>
    <row r="339" spans="1:43" s="3" customFormat="1" ht="12.2" customHeight="1" thickTop="1" x14ac:dyDescent="0.15">
      <c r="A339" s="38" t="s">
        <v>468</v>
      </c>
      <c r="B339" s="40">
        <v>14</v>
      </c>
      <c r="C339" s="40">
        <v>7</v>
      </c>
      <c r="D339" s="39" t="s">
        <v>431</v>
      </c>
      <c r="E339" s="40"/>
      <c r="F339" s="41">
        <f t="shared" ref="F339:L339" si="20">F291+F310+F329+F338</f>
        <v>190044.19</v>
      </c>
      <c r="G339" s="41">
        <f t="shared" si="20"/>
        <v>1460.72</v>
      </c>
      <c r="H339" s="41">
        <f t="shared" si="20"/>
        <v>203245.25</v>
      </c>
      <c r="I339" s="41">
        <f t="shared" si="20"/>
        <v>34701.090000000004</v>
      </c>
      <c r="J339" s="41">
        <f t="shared" si="20"/>
        <v>72076.86</v>
      </c>
      <c r="K339" s="41">
        <f t="shared" si="20"/>
        <v>0</v>
      </c>
      <c r="L339" s="41">
        <f t="shared" si="20"/>
        <v>501528.11000000004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190044.19</v>
      </c>
      <c r="G353" s="41">
        <f>G339</f>
        <v>1460.72</v>
      </c>
      <c r="H353" s="41">
        <f>H339</f>
        <v>203245.25</v>
      </c>
      <c r="I353" s="41">
        <f>I339</f>
        <v>34701.090000000004</v>
      </c>
      <c r="J353" s="41">
        <f>J339</f>
        <v>72076.86</v>
      </c>
      <c r="K353" s="47">
        <f>K339+K352</f>
        <v>0</v>
      </c>
      <c r="L353" s="41">
        <f>L339+L352</f>
        <v>501528.11000000004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97007.35</v>
      </c>
      <c r="G359" s="18">
        <v>2488.2399999999998</v>
      </c>
      <c r="H359" s="18"/>
      <c r="I359" s="18">
        <v>122216.03</v>
      </c>
      <c r="J359" s="18"/>
      <c r="K359" s="18">
        <v>10759.04</v>
      </c>
      <c r="L359" s="13">
        <f>SUM(F359:K359)</f>
        <v>232470.66</v>
      </c>
      <c r="M359" s="8"/>
      <c r="N359" s="265"/>
    </row>
    <row r="360" spans="1:22" s="3" customFormat="1" ht="12.2" customHeight="1" x14ac:dyDescent="0.15">
      <c r="A360" s="1" t="s">
        <v>542</v>
      </c>
      <c r="B360" s="2" t="s">
        <v>366</v>
      </c>
      <c r="C360" s="6">
        <v>2</v>
      </c>
      <c r="D360" s="2" t="s">
        <v>431</v>
      </c>
      <c r="E360" s="6"/>
      <c r="F360" s="18">
        <v>78811.63</v>
      </c>
      <c r="G360" s="18">
        <v>2021.52</v>
      </c>
      <c r="H360" s="18"/>
      <c r="I360" s="18">
        <v>99291.9</v>
      </c>
      <c r="J360" s="18"/>
      <c r="K360" s="18">
        <v>8740.9599999999991</v>
      </c>
      <c r="L360" s="19">
        <f>SUM(F360:K360)</f>
        <v>188866.00999999998</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175818.98</v>
      </c>
      <c r="G363" s="47">
        <f t="shared" si="22"/>
        <v>4509.76</v>
      </c>
      <c r="H363" s="47">
        <f t="shared" si="22"/>
        <v>0</v>
      </c>
      <c r="I363" s="47">
        <f t="shared" si="22"/>
        <v>221507.93</v>
      </c>
      <c r="J363" s="47">
        <f t="shared" si="22"/>
        <v>0</v>
      </c>
      <c r="K363" s="47">
        <f t="shared" si="22"/>
        <v>19500</v>
      </c>
      <c r="L363" s="47">
        <f t="shared" si="22"/>
        <v>421336.67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100849.13</v>
      </c>
      <c r="G368" s="18">
        <v>81932.800000000003</v>
      </c>
      <c r="H368" s="18"/>
      <c r="I368" s="56">
        <f>SUM(F368:H368)</f>
        <v>182781.93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21366.9</v>
      </c>
      <c r="G369" s="63">
        <v>17359.099999999999</v>
      </c>
      <c r="H369" s="63"/>
      <c r="I369" s="56">
        <f>SUM(F369:H369)</f>
        <v>38726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122216.03</v>
      </c>
      <c r="G370" s="47">
        <f>SUM(G368:G369)</f>
        <v>99291.9</v>
      </c>
      <c r="H370" s="47">
        <f>SUM(H368:H369)</f>
        <v>0</v>
      </c>
      <c r="I370" s="47">
        <f>SUM(I368:I369)</f>
        <v>221507.93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v>893.54</v>
      </c>
      <c r="I388" s="18">
        <v>250</v>
      </c>
      <c r="J388" s="24" t="s">
        <v>288</v>
      </c>
      <c r="K388" s="24" t="s">
        <v>288</v>
      </c>
      <c r="L388" s="56">
        <f t="shared" ref="L388:L393" si="25">SUM(F388:K388)</f>
        <v>1143.54</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893.54</v>
      </c>
      <c r="I394" s="65">
        <f>SUM(I388:I393)</f>
        <v>250</v>
      </c>
      <c r="J394" s="45" t="s">
        <v>288</v>
      </c>
      <c r="K394" s="45" t="s">
        <v>288</v>
      </c>
      <c r="L394" s="47">
        <f>SUM(L388:L393)</f>
        <v>1143.54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893.54</v>
      </c>
      <c r="I409" s="47">
        <f>I394+I402+I408</f>
        <v>250</v>
      </c>
      <c r="J409" s="24" t="s">
        <v>288</v>
      </c>
      <c r="K409" s="24" t="s">
        <v>288</v>
      </c>
      <c r="L409" s="47">
        <f>L394+L402+L408</f>
        <v>1143.54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1160000</v>
      </c>
      <c r="L416" s="56">
        <f t="shared" si="27"/>
        <v>1160000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1160000</v>
      </c>
      <c r="L420" s="47">
        <f t="shared" si="28"/>
        <v>1160000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1160000</v>
      </c>
      <c r="L435" s="47">
        <f t="shared" si="32"/>
        <v>1160000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208308.51</v>
      </c>
      <c r="G443" s="18"/>
      <c r="H443" s="18"/>
      <c r="I443" s="56">
        <f t="shared" si="33"/>
        <v>208308.51</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208308.51</v>
      </c>
      <c r="G447" s="13">
        <f>SUM(G440:G446)</f>
        <v>0</v>
      </c>
      <c r="H447" s="13">
        <f>SUM(H440:H446)</f>
        <v>0</v>
      </c>
      <c r="I447" s="13">
        <f>SUM(I440:I446)</f>
        <v>208308.51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693578.4+673586.57-1158856.46</f>
        <v>208308.51</v>
      </c>
      <c r="G460" s="18"/>
      <c r="H460" s="18"/>
      <c r="I460" s="56">
        <f t="shared" si="34"/>
        <v>208308.51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208308.51</v>
      </c>
      <c r="G461" s="83">
        <f>SUM(G455:G460)</f>
        <v>0</v>
      </c>
      <c r="H461" s="83">
        <f>SUM(H455:H460)</f>
        <v>0</v>
      </c>
      <c r="I461" s="83">
        <f>SUM(I455:I460)</f>
        <v>208308.51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208308.51</v>
      </c>
      <c r="G462" s="42">
        <f>G453+G461</f>
        <v>0</v>
      </c>
      <c r="H462" s="42">
        <f>H453+H461</f>
        <v>0</v>
      </c>
      <c r="I462" s="42">
        <f>I453+I461</f>
        <v>208308.51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2090071.370000001</v>
      </c>
      <c r="G466" s="18">
        <v>47882.38</v>
      </c>
      <c r="H466" s="18">
        <v>0</v>
      </c>
      <c r="I466" s="18"/>
      <c r="J466" s="18">
        <v>1367164.97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30920326.460000001</v>
      </c>
      <c r="G469" s="18">
        <v>510631.93</v>
      </c>
      <c r="H469" s="18">
        <v>501528.58</v>
      </c>
      <c r="I469" s="18"/>
      <c r="J469" s="18">
        <v>1143.54</v>
      </c>
      <c r="K469" s="24" t="s">
        <v>288</v>
      </c>
      <c r="L469" s="24" t="s">
        <v>288</v>
      </c>
      <c r="N469" s="264"/>
    </row>
    <row r="470" spans="1:14" s="52" customFormat="1" ht="12.2" customHeight="1" x14ac:dyDescent="0.2">
      <c r="A470" s="93" t="s">
        <v>611</v>
      </c>
      <c r="B470" s="75">
        <v>19</v>
      </c>
      <c r="C470" s="80">
        <v>3</v>
      </c>
      <c r="D470" s="2" t="s">
        <v>432</v>
      </c>
      <c r="E470" s="80"/>
      <c r="F470" s="18">
        <v>13666.57</v>
      </c>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30933993.030000001</v>
      </c>
      <c r="G471" s="53">
        <f>SUM(G469:G470)</f>
        <v>510631.93</v>
      </c>
      <c r="H471" s="53">
        <f>SUM(H469:H470)</f>
        <v>501528.58</v>
      </c>
      <c r="I471" s="53">
        <f>SUM(I469:I470)</f>
        <v>0</v>
      </c>
      <c r="J471" s="53">
        <f>SUM(J469:J470)</f>
        <v>1143.54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29553892.050000001</v>
      </c>
      <c r="G473" s="18">
        <v>421336.67</v>
      </c>
      <c r="H473" s="18">
        <v>501528.11</v>
      </c>
      <c r="I473" s="18"/>
      <c r="J473" s="18">
        <v>1160000</v>
      </c>
      <c r="K473" s="24" t="s">
        <v>288</v>
      </c>
      <c r="L473" s="24" t="s">
        <v>288</v>
      </c>
      <c r="N473" s="264"/>
    </row>
    <row r="474" spans="1:14" s="52" customFormat="1" ht="12.2" customHeight="1" x14ac:dyDescent="0.2">
      <c r="A474" s="93" t="s">
        <v>613</v>
      </c>
      <c r="B474" s="75">
        <v>19</v>
      </c>
      <c r="C474" s="80">
        <v>6</v>
      </c>
      <c r="D474" s="2" t="s">
        <v>432</v>
      </c>
      <c r="E474" s="80"/>
      <c r="F474" s="18"/>
      <c r="G474" s="18"/>
      <c r="H474" s="18">
        <v>0.47</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29553892.050000001</v>
      </c>
      <c r="G475" s="53">
        <f>SUM(G473:G474)</f>
        <v>421336.67</v>
      </c>
      <c r="H475" s="53">
        <f>SUM(H473:H474)</f>
        <v>501528.57999999996</v>
      </c>
      <c r="I475" s="53">
        <f>SUM(I473:I474)</f>
        <v>0</v>
      </c>
      <c r="J475" s="53">
        <f>SUM(J473:J474)</f>
        <v>1160000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3470172.3500000015</v>
      </c>
      <c r="G477" s="53">
        <f>(G466+G471)- G475</f>
        <v>137177.63999999996</v>
      </c>
      <c r="H477" s="53">
        <f>(H466+H471)- H475</f>
        <v>0</v>
      </c>
      <c r="I477" s="53">
        <f>(I466+I471)- I475</f>
        <v>0</v>
      </c>
      <c r="J477" s="53">
        <f>(J466+J471)- J475</f>
        <v>208308.51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0</v>
      </c>
      <c r="G491" s="154">
        <v>0</v>
      </c>
      <c r="H491" s="154">
        <v>0</v>
      </c>
      <c r="I491" s="154">
        <v>0</v>
      </c>
      <c r="J491" s="154">
        <v>0</v>
      </c>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1182871.6901575001</v>
      </c>
      <c r="G522" s="18">
        <v>663108.37</v>
      </c>
      <c r="H522" s="18">
        <v>932571.75</v>
      </c>
      <c r="I522" s="18">
        <v>10406.56</v>
      </c>
      <c r="J522" s="18">
        <v>2245.6099999999997</v>
      </c>
      <c r="K522" s="18">
        <v>968.71</v>
      </c>
      <c r="L522" s="88">
        <f>SUM(F522:K522)</f>
        <v>2792172.6901575001</v>
      </c>
      <c r="N522" s="264"/>
    </row>
    <row r="523" spans="1:14" s="52" customFormat="1" ht="12.2" customHeight="1" x14ac:dyDescent="0.2">
      <c r="A523" s="22" t="s">
        <v>634</v>
      </c>
      <c r="B523" s="105">
        <v>21</v>
      </c>
      <c r="C523" s="115">
        <v>2</v>
      </c>
      <c r="D523" s="2" t="s">
        <v>432</v>
      </c>
      <c r="E523" s="115"/>
      <c r="F523" s="18">
        <v>930028.75934250001</v>
      </c>
      <c r="G523" s="18">
        <v>521262.26</v>
      </c>
      <c r="H523" s="18">
        <v>853209.13</v>
      </c>
      <c r="I523" s="18">
        <v>8073.17</v>
      </c>
      <c r="J523" s="18">
        <v>1824.3899999999999</v>
      </c>
      <c r="K523" s="18">
        <v>787.01</v>
      </c>
      <c r="L523" s="88">
        <f>SUM(F523:K523)</f>
        <v>2315184.7193425</v>
      </c>
      <c r="N523" s="264"/>
    </row>
    <row r="524" spans="1:14" s="52" customFormat="1" ht="12.2" customHeight="1" thickBot="1" x14ac:dyDescent="0.25">
      <c r="A524" s="22" t="s">
        <v>635</v>
      </c>
      <c r="B524" s="105">
        <v>21</v>
      </c>
      <c r="C524" s="115">
        <v>3</v>
      </c>
      <c r="D524" s="2" t="s">
        <v>432</v>
      </c>
      <c r="E524" s="115"/>
      <c r="F524" s="18">
        <v>4.999999946448952E-4</v>
      </c>
      <c r="G524" s="18">
        <v>0</v>
      </c>
      <c r="H524" s="18">
        <v>1554986.48</v>
      </c>
      <c r="I524" s="18">
        <v>0</v>
      </c>
      <c r="J524" s="18">
        <v>0</v>
      </c>
      <c r="K524" s="18">
        <v>0</v>
      </c>
      <c r="L524" s="88">
        <f>SUM(F524:K524)</f>
        <v>1554986.4805000001</v>
      </c>
      <c r="N524" s="264"/>
    </row>
    <row r="525" spans="1:14" s="52" customFormat="1" ht="12.2" customHeight="1" thickTop="1" x14ac:dyDescent="0.2">
      <c r="A525" s="139" t="s">
        <v>63</v>
      </c>
      <c r="B525" s="107">
        <v>21</v>
      </c>
      <c r="C525" s="194">
        <v>4</v>
      </c>
      <c r="D525" s="195" t="s">
        <v>432</v>
      </c>
      <c r="E525" s="194"/>
      <c r="F525" s="108">
        <f>SUM(F522:F524)</f>
        <v>2112900.4500000002</v>
      </c>
      <c r="G525" s="108">
        <f t="shared" ref="G525:L525" si="36">SUM(G522:G524)</f>
        <v>1184370.6299999999</v>
      </c>
      <c r="H525" s="108">
        <f t="shared" si="36"/>
        <v>3340767.36</v>
      </c>
      <c r="I525" s="108">
        <f t="shared" si="36"/>
        <v>18479.73</v>
      </c>
      <c r="J525" s="108">
        <f t="shared" si="36"/>
        <v>4069.9999999999995</v>
      </c>
      <c r="K525" s="108">
        <f t="shared" si="36"/>
        <v>1755.72</v>
      </c>
      <c r="L525" s="89">
        <f t="shared" si="36"/>
        <v>6662343.8900000006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184841.88200203129</v>
      </c>
      <c r="G527" s="18">
        <v>104243.91</v>
      </c>
      <c r="H527" s="18">
        <v>0</v>
      </c>
      <c r="I527" s="18">
        <v>2718.0102029238328</v>
      </c>
      <c r="J527" s="18">
        <v>0</v>
      </c>
      <c r="K527" s="18">
        <v>0</v>
      </c>
      <c r="L527" s="88">
        <f>SUM(F527:K527)</f>
        <v>291803.80220495514</v>
      </c>
      <c r="M527" s="8"/>
      <c r="N527" s="265"/>
    </row>
    <row r="528" spans="1:14" s="3" customFormat="1" ht="12.2" customHeight="1" x14ac:dyDescent="0.15">
      <c r="A528" s="22" t="s">
        <v>634</v>
      </c>
      <c r="B528" s="105">
        <v>21</v>
      </c>
      <c r="C528" s="115">
        <v>6</v>
      </c>
      <c r="D528" s="2" t="s">
        <v>432</v>
      </c>
      <c r="E528" s="115"/>
      <c r="F528" s="18">
        <v>150170.97532142428</v>
      </c>
      <c r="G528" s="18">
        <v>84690.82</v>
      </c>
      <c r="H528" s="18">
        <v>0</v>
      </c>
      <c r="I528" s="18">
        <v>2208.1797970761672</v>
      </c>
      <c r="J528" s="18">
        <v>0</v>
      </c>
      <c r="K528" s="18">
        <v>0</v>
      </c>
      <c r="L528" s="88">
        <f>SUM(F528:K528)</f>
        <v>237069.97511850044</v>
      </c>
      <c r="M528" s="8"/>
      <c r="N528" s="265"/>
    </row>
    <row r="529" spans="1:14" s="3" customFormat="1" ht="12.2" customHeight="1" thickBot="1" x14ac:dyDescent="0.2">
      <c r="A529" s="22" t="s">
        <v>635</v>
      </c>
      <c r="B529" s="118">
        <v>21</v>
      </c>
      <c r="C529" s="118">
        <v>7</v>
      </c>
      <c r="D529" s="2" t="s">
        <v>432</v>
      </c>
      <c r="E529" s="118"/>
      <c r="F529" s="18">
        <v>164403.35267654437</v>
      </c>
      <c r="G529" s="18">
        <v>92717.35</v>
      </c>
      <c r="H529" s="18">
        <v>0</v>
      </c>
      <c r="I529" s="18">
        <v>0</v>
      </c>
      <c r="J529" s="18">
        <v>0</v>
      </c>
      <c r="K529" s="18">
        <v>0</v>
      </c>
      <c r="L529" s="88">
        <f>SUM(F529:K529)</f>
        <v>257120.70267654437</v>
      </c>
      <c r="M529" s="8"/>
      <c r="N529" s="265"/>
    </row>
    <row r="530" spans="1:14" s="3" customFormat="1" ht="12.2" customHeight="1" thickTop="1" x14ac:dyDescent="0.15">
      <c r="A530" s="139" t="s">
        <v>65</v>
      </c>
      <c r="B530" s="107">
        <v>21</v>
      </c>
      <c r="C530" s="107">
        <v>8</v>
      </c>
      <c r="D530" s="158" t="s">
        <v>432</v>
      </c>
      <c r="E530" s="107"/>
      <c r="F530" s="89">
        <f>SUM(F527:F529)</f>
        <v>499416.20999999996</v>
      </c>
      <c r="G530" s="89">
        <f t="shared" ref="G530:L530" si="37">SUM(G527:G529)</f>
        <v>281652.08</v>
      </c>
      <c r="H530" s="89">
        <f t="shared" si="37"/>
        <v>0</v>
      </c>
      <c r="I530" s="89">
        <f t="shared" si="37"/>
        <v>4926.1900000000005</v>
      </c>
      <c r="J530" s="89">
        <f t="shared" si="37"/>
        <v>0</v>
      </c>
      <c r="K530" s="89">
        <f t="shared" si="37"/>
        <v>0</v>
      </c>
      <c r="L530" s="89">
        <f t="shared" si="37"/>
        <v>785994.48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47538.4198425</v>
      </c>
      <c r="G532" s="18">
        <v>26809.89</v>
      </c>
      <c r="H532" s="18">
        <v>0</v>
      </c>
      <c r="I532" s="18">
        <v>292.57</v>
      </c>
      <c r="J532" s="18">
        <v>0</v>
      </c>
      <c r="K532" s="18">
        <v>0</v>
      </c>
      <c r="L532" s="88">
        <f>SUM(F532:K532)</f>
        <v>74640.879842499999</v>
      </c>
      <c r="M532" s="8"/>
      <c r="N532" s="265"/>
    </row>
    <row r="533" spans="1:14" s="3" customFormat="1" ht="12.2" customHeight="1" x14ac:dyDescent="0.15">
      <c r="A533" s="22" t="s">
        <v>634</v>
      </c>
      <c r="B533" s="105">
        <v>21</v>
      </c>
      <c r="C533" s="105">
        <v>10</v>
      </c>
      <c r="D533" s="2" t="s">
        <v>432</v>
      </c>
      <c r="E533" s="105"/>
      <c r="F533" s="18">
        <v>50478.940657499996</v>
      </c>
      <c r="G533" s="18">
        <v>28468.240000000002</v>
      </c>
      <c r="H533" s="18">
        <v>0</v>
      </c>
      <c r="I533" s="18">
        <v>300.24</v>
      </c>
      <c r="J533" s="18">
        <v>0</v>
      </c>
      <c r="K533" s="18">
        <v>0</v>
      </c>
      <c r="L533" s="88">
        <f>SUM(F533:K533)</f>
        <v>79247.420657499999</v>
      </c>
      <c r="M533" s="8"/>
      <c r="N533" s="265"/>
    </row>
    <row r="534" spans="1:14" s="3" customFormat="1" ht="12.2" customHeight="1" thickBot="1" x14ac:dyDescent="0.2">
      <c r="A534" s="22" t="s">
        <v>635</v>
      </c>
      <c r="B534" s="105">
        <v>21</v>
      </c>
      <c r="C534" s="105">
        <v>11</v>
      </c>
      <c r="D534" s="2" t="s">
        <v>432</v>
      </c>
      <c r="E534" s="105"/>
      <c r="F534" s="18">
        <v>73476.5095</v>
      </c>
      <c r="G534" s="18">
        <v>41438.01</v>
      </c>
      <c r="H534" s="18">
        <v>0</v>
      </c>
      <c r="I534" s="18">
        <v>0</v>
      </c>
      <c r="J534" s="18">
        <v>0</v>
      </c>
      <c r="K534" s="18">
        <v>0</v>
      </c>
      <c r="L534" s="88">
        <f>SUM(F534:K534)</f>
        <v>114914.51949999999</v>
      </c>
      <c r="M534" s="8"/>
      <c r="N534" s="265"/>
    </row>
    <row r="535" spans="1:14" s="3" customFormat="1" ht="12.2" customHeight="1" thickTop="1" x14ac:dyDescent="0.15">
      <c r="A535" s="139" t="s">
        <v>67</v>
      </c>
      <c r="B535" s="107">
        <v>21</v>
      </c>
      <c r="C535" s="107">
        <v>12</v>
      </c>
      <c r="D535" s="158" t="s">
        <v>432</v>
      </c>
      <c r="E535" s="107"/>
      <c r="F535" s="89">
        <f>SUM(F532:F534)</f>
        <v>171493.87</v>
      </c>
      <c r="G535" s="89">
        <f t="shared" ref="G535:L535" si="38">SUM(G532:G534)</f>
        <v>96716.140000000014</v>
      </c>
      <c r="H535" s="89">
        <f t="shared" si="38"/>
        <v>0</v>
      </c>
      <c r="I535" s="89">
        <f t="shared" si="38"/>
        <v>592.80999999999995</v>
      </c>
      <c r="J535" s="89">
        <f t="shared" si="38"/>
        <v>0</v>
      </c>
      <c r="K535" s="89">
        <f t="shared" si="38"/>
        <v>0</v>
      </c>
      <c r="L535" s="89">
        <f t="shared" si="38"/>
        <v>268802.82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6926.9012390966664</v>
      </c>
      <c r="I537" s="18"/>
      <c r="J537" s="18"/>
      <c r="K537" s="18"/>
      <c r="L537" s="88">
        <f>SUM(F537:K537)</f>
        <v>6926.9012390966664</v>
      </c>
      <c r="M537" s="8"/>
      <c r="N537" s="265"/>
    </row>
    <row r="538" spans="1:14" s="3" customFormat="1" ht="12.2" customHeight="1" x14ac:dyDescent="0.15">
      <c r="A538" s="22" t="s">
        <v>634</v>
      </c>
      <c r="B538" s="105">
        <v>21</v>
      </c>
      <c r="C538" s="105">
        <v>14</v>
      </c>
      <c r="D538" s="2" t="s">
        <v>432</v>
      </c>
      <c r="E538" s="105"/>
      <c r="F538" s="18"/>
      <c r="G538" s="18"/>
      <c r="H538" s="18">
        <v>5627.6180688254271</v>
      </c>
      <c r="I538" s="18"/>
      <c r="J538" s="18"/>
      <c r="K538" s="18"/>
      <c r="L538" s="88">
        <f>SUM(F538:K538)</f>
        <v>5627.6180688254271</v>
      </c>
      <c r="M538" s="8"/>
      <c r="N538" s="265"/>
    </row>
    <row r="539" spans="1:14" s="3" customFormat="1" ht="12.2" customHeight="1" thickBot="1" x14ac:dyDescent="0.2">
      <c r="A539" s="22" t="s">
        <v>635</v>
      </c>
      <c r="B539" s="105">
        <v>21</v>
      </c>
      <c r="C539" s="105">
        <v>15</v>
      </c>
      <c r="D539" s="2" t="s">
        <v>432</v>
      </c>
      <c r="E539" s="105"/>
      <c r="F539" s="18"/>
      <c r="G539" s="18"/>
      <c r="H539" s="18">
        <v>6160.9726920779067</v>
      </c>
      <c r="I539" s="18"/>
      <c r="J539" s="18"/>
      <c r="K539" s="18"/>
      <c r="L539" s="88">
        <f>SUM(F539:K539)</f>
        <v>6160.9726920779067</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18715.491999999998</v>
      </c>
      <c r="I540" s="89">
        <f t="shared" si="39"/>
        <v>0</v>
      </c>
      <c r="J540" s="89">
        <f t="shared" si="39"/>
        <v>0</v>
      </c>
      <c r="K540" s="89">
        <f t="shared" si="39"/>
        <v>0</v>
      </c>
      <c r="L540" s="89">
        <f t="shared" si="39"/>
        <v>18715.491999999998</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142245.19</v>
      </c>
      <c r="I542" s="18"/>
      <c r="J542" s="18"/>
      <c r="K542" s="18"/>
      <c r="L542" s="88">
        <f>SUM(F542:K542)</f>
        <v>142245.19</v>
      </c>
      <c r="M542" s="8"/>
      <c r="N542" s="265"/>
    </row>
    <row r="543" spans="1:14" s="3" customFormat="1" ht="12.2" customHeight="1" x14ac:dyDescent="0.15">
      <c r="A543" s="22" t="s">
        <v>634</v>
      </c>
      <c r="B543" s="105">
        <v>21</v>
      </c>
      <c r="C543" s="105">
        <v>18</v>
      </c>
      <c r="D543" s="2" t="s">
        <v>432</v>
      </c>
      <c r="E543" s="105"/>
      <c r="F543" s="18"/>
      <c r="G543" s="18"/>
      <c r="H543" s="18">
        <v>142245.19</v>
      </c>
      <c r="I543" s="18"/>
      <c r="J543" s="18"/>
      <c r="K543" s="18"/>
      <c r="L543" s="88">
        <f>SUM(F543:K543)</f>
        <v>142245.19</v>
      </c>
      <c r="M543" s="8"/>
      <c r="N543" s="265"/>
    </row>
    <row r="544" spans="1:14" s="3" customFormat="1" ht="12.2" customHeight="1" thickBot="1" x14ac:dyDescent="0.2">
      <c r="A544" s="22" t="s">
        <v>635</v>
      </c>
      <c r="B544" s="105">
        <v>21</v>
      </c>
      <c r="C544" s="105">
        <v>19</v>
      </c>
      <c r="D544" s="2" t="s">
        <v>432</v>
      </c>
      <c r="E544" s="105"/>
      <c r="F544" s="18"/>
      <c r="G544" s="18"/>
      <c r="H544" s="18">
        <v>189660.24</v>
      </c>
      <c r="I544" s="18"/>
      <c r="J544" s="18"/>
      <c r="K544" s="18"/>
      <c r="L544" s="88">
        <f>SUM(F544:K544)</f>
        <v>189660.24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474150.62</v>
      </c>
      <c r="I545" s="192">
        <f t="shared" si="40"/>
        <v>0</v>
      </c>
      <c r="J545" s="192">
        <f t="shared" si="40"/>
        <v>0</v>
      </c>
      <c r="K545" s="192">
        <f t="shared" si="40"/>
        <v>0</v>
      </c>
      <c r="L545" s="192">
        <f t="shared" si="40"/>
        <v>474150.62</v>
      </c>
      <c r="M545" s="8"/>
      <c r="N545" s="265"/>
    </row>
    <row r="546" spans="1:14" s="3" customFormat="1" ht="12.2" customHeight="1" thickTop="1" x14ac:dyDescent="0.15">
      <c r="A546" s="98" t="s">
        <v>72</v>
      </c>
      <c r="B546" s="107">
        <v>21</v>
      </c>
      <c r="C546" s="107">
        <v>21</v>
      </c>
      <c r="D546" s="158" t="s">
        <v>432</v>
      </c>
      <c r="E546" s="107"/>
      <c r="F546" s="89">
        <f>F525+F530+F535+F540+F545</f>
        <v>2783810.5300000003</v>
      </c>
      <c r="G546" s="89">
        <f t="shared" ref="G546:L546" si="41">G525+G530+G535+G540+G545</f>
        <v>1562738.85</v>
      </c>
      <c r="H546" s="89">
        <f t="shared" si="41"/>
        <v>3833633.4720000001</v>
      </c>
      <c r="I546" s="89">
        <f t="shared" si="41"/>
        <v>23998.73</v>
      </c>
      <c r="J546" s="89">
        <f t="shared" si="41"/>
        <v>4069.9999999999995</v>
      </c>
      <c r="K546" s="89">
        <f t="shared" si="41"/>
        <v>1755.72</v>
      </c>
      <c r="L546" s="89">
        <f t="shared" si="41"/>
        <v>8210007.3020000011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2792172.6901575001</v>
      </c>
      <c r="G550" s="87">
        <f>L527</f>
        <v>291803.80220495514</v>
      </c>
      <c r="H550" s="87">
        <f>L532</f>
        <v>74640.879842499999</v>
      </c>
      <c r="I550" s="87">
        <f>L537</f>
        <v>6926.9012390966664</v>
      </c>
      <c r="J550" s="87">
        <f>L542</f>
        <v>142245.19</v>
      </c>
      <c r="K550" s="87">
        <f>SUM(F550:J550)</f>
        <v>3307789.4634440523</v>
      </c>
      <c r="L550" s="24" t="s">
        <v>288</v>
      </c>
      <c r="M550" s="8"/>
      <c r="N550" s="265"/>
    </row>
    <row r="551" spans="1:14" s="3" customFormat="1" ht="12.2" customHeight="1" x14ac:dyDescent="0.15">
      <c r="A551" s="22" t="s">
        <v>634</v>
      </c>
      <c r="B551" s="75">
        <v>21</v>
      </c>
      <c r="C551" s="75">
        <v>23</v>
      </c>
      <c r="D551" s="2" t="s">
        <v>432</v>
      </c>
      <c r="E551" s="75"/>
      <c r="F551" s="87">
        <f>L523</f>
        <v>2315184.7193425</v>
      </c>
      <c r="G551" s="87">
        <f>L528</f>
        <v>237069.97511850044</v>
      </c>
      <c r="H551" s="87">
        <f>L533</f>
        <v>79247.420657499999</v>
      </c>
      <c r="I551" s="87">
        <f>L538</f>
        <v>5627.6180688254271</v>
      </c>
      <c r="J551" s="87">
        <f>L543</f>
        <v>142245.19</v>
      </c>
      <c r="K551" s="87">
        <f>SUM(F551:J551)</f>
        <v>2779374.9231873262</v>
      </c>
      <c r="L551" s="24" t="s">
        <v>288</v>
      </c>
      <c r="M551" s="8"/>
      <c r="N551" s="265"/>
    </row>
    <row r="552" spans="1:14" s="3" customFormat="1" ht="12.2" customHeight="1" thickBot="1" x14ac:dyDescent="0.2">
      <c r="A552" s="22" t="s">
        <v>635</v>
      </c>
      <c r="B552" s="75">
        <v>21</v>
      </c>
      <c r="C552" s="75">
        <v>24</v>
      </c>
      <c r="D552" s="2" t="s">
        <v>432</v>
      </c>
      <c r="E552" s="75"/>
      <c r="F552" s="87">
        <f>L524</f>
        <v>1554986.4805000001</v>
      </c>
      <c r="G552" s="87">
        <f>L529</f>
        <v>257120.70267654437</v>
      </c>
      <c r="H552" s="87">
        <f>L534</f>
        <v>114914.51949999999</v>
      </c>
      <c r="I552" s="87">
        <f>L539</f>
        <v>6160.9726920779067</v>
      </c>
      <c r="J552" s="87">
        <f>L544</f>
        <v>189660.24</v>
      </c>
      <c r="K552" s="87">
        <f>SUM(F552:J552)</f>
        <v>2122842.9153686222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6662343.8900000006</v>
      </c>
      <c r="G553" s="89">
        <f t="shared" si="42"/>
        <v>785994.48</v>
      </c>
      <c r="H553" s="89">
        <f t="shared" si="42"/>
        <v>268802.82</v>
      </c>
      <c r="I553" s="89">
        <f t="shared" si="42"/>
        <v>18715.491999999998</v>
      </c>
      <c r="J553" s="89">
        <f t="shared" si="42"/>
        <v>474150.62</v>
      </c>
      <c r="K553" s="89">
        <f t="shared" si="42"/>
        <v>8210007.3020000011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105174.81</v>
      </c>
      <c r="I576" s="87">
        <f>SUM(F576:H576)</f>
        <v>105174.81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5309834.99</v>
      </c>
      <c r="I578" s="87">
        <f t="shared" si="47"/>
        <v>5309834.99</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774579.53</v>
      </c>
      <c r="I582" s="87">
        <f t="shared" si="47"/>
        <v>774579.53</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509463.79333299998</v>
      </c>
      <c r="G583" s="18">
        <v>509463.79333299998</v>
      </c>
      <c r="H583" s="18">
        <v>509463.79333299998</v>
      </c>
      <c r="I583" s="87">
        <f t="shared" si="47"/>
        <v>1528391.3799989999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165768.35</v>
      </c>
      <c r="I584" s="87">
        <f t="shared" si="47"/>
        <v>165768.35</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243459.76923168835</v>
      </c>
      <c r="I592" s="18">
        <v>197793.87</v>
      </c>
      <c r="J592" s="18">
        <v>216539.68175409245</v>
      </c>
      <c r="K592" s="104">
        <f t="shared" ref="K592:K598" si="48">SUM(H592:J592)</f>
        <v>657793.3209857808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142245.19</v>
      </c>
      <c r="I593" s="18">
        <v>142245.19</v>
      </c>
      <c r="J593" s="18">
        <v>189660.24</v>
      </c>
      <c r="K593" s="104">
        <f t="shared" si="48"/>
        <v>474150.62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8431.6299999999992</v>
      </c>
      <c r="J595" s="18"/>
      <c r="K595" s="104">
        <f t="shared" si="48"/>
        <v>8431.6299999999992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f>223.86+191.7</f>
        <v>415.56</v>
      </c>
      <c r="J596" s="18"/>
      <c r="K596" s="104">
        <f t="shared" si="48"/>
        <v>415.56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385704.95923168835</v>
      </c>
      <c r="I599" s="108">
        <f>SUM(I592:I598)</f>
        <v>348886.25</v>
      </c>
      <c r="J599" s="108">
        <f>SUM(J592:J598)</f>
        <v>406199.92175409244</v>
      </c>
      <c r="K599" s="108">
        <f>SUM(K592:K598)</f>
        <v>1140791.1309857806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112345.98+36038.43</f>
        <v>148384.41</v>
      </c>
      <c r="I605" s="18">
        <f>126554.71+36038.43</f>
        <v>162593.14000000001</v>
      </c>
      <c r="J605" s="18"/>
      <c r="K605" s="104">
        <f>SUM(H605:J605)</f>
        <v>310977.55000000005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148384.41</v>
      </c>
      <c r="I606" s="108">
        <f>SUM(I603:I605)</f>
        <v>162593.14000000001</v>
      </c>
      <c r="J606" s="108">
        <f>SUM(J603:J605)</f>
        <v>0</v>
      </c>
      <c r="K606" s="108">
        <f>SUM(K603:K605)</f>
        <v>310977.55000000005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3667482.7899999996</v>
      </c>
      <c r="H618" s="109">
        <f>SUM(F52)</f>
        <v>3667482.7899999996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446852.30000000005</v>
      </c>
      <c r="H619" s="109">
        <f>SUM(G52)</f>
        <v>446852.30000000005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586848.93000000005</v>
      </c>
      <c r="H620" s="109">
        <f>SUM(H52)</f>
        <v>586848.93000000005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208308.51</v>
      </c>
      <c r="H622" s="109">
        <f>SUM(J52)</f>
        <v>208308.51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3470172.3499999996</v>
      </c>
      <c r="H623" s="109">
        <f>F477</f>
        <v>3470172.3500000015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137177.63999999998</v>
      </c>
      <c r="H624" s="109">
        <f>G477</f>
        <v>137177.63999999996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208308.51</v>
      </c>
      <c r="H627" s="109">
        <f>J477</f>
        <v>208308.51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30920326.460000001</v>
      </c>
      <c r="H628" s="104">
        <f>SUM(F469)</f>
        <v>30920326.460000001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510631.93</v>
      </c>
      <c r="H629" s="104">
        <f>SUM(G469)</f>
        <v>510631.93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501528.57999999996</v>
      </c>
      <c r="H630" s="104">
        <f>SUM(H469)</f>
        <v>501528.58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1143.54</v>
      </c>
      <c r="H632" s="104">
        <f>SUM(J469)</f>
        <v>1143.54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29553892.050000008</v>
      </c>
      <c r="H633" s="104">
        <f>SUM(F473)</f>
        <v>29553892.050000001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501528.11000000004</v>
      </c>
      <c r="H634" s="104">
        <f>SUM(H473)</f>
        <v>501528.11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221507.93</v>
      </c>
      <c r="H635" s="104">
        <f>I370</f>
        <v>221507.93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421336.67</v>
      </c>
      <c r="H636" s="104">
        <f>SUM(G473)</f>
        <v>421336.67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1143.54</v>
      </c>
      <c r="H638" s="164">
        <f>SUM(J469)</f>
        <v>1143.54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1160000</v>
      </c>
      <c r="H639" s="164">
        <f>SUM(J473)</f>
        <v>1160000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208308.51</v>
      </c>
      <c r="H640" s="104">
        <f>SUM(F462)</f>
        <v>208308.51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208308.51</v>
      </c>
      <c r="H643" s="104">
        <f>SUM(I462)</f>
        <v>208308.51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893.54</v>
      </c>
      <c r="H645" s="104">
        <f>H409</f>
        <v>893.54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1143.54</v>
      </c>
      <c r="H647" s="104">
        <f>L409</f>
        <v>1143.54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1140791.1309857806</v>
      </c>
      <c r="H648" s="104">
        <f>L209+L227+L245</f>
        <v>1140791.1299999999</v>
      </c>
      <c r="I648" s="140" t="s">
        <v>396</v>
      </c>
      <c r="J648" s="109">
        <f t="shared" si="50"/>
        <v>9.8578073084354401E-4</v>
      </c>
      <c r="K648" s="85"/>
      <c r="L648" s="88"/>
      <c r="M648" s="8"/>
    </row>
    <row r="649" spans="1:13" s="3" customFormat="1" ht="12.2" customHeight="1" x14ac:dyDescent="0.15">
      <c r="A649" s="22"/>
      <c r="B649" s="105"/>
      <c r="C649" s="105"/>
      <c r="D649" s="105"/>
      <c r="E649" s="105"/>
      <c r="F649" s="120" t="s">
        <v>52</v>
      </c>
      <c r="G649" s="109">
        <f>K606</f>
        <v>310977.55000000005</v>
      </c>
      <c r="H649" s="104">
        <f>(J258+J339)-(J256+J337)</f>
        <v>310977.54999999981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385704.96000000002</v>
      </c>
      <c r="H650" s="104">
        <f>H599</f>
        <v>385704.95923168835</v>
      </c>
      <c r="I650" s="140" t="s">
        <v>388</v>
      </c>
      <c r="J650" s="109">
        <f t="shared" si="50"/>
        <v>7.6831167098134756E-4</v>
      </c>
      <c r="K650" s="85"/>
      <c r="L650" s="88"/>
      <c r="M650" s="8"/>
    </row>
    <row r="651" spans="1:13" s="3" customFormat="1" ht="12.2" customHeight="1" x14ac:dyDescent="0.15">
      <c r="A651" s="22"/>
      <c r="B651" s="105"/>
      <c r="C651" s="105"/>
      <c r="D651" s="105"/>
      <c r="E651" s="105"/>
      <c r="F651" s="120" t="s">
        <v>392</v>
      </c>
      <c r="G651" s="109">
        <f>L227</f>
        <v>348886.25</v>
      </c>
      <c r="H651" s="104">
        <f>I599</f>
        <v>348886.25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406199.92</v>
      </c>
      <c r="H652" s="104">
        <f>J599</f>
        <v>406199.92175409244</v>
      </c>
      <c r="I652" s="140" t="s">
        <v>390</v>
      </c>
      <c r="J652" s="109">
        <f t="shared" si="50"/>
        <v>-1.7540924600325525E-3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11106385.900000002</v>
      </c>
      <c r="G661" s="19">
        <f>(L230+L310+L360)</f>
        <v>9882577.8599999994</v>
      </c>
      <c r="H661" s="19">
        <f>(L248+L329+L361)</f>
        <v>7477059.8100000005</v>
      </c>
      <c r="I661" s="19">
        <f>SUM(F661:H661)</f>
        <v>28466023.57</v>
      </c>
      <c r="J661" s="13"/>
      <c r="K661" s="13"/>
      <c r="L661" s="13"/>
      <c r="M661" s="9"/>
    </row>
    <row r="662" spans="1:13" s="3" customFormat="1" ht="12.2" customHeight="1" x14ac:dyDescent="0.2">
      <c r="A662" s="1" t="s">
        <v>127</v>
      </c>
      <c r="F662" s="19">
        <f>(L359/IF(SUM(L359:L361)=0,1,SUM(L359:L361))*(SUM(G97:G110)))</f>
        <v>20055.246861269399</v>
      </c>
      <c r="G662" s="19">
        <f>(L360/IF(SUM(L359:L361)=0,1,SUM(L359:L361))*(SUM(G97:G110)))</f>
        <v>16293.473138730602</v>
      </c>
      <c r="H662" s="19">
        <f>(L361/IF(SUM(L359:L361)=0,1,SUM(L359:L361))*(SUM(G97:G110)))</f>
        <v>0</v>
      </c>
      <c r="I662" s="19">
        <f>SUM(F662:H662)</f>
        <v>36348.720000000001</v>
      </c>
      <c r="J662"/>
      <c r="K662" s="13"/>
      <c r="L662" s="13"/>
      <c r="M662" s="8"/>
    </row>
    <row r="663" spans="1:13" s="3" customFormat="1" ht="12.2" customHeight="1" x14ac:dyDescent="0.2">
      <c r="A663" s="1" t="s">
        <v>128</v>
      </c>
      <c r="F663" s="19">
        <f>(L209+L288)-(J209+J288)</f>
        <v>393616.29000000004</v>
      </c>
      <c r="G663" s="19">
        <f>(L227+L307)-(J227+J307)</f>
        <v>355313.64</v>
      </c>
      <c r="H663" s="19">
        <f>(L245+L326)-(J245+J326)</f>
        <v>406199.92</v>
      </c>
      <c r="I663" s="19">
        <f>SUM(F663:H663)</f>
        <v>1155129.8500000001</v>
      </c>
      <c r="J663"/>
      <c r="K663" s="13"/>
      <c r="L663" s="13"/>
      <c r="M663" s="9"/>
    </row>
    <row r="664" spans="1:13" s="3" customFormat="1" ht="12.2" customHeight="1" x14ac:dyDescent="0.15">
      <c r="A664" s="197" t="s">
        <v>129</v>
      </c>
      <c r="B664" s="169"/>
      <c r="C664" s="169"/>
      <c r="D664" s="169"/>
      <c r="E664" s="169"/>
      <c r="F664" s="198">
        <f>SUM(F576:F588)+SUM(H603:H605)+SUM(L612)</f>
        <v>657848.20333299995</v>
      </c>
      <c r="G664" s="198">
        <f>SUM(G576:G588)+SUM(I603:I605)+L613</f>
        <v>672056.93333299994</v>
      </c>
      <c r="H664" s="198">
        <f>SUM(H576:H588)+SUM(J603:J605)+L614</f>
        <v>6864821.4733329993</v>
      </c>
      <c r="I664" s="19">
        <f>SUM(F664:H664)</f>
        <v>8194726.6099989992</v>
      </c>
      <c r="J664" s="13"/>
      <c r="K664" s="13"/>
      <c r="L664" s="13"/>
      <c r="M664" s="9"/>
    </row>
    <row r="665" spans="1:13" s="3" customFormat="1" ht="12.2" customHeight="1" x14ac:dyDescent="0.15">
      <c r="A665" s="1" t="s">
        <v>130</v>
      </c>
      <c r="F665" s="19">
        <f>F661-SUM(F662:F664)</f>
        <v>10034866.159805734</v>
      </c>
      <c r="G665" s="19">
        <f>G661-SUM(G662:G664)</f>
        <v>8838913.8135282695</v>
      </c>
      <c r="H665" s="19">
        <f>H661-SUM(H662:H664)</f>
        <v>206038.41666700132</v>
      </c>
      <c r="I665" s="19">
        <f>I661-SUM(I662:I664)</f>
        <v>19079818.390000999</v>
      </c>
      <c r="J665" s="13"/>
      <c r="K665" s="13"/>
      <c r="L665" s="13"/>
      <c r="M665" s="8"/>
    </row>
    <row r="666" spans="1:13" s="3" customFormat="1" ht="12.2" customHeight="1" x14ac:dyDescent="0.2">
      <c r="A666" s="1" t="s">
        <v>131</v>
      </c>
      <c r="F666" s="245">
        <v>433.58</v>
      </c>
      <c r="G666" s="246">
        <v>352.31</v>
      </c>
      <c r="H666" s="246"/>
      <c r="I666" s="19">
        <f>SUM(F666:H666)</f>
        <v>785.89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23144.21</v>
      </c>
      <c r="G668" s="19">
        <f>ROUND(G665/G666,2)</f>
        <v>25088.46</v>
      </c>
      <c r="H668" s="19" t="e">
        <f>ROUND(H665/H666,2)</f>
        <v>#DIV/0!</v>
      </c>
      <c r="I668" s="19">
        <f>ROUND(I665/I666,2)</f>
        <v>24277.98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-206038.42</v>
      </c>
      <c r="I670" s="19">
        <f>SUM(F670:H670)</f>
        <v>-206038.42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23144.21</v>
      </c>
      <c r="G673" s="19">
        <f>ROUND((G665+G670)/(G666+G671),2)</f>
        <v>25088.46</v>
      </c>
      <c r="H673" s="19" t="e">
        <f>ROUND((H665+H670)/(H666+H671),2)</f>
        <v>#DIV/0!</v>
      </c>
      <c r="I673" s="19">
        <f>ROUND((I665+I670)/(I666+I671),2)</f>
        <v>24015.8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6" priority="3" stopIfTrue="1" operator="notEqual">
      <formula>0</formula>
    </cfRule>
  </conditionalFormatting>
  <conditionalFormatting sqref="J618:J656">
    <cfRule type="cellIs" dxfId="15" priority="1" operator="lessThan">
      <formula>0</formula>
    </cfRule>
    <cfRule type="cellIs" dxfId="14"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62895.83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26870.799999999999</v>
      </c>
      <c r="F9" s="349" t="s">
        <v>1644</v>
      </c>
    </row>
    <row r="10" spans="2:8" x14ac:dyDescent="0.25">
      <c r="B10" s="348"/>
      <c r="C10" s="348"/>
      <c r="D10" s="348"/>
      <c r="E10" s="348"/>
      <c r="F10" s="348"/>
    </row>
    <row r="11" spans="2:8" x14ac:dyDescent="0.25">
      <c r="B11" s="348"/>
      <c r="C11" s="352" t="s">
        <v>1648</v>
      </c>
      <c r="D11" s="349" t="s">
        <v>1651</v>
      </c>
      <c r="E11" s="336">
        <v>36025.03</v>
      </c>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Hampstead</v>
      </c>
      <c r="C5" s="375"/>
      <c r="D5" s="375"/>
      <c r="E5" s="375"/>
      <c r="F5" s="375"/>
    </row>
    <row r="8" spans="1:9" ht="18" x14ac:dyDescent="0.25">
      <c r="A8" s="312" t="s">
        <v>1568</v>
      </c>
      <c r="F8" s="319" t="s">
        <v>1586</v>
      </c>
    </row>
    <row r="9" spans="1:9" ht="15" x14ac:dyDescent="0.2">
      <c r="A9" s="310" t="s">
        <v>1569</v>
      </c>
      <c r="B9" s="313">
        <f>'DOE25'!G97</f>
        <v>36348.720000000001</v>
      </c>
      <c r="F9" s="310" t="s">
        <v>1582</v>
      </c>
    </row>
    <row r="10" spans="1:9" ht="15" x14ac:dyDescent="0.2">
      <c r="A10" s="310" t="s">
        <v>1570</v>
      </c>
      <c r="B10" s="313">
        <f>'DOE25'!G112-'DOE25'!G97</f>
        <v>0</v>
      </c>
      <c r="F10" s="310" t="s">
        <v>1583</v>
      </c>
    </row>
    <row r="11" spans="1:9" ht="15" x14ac:dyDescent="0.2">
      <c r="A11" s="310" t="s">
        <v>1571</v>
      </c>
      <c r="B11" s="313">
        <f>'DOE25'!G140</f>
        <v>13895.21</v>
      </c>
      <c r="F11" s="310" t="s">
        <v>1584</v>
      </c>
    </row>
    <row r="12" spans="1:9" ht="15" x14ac:dyDescent="0.2">
      <c r="A12" s="310" t="s">
        <v>1572</v>
      </c>
      <c r="B12" s="313">
        <f>'DOE25'!G170</f>
        <v>460388</v>
      </c>
      <c r="F12" s="310" t="s">
        <v>1585</v>
      </c>
    </row>
    <row r="13" spans="1:9" ht="15" x14ac:dyDescent="0.2">
      <c r="A13" s="310" t="s">
        <v>1573</v>
      </c>
      <c r="B13" s="313">
        <f>'DOE25'!G193-'DOE25'!G180</f>
        <v>0</v>
      </c>
      <c r="F13" s="310" t="s">
        <v>1595</v>
      </c>
    </row>
    <row r="14" spans="1:9" ht="18" x14ac:dyDescent="0.25">
      <c r="A14" s="312" t="s">
        <v>732</v>
      </c>
      <c r="B14" s="314">
        <f>SUM(B9:B13)</f>
        <v>510631.93</v>
      </c>
    </row>
    <row r="16" spans="1:9" ht="18" x14ac:dyDescent="0.25">
      <c r="A16" s="312" t="s">
        <v>786</v>
      </c>
      <c r="F16" s="319" t="s">
        <v>1587</v>
      </c>
    </row>
    <row r="17" spans="1:6" ht="15" x14ac:dyDescent="0.2">
      <c r="A17" s="310" t="s">
        <v>1574</v>
      </c>
      <c r="B17" s="313">
        <f>'DOE25'!L363-'DOE25'!L362</f>
        <v>421336.67</v>
      </c>
      <c r="F17" s="310" t="s">
        <v>1588</v>
      </c>
    </row>
    <row r="18" spans="1:6" ht="15" x14ac:dyDescent="0.2">
      <c r="A18" s="310" t="s">
        <v>1575</v>
      </c>
      <c r="B18" s="323"/>
      <c r="F18" s="319" t="s">
        <v>1612</v>
      </c>
    </row>
    <row r="19" spans="1:6" ht="18" x14ac:dyDescent="0.25">
      <c r="A19" s="312" t="s">
        <v>725</v>
      </c>
      <c r="B19" s="314">
        <f>SUM(B17:B18)</f>
        <v>421336.67</v>
      </c>
    </row>
    <row r="21" spans="1:6" ht="18.75" thickBot="1" x14ac:dyDescent="0.3">
      <c r="A21" s="312" t="s">
        <v>1576</v>
      </c>
    </row>
    <row r="22" spans="1:6" ht="18.75" thickTop="1" x14ac:dyDescent="0.25">
      <c r="A22" s="312" t="s">
        <v>1577</v>
      </c>
      <c r="B22" s="318">
        <f>B14-B19</f>
        <v>89295.260000000009</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47882.38</v>
      </c>
      <c r="F31" s="310" t="s">
        <v>1592</v>
      </c>
    </row>
    <row r="33" spans="1:6" ht="15" x14ac:dyDescent="0.2">
      <c r="A33" s="310" t="s">
        <v>1635</v>
      </c>
      <c r="B33" s="313">
        <f>'DOE25'!G477</f>
        <v>137177.63999999996</v>
      </c>
      <c r="F33" s="310" t="s">
        <v>1593</v>
      </c>
    </row>
    <row r="36" spans="1:6" ht="15" x14ac:dyDescent="0.2">
      <c r="A36" s="310" t="s">
        <v>1579</v>
      </c>
      <c r="B36" s="324">
        <v>25950.16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2" sqref="C4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Hampstead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5170347.6100000003</v>
      </c>
      <c r="C9" s="228">
        <f>'DOE25'!G198+'DOE25'!G216+'DOE25'!G234+'DOE25'!G277+'DOE25'!G296+'DOE25'!G315</f>
        <v>2880725.05</v>
      </c>
    </row>
    <row r="10" spans="1:3" x14ac:dyDescent="0.2">
      <c r="A10" t="s">
        <v>775</v>
      </c>
      <c r="B10" s="239">
        <v>4636884.0199999996</v>
      </c>
      <c r="C10" s="239">
        <f>+B10*(C$9/B$9)</f>
        <v>2583499.013591215</v>
      </c>
    </row>
    <row r="11" spans="1:3" x14ac:dyDescent="0.2">
      <c r="A11" t="s">
        <v>776</v>
      </c>
      <c r="B11" s="239">
        <v>229726.09</v>
      </c>
      <c r="C11" s="239">
        <f t="shared" ref="C11:C12" si="0">+B11*(C$9/B$9)</f>
        <v>127994.81814754702</v>
      </c>
    </row>
    <row r="12" spans="1:3" x14ac:dyDescent="0.2">
      <c r="A12" t="s">
        <v>777</v>
      </c>
      <c r="B12" s="239">
        <v>303737.5</v>
      </c>
      <c r="C12" s="239">
        <f t="shared" si="0"/>
        <v>169231.21826123694</v>
      </c>
    </row>
    <row r="13" spans="1:3" x14ac:dyDescent="0.2">
      <c r="A13" t="str">
        <f>IF(B9=B13,IF(C9=C13,"Check Total OK","Check Total Error"),"Check Total Error")</f>
        <v>Check Total OK</v>
      </c>
      <c r="B13" s="230">
        <f>SUM(B10:B12)</f>
        <v>5170347.6099999994</v>
      </c>
      <c r="C13" s="230">
        <f>SUM(C10:C12)</f>
        <v>2880725.0499999989</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2284394.3199999998</v>
      </c>
      <c r="C18" s="228">
        <f>'DOE25'!G199+'DOE25'!G217+'DOE25'!G235+'DOE25'!G278+'DOE25'!G297+'DOE25'!G316</f>
        <v>1281086.77</v>
      </c>
    </row>
    <row r="19" spans="1:3" x14ac:dyDescent="0.2">
      <c r="A19" t="s">
        <v>775</v>
      </c>
      <c r="B19" s="239">
        <v>1232179.1100000001</v>
      </c>
      <c r="C19" s="239">
        <f>+B19*(C$18/B$18)</f>
        <v>691005.20092843473</v>
      </c>
    </row>
    <row r="20" spans="1:3" x14ac:dyDescent="0.2">
      <c r="A20" t="s">
        <v>776</v>
      </c>
      <c r="B20" s="239">
        <v>754280.2</v>
      </c>
      <c r="C20" s="239">
        <f t="shared" ref="C20:C21" si="1">+B20*(C$18/B$18)</f>
        <v>422999.81952894811</v>
      </c>
    </row>
    <row r="21" spans="1:3" x14ac:dyDescent="0.2">
      <c r="A21" t="s">
        <v>777</v>
      </c>
      <c r="B21" s="239">
        <v>297935.01</v>
      </c>
      <c r="C21" s="239">
        <f t="shared" si="1"/>
        <v>167081.74954261738</v>
      </c>
    </row>
    <row r="22" spans="1:3" x14ac:dyDescent="0.2">
      <c r="A22" t="str">
        <f>IF(B18=B22,IF(C18=C22,"Check Total OK","Check Total Error"),"Check Total Error")</f>
        <v>Check Total OK</v>
      </c>
      <c r="B22" s="230">
        <f>SUM(B19:B21)</f>
        <v>2284394.3200000003</v>
      </c>
      <c r="C22" s="230">
        <f>SUM(C19:C21)</f>
        <v>1281086.7700000003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42745</v>
      </c>
      <c r="C36" s="234">
        <f>'DOE25'!G201+'DOE25'!G219+'DOE25'!G237+'DOE25'!G280+'DOE25'!G299+'DOE25'!G318</f>
        <v>24106.58</v>
      </c>
    </row>
    <row r="37" spans="1:3" x14ac:dyDescent="0.2">
      <c r="A37" t="s">
        <v>775</v>
      </c>
      <c r="B37" s="239">
        <v>38545</v>
      </c>
      <c r="C37" s="239">
        <f>+B37*(C$36/B$36)</f>
        <v>21737.937211369754</v>
      </c>
    </row>
    <row r="38" spans="1:3" x14ac:dyDescent="0.2">
      <c r="A38" t="s">
        <v>776</v>
      </c>
      <c r="B38" s="239">
        <v>0</v>
      </c>
      <c r="C38" s="239">
        <f t="shared" ref="C38:C39" si="2">+B38*(C$36/B$36)</f>
        <v>0</v>
      </c>
    </row>
    <row r="39" spans="1:3" x14ac:dyDescent="0.2">
      <c r="A39" t="s">
        <v>777</v>
      </c>
      <c r="B39" s="239">
        <v>4200</v>
      </c>
      <c r="C39" s="239">
        <f t="shared" si="2"/>
        <v>2368.6427886302495</v>
      </c>
    </row>
    <row r="40" spans="1:3" x14ac:dyDescent="0.2">
      <c r="A40" t="str">
        <f>IF(B36=B40,IF(C36=C40,"Check Total OK","Check Total Error"),"Check Total Error")</f>
        <v>Check Total OK</v>
      </c>
      <c r="B40" s="230">
        <f>SUM(B37:B39)</f>
        <v>42745</v>
      </c>
      <c r="C40" s="230">
        <f>SUM(C37:C39)</f>
        <v>24106.58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3"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H40" sqref="H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Hampstead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20744069.810000002</v>
      </c>
      <c r="D5" s="20">
        <f>SUM('DOE25'!L198:L201)+SUM('DOE25'!L216:L219)+SUM('DOE25'!L234:L237)-F5-G5-H5</f>
        <v>20570560.940000005</v>
      </c>
      <c r="E5" s="242"/>
      <c r="F5" s="243"/>
      <c r="G5" s="53">
        <f>SUM('DOE25'!J198:J201)+SUM('DOE25'!J216:J219)+SUM('DOE25'!J234:J237)</f>
        <v>153616.38</v>
      </c>
      <c r="H5" s="53">
        <f>SUM('DOE25'!K198:K201)+SUM('DOE25'!K216:K219)+SUM('DOE25'!K234:K237)</f>
        <v>19892.489999999998</v>
      </c>
      <c r="I5" s="255"/>
    </row>
    <row r="6" spans="1:9" x14ac:dyDescent="0.2">
      <c r="A6" s="32">
        <v>2100</v>
      </c>
      <c r="B6" t="s">
        <v>796</v>
      </c>
      <c r="C6" s="274">
        <f t="shared" si="0"/>
        <v>1442174.95</v>
      </c>
      <c r="D6" s="20">
        <f>'DOE25'!L203+'DOE25'!L221+'DOE25'!L239-F6-G6-H6</f>
        <v>1441748.18</v>
      </c>
      <c r="E6" s="242"/>
      <c r="F6" s="243"/>
      <c r="G6" s="53">
        <f>'DOE25'!J203+'DOE25'!J221+'DOE25'!J239</f>
        <v>426.77</v>
      </c>
      <c r="H6" s="53">
        <f>'DOE25'!K203+'DOE25'!K221+'DOE25'!K239</f>
        <v>0</v>
      </c>
      <c r="I6" s="255"/>
    </row>
    <row r="7" spans="1:9" x14ac:dyDescent="0.2">
      <c r="A7" s="32">
        <v>2200</v>
      </c>
      <c r="B7" t="s">
        <v>821</v>
      </c>
      <c r="C7" s="274">
        <f t="shared" si="0"/>
        <v>440051.9</v>
      </c>
      <c r="D7" s="20">
        <f>'DOE25'!L204+'DOE25'!L222+'DOE25'!L240-F7-G7-H7</f>
        <v>407307.31</v>
      </c>
      <c r="E7" s="242"/>
      <c r="F7" s="243"/>
      <c r="G7" s="53">
        <f>'DOE25'!J204+'DOE25'!J222+'DOE25'!J240</f>
        <v>32744.59</v>
      </c>
      <c r="H7" s="53">
        <f>'DOE25'!K204+'DOE25'!K222+'DOE25'!K240</f>
        <v>0</v>
      </c>
      <c r="I7" s="255"/>
    </row>
    <row r="8" spans="1:9" x14ac:dyDescent="0.2">
      <c r="A8" s="32">
        <v>2300</v>
      </c>
      <c r="B8" t="s">
        <v>797</v>
      </c>
      <c r="C8" s="274">
        <f t="shared" si="0"/>
        <v>409219.26</v>
      </c>
      <c r="D8" s="242"/>
      <c r="E8" s="20">
        <f>'DOE25'!L205+'DOE25'!L223+'DOE25'!L241-F8-G8-H8-D9-D11</f>
        <v>360519.42000000004</v>
      </c>
      <c r="F8" s="243"/>
      <c r="G8" s="53">
        <f>'DOE25'!J205+'DOE25'!J223+'DOE25'!J241</f>
        <v>25456.93</v>
      </c>
      <c r="H8" s="53">
        <f>'DOE25'!K205+'DOE25'!K223+'DOE25'!K241</f>
        <v>23242.91</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1083183.48</v>
      </c>
      <c r="D12" s="20">
        <f>'DOE25'!L206+'DOE25'!L224+'DOE25'!L242-F12-G12-H12</f>
        <v>1072282.74</v>
      </c>
      <c r="E12" s="242"/>
      <c r="F12" s="243"/>
      <c r="G12" s="53">
        <f>'DOE25'!J206+'DOE25'!J224+'DOE25'!J242</f>
        <v>6127</v>
      </c>
      <c r="H12" s="53">
        <f>'DOE25'!K206+'DOE25'!K224+'DOE25'!K242</f>
        <v>4773.74</v>
      </c>
      <c r="I12" s="255"/>
    </row>
    <row r="13" spans="1:9" x14ac:dyDescent="0.2">
      <c r="A13" s="32">
        <v>2500</v>
      </c>
      <c r="B13" t="s">
        <v>798</v>
      </c>
      <c r="C13" s="274">
        <f t="shared" si="0"/>
        <v>291679.23</v>
      </c>
      <c r="D13" s="242"/>
      <c r="E13" s="20">
        <f>'DOE25'!L207+'DOE25'!L225+'DOE25'!L243-F13-G13-H13</f>
        <v>291679.23</v>
      </c>
      <c r="F13" s="243"/>
      <c r="G13" s="53">
        <f>'DOE25'!J207+'DOE25'!J225+'DOE25'!J243</f>
        <v>0</v>
      </c>
      <c r="H13" s="53">
        <f>'DOE25'!K207+'DOE25'!K225+'DOE25'!K243</f>
        <v>0</v>
      </c>
      <c r="I13" s="255"/>
    </row>
    <row r="14" spans="1:9" x14ac:dyDescent="0.2">
      <c r="A14" s="32">
        <v>2600</v>
      </c>
      <c r="B14" t="s">
        <v>819</v>
      </c>
      <c r="C14" s="274">
        <f t="shared" si="0"/>
        <v>1728455.6400000001</v>
      </c>
      <c r="D14" s="20">
        <f>'DOE25'!L208+'DOE25'!L226+'DOE25'!L244-F14-G14-H14</f>
        <v>1697511.4400000002</v>
      </c>
      <c r="E14" s="242"/>
      <c r="F14" s="243"/>
      <c r="G14" s="53">
        <f>'DOE25'!J208+'DOE25'!J226+'DOE25'!J244</f>
        <v>20529.019999999997</v>
      </c>
      <c r="H14" s="53">
        <f>'DOE25'!K208+'DOE25'!K226+'DOE25'!K244</f>
        <v>10415.18</v>
      </c>
      <c r="I14" s="255"/>
    </row>
    <row r="15" spans="1:9" x14ac:dyDescent="0.2">
      <c r="A15" s="32">
        <v>2700</v>
      </c>
      <c r="B15" t="s">
        <v>799</v>
      </c>
      <c r="C15" s="274">
        <f t="shared" si="0"/>
        <v>1140791.1299999999</v>
      </c>
      <c r="D15" s="20">
        <f>'DOE25'!L209+'DOE25'!L227+'DOE25'!L245-F15-G15-H15</f>
        <v>1140791.1299999999</v>
      </c>
      <c r="E15" s="242"/>
      <c r="F15" s="243"/>
      <c r="G15" s="53">
        <f>'DOE25'!J209+'DOE25'!J227+'DOE25'!J245</f>
        <v>0</v>
      </c>
      <c r="H15" s="53">
        <f>'DOE25'!K209+'DOE25'!K227+'DOE25'!K245</f>
        <v>0</v>
      </c>
      <c r="I15" s="255"/>
    </row>
    <row r="16" spans="1:9" x14ac:dyDescent="0.2">
      <c r="A16" s="32">
        <v>2800</v>
      </c>
      <c r="B16" t="s">
        <v>800</v>
      </c>
      <c r="C16" s="274">
        <f t="shared" si="0"/>
        <v>263792.38999999996</v>
      </c>
      <c r="D16" s="242"/>
      <c r="E16" s="20">
        <f>'DOE25'!L210+'DOE25'!L228+'DOE25'!L246-F16-G16-H16</f>
        <v>263792.38999999996</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9302.14</v>
      </c>
      <c r="D19" s="20">
        <f>'DOE25'!L254-F19-G19-H19</f>
        <v>9302.14</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2001172.12</v>
      </c>
      <c r="D22" s="242"/>
      <c r="E22" s="242"/>
      <c r="F22" s="242"/>
      <c r="G22" s="53">
        <f>'DOE25'!L256+'DOE25'!L337</f>
        <v>2001172.12</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238554.74</v>
      </c>
      <c r="D29" s="282">
        <f>'DOE25'!L359+'DOE25'!L360+'DOE25'!L361-'DOE25'!I368-F29-G29-H29</f>
        <v>219054.74</v>
      </c>
      <c r="E29" s="242"/>
      <c r="F29" s="243"/>
      <c r="G29" s="53">
        <f>'DOE25'!J359+'DOE25'!J360+'DOE25'!J361</f>
        <v>0</v>
      </c>
      <c r="H29" s="53">
        <f>'DOE25'!K359+'DOE25'!K360+'DOE25'!K361</f>
        <v>19500</v>
      </c>
      <c r="I29" s="255"/>
    </row>
    <row r="30" spans="1:9" x14ac:dyDescent="0.2">
      <c r="A30" s="32"/>
      <c r="C30" s="275"/>
      <c r="D30" s="20"/>
      <c r="E30" s="279"/>
      <c r="F30" s="269"/>
      <c r="G30" s="53"/>
      <c r="H30" s="53"/>
      <c r="I30" s="255"/>
    </row>
    <row r="31" spans="1:9" x14ac:dyDescent="0.2">
      <c r="A31" s="32" t="s">
        <v>818</v>
      </c>
      <c r="B31" t="s">
        <v>817</v>
      </c>
      <c r="C31" s="274">
        <f>SUM(D31:I31)</f>
        <v>501528.11000000004</v>
      </c>
      <c r="D31" s="20">
        <f>'DOE25'!L291+'DOE25'!L310+'DOE25'!L329+'DOE25'!L334+'DOE25'!L335+'DOE25'!L336-F31-G31-H31</f>
        <v>429451.25000000006</v>
      </c>
      <c r="E31" s="242"/>
      <c r="F31" s="243"/>
      <c r="G31" s="53">
        <f>'DOE25'!J291+'DOE25'!J310+'DOE25'!J329+'DOE25'!J334+'DOE25'!J335+'DOE25'!J336</f>
        <v>72076.86</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26988009.870000001</v>
      </c>
      <c r="E33" s="244">
        <f t="shared" si="1"/>
        <v>915991.04000000004</v>
      </c>
      <c r="F33" s="244">
        <f t="shared" si="1"/>
        <v>0</v>
      </c>
      <c r="G33" s="244">
        <f t="shared" si="1"/>
        <v>2312149.67</v>
      </c>
      <c r="H33" s="244">
        <f t="shared" si="1"/>
        <v>77824.319999999992</v>
      </c>
      <c r="I33" s="244">
        <f t="shared" si="1"/>
        <v>0</v>
      </c>
    </row>
    <row r="35" spans="1:9" ht="12" thickBot="1" x14ac:dyDescent="0.25">
      <c r="B35" s="250" t="s">
        <v>831</v>
      </c>
      <c r="D35" s="251">
        <f>E33</f>
        <v>915991.04000000004</v>
      </c>
      <c r="E35" s="247"/>
      <c r="F35" s="328" t="s">
        <v>1617</v>
      </c>
      <c r="G35" s="329"/>
      <c r="H35" s="329"/>
      <c r="I35" s="329"/>
    </row>
    <row r="36" spans="1:9" ht="12" thickTop="1" x14ac:dyDescent="0.2">
      <c r="B36" t="s">
        <v>810</v>
      </c>
      <c r="D36" s="20">
        <f>D33</f>
        <v>26988009.870000001</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7" sqref="D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Hampstead</v>
      </c>
      <c r="B2" s="126">
        <f>'DOE25'!B2</f>
        <v>223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10873915.239999998</v>
      </c>
      <c r="G4" s="299">
        <f>'DOE25'!L212+'DOE25'!L291</f>
        <v>10873915.240000002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509463.79</v>
      </c>
      <c r="E5" s="290"/>
      <c r="F5" s="303">
        <f>D5+E5</f>
        <v>509463.79</v>
      </c>
      <c r="G5" s="293"/>
      <c r="H5" s="293"/>
      <c r="I5" s="384"/>
      <c r="N5"/>
    </row>
    <row r="6" spans="1:18" x14ac:dyDescent="0.2">
      <c r="A6" s="126" t="str">
        <f t="array" ref="A6">IFERROR(INDEX('School Tables'!$A$4:$G$325,'School Tables'!$J4,3),"")</f>
        <v>Hampstead Central School</v>
      </c>
      <c r="B6" s="300">
        <f>IFERROR(VLOOKUP(A6,'School Tables'!$C$3:$D$365,2,FALSE),"")</f>
        <v>22755</v>
      </c>
      <c r="C6" s="293" t="str">
        <f>IFERROR(INDEX('School Tables'!$B$3:$B$365,MATCH('School Level Expenditures'!B6,'School Tables'!$D$3:$D$365,0)),"")</f>
        <v>Hampstead</v>
      </c>
      <c r="D6" s="290">
        <v>10074730.5</v>
      </c>
      <c r="E6" s="290">
        <v>289720.95</v>
      </c>
      <c r="F6" s="303">
        <f t="shared" ref="F6:F20" si="0">D6+E6</f>
        <v>10364451.449999999</v>
      </c>
      <c r="G6" s="293"/>
      <c r="H6" s="293"/>
      <c r="I6" s="384"/>
      <c r="N6"/>
    </row>
    <row r="7" spans="1:18" x14ac:dyDescent="0.2">
      <c r="A7" s="126" t="str">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10584194.289999999</v>
      </c>
      <c r="E21" s="338">
        <f>SUM(E5:E20)</f>
        <v>289720.95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9693711.8499999996</v>
      </c>
      <c r="G24" s="299">
        <f>'DOE25'!L230+'DOE25'!L310</f>
        <v>9693711.8499999996</v>
      </c>
      <c r="H24" s="340">
        <f>F24-G24</f>
        <v>0</v>
      </c>
      <c r="I24" s="383" t="str">
        <f>IF(H24=0,"","ISSUES!! Please review page 8 and 12 totals in comparison with total on this page")</f>
        <v/>
      </c>
      <c r="N24"/>
    </row>
    <row r="25" spans="1:14" x14ac:dyDescent="0.2">
      <c r="A25" s="126" t="s">
        <v>1548</v>
      </c>
      <c r="B25" s="300">
        <v>99999</v>
      </c>
      <c r="C25" s="293" t="s">
        <v>1548</v>
      </c>
      <c r="D25" s="290">
        <v>509463.79</v>
      </c>
      <c r="E25" s="290"/>
      <c r="F25" s="303">
        <f>D25+E25</f>
        <v>509463.79</v>
      </c>
      <c r="G25" s="293"/>
      <c r="H25" s="293"/>
      <c r="I25" s="384"/>
      <c r="N25"/>
    </row>
    <row r="26" spans="1:14" x14ac:dyDescent="0.2">
      <c r="A26" s="126" t="str">
        <f t="array" ref="A26">IFERROR(INDEX('School Tables'!$L$4:$R$75,'School Tables'!$U4,3),"")</f>
        <v>Hampstead Middle School</v>
      </c>
      <c r="B26" s="300">
        <f>IFERROR(VLOOKUP(A26,'School Tables'!$N$4:$O$75,2,FALSE),"")</f>
        <v>22750</v>
      </c>
      <c r="C26" s="293" t="str">
        <f>IFERROR(INDEX('School Tables'!$M$4:$M$75,MATCH('School Level Expenditures'!A26,'School Tables'!$N$4:$N$75,0)),"")</f>
        <v>Hampstead</v>
      </c>
      <c r="D26" s="290">
        <v>8972699.9000000004</v>
      </c>
      <c r="E26" s="290">
        <v>211548.16</v>
      </c>
      <c r="F26" s="303">
        <f t="shared" ref="F26:F32" si="1">D26+E26</f>
        <v>9184248.0600000005</v>
      </c>
      <c r="G26" s="293"/>
      <c r="H26" s="293"/>
      <c r="I26" s="384"/>
      <c r="N26"/>
    </row>
    <row r="27" spans="1:14" x14ac:dyDescent="0.2">
      <c r="A27" s="126" t="str">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9482163.6899999995</v>
      </c>
      <c r="E33" s="338">
        <f>SUM(E25:E32)</f>
        <v>211548.16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7477059.8099999996</v>
      </c>
      <c r="G36" s="299">
        <f>'DOE25'!L248+'DOE25'!L329</f>
        <v>7477059.8100000005</v>
      </c>
      <c r="H36" s="340">
        <f>F36-G36</f>
        <v>0</v>
      </c>
      <c r="I36" s="383" t="str">
        <f>IF(H36=0,"","ISSUES!! Please review page 9 and 13 totals in comparison with total on this page")</f>
        <v/>
      </c>
      <c r="N36"/>
    </row>
    <row r="37" spans="1:14" x14ac:dyDescent="0.2">
      <c r="A37" s="126" t="s">
        <v>1548</v>
      </c>
      <c r="B37" s="300">
        <v>99999</v>
      </c>
      <c r="C37" s="293" t="s">
        <v>1548</v>
      </c>
      <c r="D37" s="290">
        <v>7477059.8099999996</v>
      </c>
      <c r="E37" s="290"/>
      <c r="F37" s="303">
        <f t="shared" ref="F37:F42" si="2">D37+E37</f>
        <v>7477059.8099999996</v>
      </c>
      <c r="G37" s="293"/>
      <c r="H37" s="293"/>
      <c r="I37" s="384"/>
      <c r="N37"/>
    </row>
    <row r="38" spans="1:14" x14ac:dyDescent="0.2">
      <c r="A38" s="126" t="str">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7477059.8099999996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2" priority="19" operator="equal">
      <formula>0</formula>
    </cfRule>
    <cfRule type="cellIs" dxfId="11" priority="20" operator="notEqual">
      <formula>0</formula>
    </cfRule>
  </conditionalFormatting>
  <conditionalFormatting sqref="H24">
    <cfRule type="cellIs" dxfId="10" priority="5" operator="equal">
      <formula>0</formula>
    </cfRule>
    <cfRule type="cellIs" dxfId="9" priority="6" operator="notEqual">
      <formula>0</formula>
    </cfRule>
  </conditionalFormatting>
  <conditionalFormatting sqref="H36">
    <cfRule type="cellIs" dxfId="8" priority="1" operator="equal">
      <formula>0</formula>
    </cfRule>
    <cfRule type="cellIs" dxfId="7"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Hampstead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2862269.11</v>
      </c>
      <c r="D8" s="95">
        <f>'DOE25'!G9</f>
        <v>327505.09000000003</v>
      </c>
      <c r="E8" s="95">
        <f>'DOE25'!H9</f>
        <v>0</v>
      </c>
      <c r="F8" s="95">
        <f>'DOE25'!I9</f>
        <v>0</v>
      </c>
      <c r="G8" s="95">
        <f>'DOE25'!J9</f>
        <v>0</v>
      </c>
      <c r="H8" s="124">
        <f>SUM(C8:G8)</f>
        <v>3189774.1999999997</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780136.28</v>
      </c>
      <c r="D11" s="95">
        <f>'DOE25'!G12</f>
        <v>0</v>
      </c>
      <c r="E11" s="95">
        <f>'DOE25'!H12</f>
        <v>0</v>
      </c>
      <c r="F11" s="95">
        <f>'DOE25'!I12</f>
        <v>0</v>
      </c>
      <c r="G11" s="95">
        <f>'DOE25'!J12</f>
        <v>0</v>
      </c>
      <c r="H11" s="124">
        <f t="shared" si="0"/>
        <v>780136.28</v>
      </c>
      <c r="I11" s="124"/>
    </row>
    <row r="12" spans="1:9" x14ac:dyDescent="0.2">
      <c r="A12" s="1" t="s">
        <v>143</v>
      </c>
      <c r="B12" s="6">
        <v>140</v>
      </c>
      <c r="C12" s="95">
        <f>'DOE25'!F13</f>
        <v>20977.4</v>
      </c>
      <c r="D12" s="95">
        <f>'DOE25'!G13</f>
        <v>99534.93</v>
      </c>
      <c r="E12" s="95">
        <f>'DOE25'!H13</f>
        <v>586848.93000000005</v>
      </c>
      <c r="F12" s="95">
        <f>'DOE25'!I13</f>
        <v>0</v>
      </c>
      <c r="G12" s="95">
        <f>'DOE25'!J13</f>
        <v>208308.51</v>
      </c>
      <c r="H12" s="124">
        <f t="shared" si="0"/>
        <v>915669.77</v>
      </c>
      <c r="I12" s="124"/>
    </row>
    <row r="13" spans="1:9" x14ac:dyDescent="0.2">
      <c r="A13" s="1" t="s">
        <v>144</v>
      </c>
      <c r="B13" s="6">
        <v>150</v>
      </c>
      <c r="C13" s="95">
        <f>'DOE25'!F14</f>
        <v>2000</v>
      </c>
      <c r="D13" s="95">
        <f>'DOE25'!G14</f>
        <v>0</v>
      </c>
      <c r="E13" s="95">
        <f>'DOE25'!H14</f>
        <v>0</v>
      </c>
      <c r="F13" s="95">
        <f>'DOE25'!I14</f>
        <v>0</v>
      </c>
      <c r="G13" s="95">
        <f>'DOE25'!J14</f>
        <v>0</v>
      </c>
      <c r="H13" s="124">
        <f t="shared" si="0"/>
        <v>2000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19812.28</v>
      </c>
      <c r="E15" s="95">
        <f>'DOE25'!H16</f>
        <v>0</v>
      </c>
      <c r="F15" s="95">
        <f>'DOE25'!I16</f>
        <v>0</v>
      </c>
      <c r="G15" s="24" t="s">
        <v>288</v>
      </c>
      <c r="H15" s="124">
        <f t="shared" si="0"/>
        <v>19812.28</v>
      </c>
      <c r="I15" s="124"/>
    </row>
    <row r="16" spans="1:9" x14ac:dyDescent="0.2">
      <c r="A16" s="1" t="s">
        <v>147</v>
      </c>
      <c r="B16" s="6">
        <v>180</v>
      </c>
      <c r="C16" s="95">
        <f>'DOE25'!F17</f>
        <v>2100</v>
      </c>
      <c r="D16" s="95">
        <f>'DOE25'!G17</f>
        <v>0</v>
      </c>
      <c r="E16" s="95">
        <f>'DOE25'!H17</f>
        <v>0</v>
      </c>
      <c r="F16" s="95">
        <f>'DOE25'!I17</f>
        <v>0</v>
      </c>
      <c r="G16" s="95">
        <f>'DOE25'!J17</f>
        <v>0</v>
      </c>
      <c r="H16" s="124">
        <f t="shared" si="0"/>
        <v>2100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3667482.7899999996</v>
      </c>
      <c r="D18" s="41">
        <f>SUM(D8:D17)</f>
        <v>446852.30000000005</v>
      </c>
      <c r="E18" s="41">
        <f>SUM(E8:E17)</f>
        <v>586848.93000000005</v>
      </c>
      <c r="F18" s="41">
        <f>SUM(F8:F17)</f>
        <v>0</v>
      </c>
      <c r="G18" s="41">
        <f>SUM(G8:G17)</f>
        <v>208308.51</v>
      </c>
      <c r="H18" s="41">
        <f t="shared" si="0"/>
        <v>4909492.5299999993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211645.4</v>
      </c>
      <c r="E21" s="95">
        <f>'DOE25'!H22</f>
        <v>568490.88</v>
      </c>
      <c r="F21" s="95">
        <f>'DOE25'!I22</f>
        <v>0</v>
      </c>
      <c r="G21" s="95">
        <f>'DOE25'!J22</f>
        <v>0</v>
      </c>
      <c r="H21" s="124">
        <f t="shared" ref="H21:H31" si="1">SUM(C21:G21)</f>
        <v>780136.28</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122104.07</v>
      </c>
      <c r="D23" s="95">
        <f>'DOE25'!G24</f>
        <v>67677.8</v>
      </c>
      <c r="E23" s="95">
        <f>'DOE25'!H24</f>
        <v>0</v>
      </c>
      <c r="F23" s="95">
        <f>'DOE25'!I24</f>
        <v>0</v>
      </c>
      <c r="G23" s="95">
        <f>'DOE25'!J24</f>
        <v>0</v>
      </c>
      <c r="H23" s="124">
        <f t="shared" si="1"/>
        <v>189781.87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15227.59</v>
      </c>
      <c r="D27" s="95">
        <f>'DOE25'!G28</f>
        <v>0</v>
      </c>
      <c r="E27" s="95">
        <f>'DOE25'!H28</f>
        <v>0</v>
      </c>
      <c r="F27" s="95">
        <f>'DOE25'!I28</f>
        <v>0</v>
      </c>
      <c r="G27" s="24" t="s">
        <v>288</v>
      </c>
      <c r="H27" s="124">
        <f t="shared" si="1"/>
        <v>15227.59</v>
      </c>
      <c r="I27" s="124"/>
    </row>
    <row r="28" spans="1:9" x14ac:dyDescent="0.2">
      <c r="A28" s="1" t="s">
        <v>157</v>
      </c>
      <c r="B28" s="6">
        <v>470</v>
      </c>
      <c r="C28" s="95">
        <f>'DOE25'!F29</f>
        <v>59978.78</v>
      </c>
      <c r="D28" s="95">
        <f>'DOE25'!G29</f>
        <v>0</v>
      </c>
      <c r="E28" s="95">
        <f>'DOE25'!H29</f>
        <v>0</v>
      </c>
      <c r="F28" s="95">
        <f>'DOE25'!I29</f>
        <v>0</v>
      </c>
      <c r="G28" s="24" t="s">
        <v>288</v>
      </c>
      <c r="H28" s="124">
        <f t="shared" si="1"/>
        <v>59978.78</v>
      </c>
      <c r="I28" s="124"/>
    </row>
    <row r="29" spans="1:9" x14ac:dyDescent="0.2">
      <c r="A29" s="1" t="s">
        <v>158</v>
      </c>
      <c r="B29" s="6">
        <v>480</v>
      </c>
      <c r="C29" s="95">
        <f>'DOE25'!F30</f>
        <v>0</v>
      </c>
      <c r="D29" s="95">
        <f>'DOE25'!G30</f>
        <v>30351.46</v>
      </c>
      <c r="E29" s="95">
        <f>'DOE25'!H30</f>
        <v>18358.050000000003</v>
      </c>
      <c r="F29" s="95">
        <f>'DOE25'!I30</f>
        <v>0</v>
      </c>
      <c r="G29" s="24" t="s">
        <v>288</v>
      </c>
      <c r="H29" s="124">
        <f t="shared" si="1"/>
        <v>48709.51</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197310.44</v>
      </c>
      <c r="D31" s="41">
        <f>SUM(D21:D30)</f>
        <v>309674.66000000003</v>
      </c>
      <c r="E31" s="41">
        <f>SUM(E21:E30)</f>
        <v>586848.93000000005</v>
      </c>
      <c r="F31" s="41">
        <f>SUM(F21:F30)</f>
        <v>0</v>
      </c>
      <c r="G31" s="41">
        <f>SUM(G21:G30)</f>
        <v>0</v>
      </c>
      <c r="H31" s="41">
        <f t="shared" si="1"/>
        <v>1093834.03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99652.82</v>
      </c>
      <c r="D34" s="95">
        <f>'DOE25'!G35</f>
        <v>19812.28</v>
      </c>
      <c r="E34" s="95">
        <f>'DOE25'!H35</f>
        <v>0</v>
      </c>
      <c r="F34" s="95">
        <f>'DOE25'!I35</f>
        <v>0</v>
      </c>
      <c r="G34" s="24" t="s">
        <v>288</v>
      </c>
      <c r="H34" s="124">
        <f t="shared" ref="H34:H51" si="2">SUM(C34:G34)</f>
        <v>119465.1</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500000</v>
      </c>
      <c r="D43" s="95">
        <f>'DOE25'!G44</f>
        <v>0</v>
      </c>
      <c r="E43" s="95">
        <f>'DOE25'!H44</f>
        <v>0</v>
      </c>
      <c r="F43" s="95">
        <f>'DOE25'!I44</f>
        <v>0</v>
      </c>
      <c r="G43" s="24" t="s">
        <v>288</v>
      </c>
      <c r="H43" s="124">
        <f t="shared" si="2"/>
        <v>500000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636993</v>
      </c>
      <c r="D45" s="24" t="s">
        <v>288</v>
      </c>
      <c r="E45" s="24" t="s">
        <v>288</v>
      </c>
      <c r="F45" s="24" t="s">
        <v>288</v>
      </c>
      <c r="G45" s="24" t="s">
        <v>288</v>
      </c>
      <c r="H45" s="124">
        <f t="shared" si="2"/>
        <v>636993</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117365.35999999999</v>
      </c>
      <c r="E47" s="95">
        <f>'DOE25'!H48</f>
        <v>0</v>
      </c>
      <c r="F47" s="95">
        <f>'DOE25'!I48</f>
        <v>0</v>
      </c>
      <c r="G47" s="95">
        <f>'DOE25'!J48</f>
        <v>208308.51</v>
      </c>
      <c r="H47" s="124">
        <f t="shared" si="2"/>
        <v>325673.87</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2233526.5299999998</v>
      </c>
      <c r="D49" s="24" t="s">
        <v>288</v>
      </c>
      <c r="E49" s="24" t="s">
        <v>288</v>
      </c>
      <c r="F49" s="24" t="s">
        <v>288</v>
      </c>
      <c r="G49" s="24" t="s">
        <v>288</v>
      </c>
      <c r="H49" s="124">
        <f t="shared" si="2"/>
        <v>2233526.5299999998</v>
      </c>
      <c r="I49" s="124"/>
    </row>
    <row r="50" spans="1:9" ht="12.75" thickTop="1" thickBot="1" x14ac:dyDescent="0.25">
      <c r="A50" s="38" t="s">
        <v>884</v>
      </c>
      <c r="B50" s="48"/>
      <c r="C50" s="41">
        <f>SUM(C34:C49)</f>
        <v>3470172.3499999996</v>
      </c>
      <c r="D50" s="41">
        <f>SUM(D34:D49)</f>
        <v>137177.63999999998</v>
      </c>
      <c r="E50" s="41">
        <f>SUM(E34:E49)</f>
        <v>0</v>
      </c>
      <c r="F50" s="41">
        <f>SUM(F34:F49)</f>
        <v>0</v>
      </c>
      <c r="G50" s="41">
        <f>SUM(G34:G49)</f>
        <v>208308.51</v>
      </c>
      <c r="H50" s="41">
        <f t="shared" si="2"/>
        <v>3815658.5</v>
      </c>
      <c r="I50" s="124"/>
    </row>
    <row r="51" spans="1:9" ht="12" thickTop="1" x14ac:dyDescent="0.2">
      <c r="A51" s="38" t="s">
        <v>885</v>
      </c>
      <c r="B51" s="2"/>
      <c r="C51" s="41">
        <f>C50+C31</f>
        <v>3667482.7899999996</v>
      </c>
      <c r="D51" s="41">
        <f>D50+D31</f>
        <v>446852.30000000005</v>
      </c>
      <c r="E51" s="41">
        <f>E50+E31</f>
        <v>586848.93000000005</v>
      </c>
      <c r="F51" s="41">
        <f>F50+F31</f>
        <v>0</v>
      </c>
      <c r="G51" s="41">
        <f>G50+G31</f>
        <v>208308.51</v>
      </c>
      <c r="H51" s="41">
        <f t="shared" si="2"/>
        <v>4909492.5299999993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22967178</v>
      </c>
      <c r="D56" s="95">
        <f>'DOE25'!G60</f>
        <v>0</v>
      </c>
      <c r="E56" s="95">
        <f>'DOE25'!H60</f>
        <v>0</v>
      </c>
      <c r="F56" s="95">
        <f>'DOE25'!I60</f>
        <v>0</v>
      </c>
      <c r="G56" s="95">
        <f>'DOE25'!J60</f>
        <v>0</v>
      </c>
      <c r="H56" s="124">
        <f t="shared" ref="H56:H63" si="3">SUM(C56:G56)</f>
        <v>22967178</v>
      </c>
      <c r="I56"/>
    </row>
    <row r="57" spans="1:9" x14ac:dyDescent="0.2">
      <c r="A57" s="1" t="s">
        <v>164</v>
      </c>
      <c r="B57" s="6" t="s">
        <v>165</v>
      </c>
      <c r="C57" s="95">
        <f>'DOE25'!F79</f>
        <v>205558</v>
      </c>
      <c r="D57" s="24" t="s">
        <v>288</v>
      </c>
      <c r="E57" s="95">
        <f>'DOE25'!H79</f>
        <v>0</v>
      </c>
      <c r="F57" s="24" t="s">
        <v>288</v>
      </c>
      <c r="G57" s="24" t="s">
        <v>288</v>
      </c>
      <c r="H57" s="124">
        <f t="shared" si="3"/>
        <v>205558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1446.52</v>
      </c>
      <c r="D59" s="95">
        <f>'DOE25'!G96</f>
        <v>0</v>
      </c>
      <c r="E59" s="95">
        <f>'DOE25'!H96</f>
        <v>0</v>
      </c>
      <c r="F59" s="95">
        <f>'DOE25'!I96</f>
        <v>0</v>
      </c>
      <c r="G59" s="95">
        <f>'DOE25'!J96</f>
        <v>893.54</v>
      </c>
      <c r="H59" s="124">
        <f t="shared" si="3"/>
        <v>2340.06</v>
      </c>
      <c r="I59"/>
    </row>
    <row r="60" spans="1:9" x14ac:dyDescent="0.2">
      <c r="A60" s="1" t="s">
        <v>170</v>
      </c>
      <c r="B60" s="118" t="s">
        <v>171</v>
      </c>
      <c r="C60" s="24" t="s">
        <v>288</v>
      </c>
      <c r="D60" s="95">
        <f>'DOE25'!G97</f>
        <v>36348.720000000001</v>
      </c>
      <c r="E60" s="24" t="s">
        <v>288</v>
      </c>
      <c r="F60" s="24" t="s">
        <v>288</v>
      </c>
      <c r="G60" s="24" t="s">
        <v>288</v>
      </c>
      <c r="H60" s="124">
        <f t="shared" si="3"/>
        <v>36348.720000000001</v>
      </c>
      <c r="I60"/>
    </row>
    <row r="61" spans="1:9" ht="12" thickBot="1" x14ac:dyDescent="0.25">
      <c r="A61" s="1" t="s">
        <v>172</v>
      </c>
      <c r="B61" s="118" t="s">
        <v>173</v>
      </c>
      <c r="C61" s="95">
        <f>SUM('DOE25'!F98:F110)</f>
        <v>428099.69000000006</v>
      </c>
      <c r="D61" s="95">
        <f>SUM('DOE25'!G98:G110)</f>
        <v>0</v>
      </c>
      <c r="E61" s="95">
        <f>SUM('DOE25'!H98:H110)</f>
        <v>3896.84</v>
      </c>
      <c r="F61" s="95">
        <f>SUM('DOE25'!I98:I110)</f>
        <v>0</v>
      </c>
      <c r="G61" s="95">
        <f>SUM('DOE25'!J98:J110)</f>
        <v>250</v>
      </c>
      <c r="H61" s="124">
        <f t="shared" si="3"/>
        <v>432246.53000000009</v>
      </c>
      <c r="I61"/>
    </row>
    <row r="62" spans="1:9" ht="12.75" thickTop="1" thickBot="1" x14ac:dyDescent="0.25">
      <c r="A62" s="29" t="s">
        <v>174</v>
      </c>
      <c r="B62" s="6"/>
      <c r="C62" s="130">
        <f>SUM(C57:C61)</f>
        <v>635104.21000000008</v>
      </c>
      <c r="D62" s="130">
        <f>SUM(D57:D61)</f>
        <v>36348.720000000001</v>
      </c>
      <c r="E62" s="130">
        <f>SUM(E57:E61)</f>
        <v>3896.84</v>
      </c>
      <c r="F62" s="130">
        <f>SUM(F57:F61)</f>
        <v>0</v>
      </c>
      <c r="G62" s="130">
        <f>SUM(G57:G61)</f>
        <v>1143.54</v>
      </c>
      <c r="H62" s="124">
        <f t="shared" si="3"/>
        <v>676493.31</v>
      </c>
      <c r="I62"/>
    </row>
    <row r="63" spans="1:9" ht="12" thickTop="1" x14ac:dyDescent="0.2">
      <c r="A63" s="29" t="s">
        <v>175</v>
      </c>
      <c r="B63" s="6"/>
      <c r="C63" s="22">
        <f>C56+C62</f>
        <v>23602282.210000001</v>
      </c>
      <c r="D63" s="22">
        <f>D56+D62</f>
        <v>36348.720000000001</v>
      </c>
      <c r="E63" s="22">
        <f>E56+E62</f>
        <v>3896.84</v>
      </c>
      <c r="F63" s="22">
        <f>F56+F62</f>
        <v>0</v>
      </c>
      <c r="G63" s="22">
        <f>G56+G62</f>
        <v>1143.54</v>
      </c>
      <c r="H63" s="124">
        <f t="shared" si="3"/>
        <v>23643671.309999999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2845579.06</v>
      </c>
      <c r="D66" s="24" t="s">
        <v>288</v>
      </c>
      <c r="E66" s="24" t="s">
        <v>288</v>
      </c>
      <c r="F66" s="24" t="s">
        <v>288</v>
      </c>
      <c r="G66" s="24" t="s">
        <v>288</v>
      </c>
      <c r="H66" s="124">
        <f t="shared" ref="H66:H81" si="4">SUM(C66:G66)</f>
        <v>2845579.06</v>
      </c>
      <c r="I66"/>
    </row>
    <row r="67" spans="1:9" x14ac:dyDescent="0.2">
      <c r="A67" s="1" t="s">
        <v>770</v>
      </c>
      <c r="B67" s="6">
        <v>3112</v>
      </c>
      <c r="C67" s="95">
        <f>'DOE25'!F118</f>
        <v>2512545</v>
      </c>
      <c r="D67" s="24"/>
      <c r="E67" s="24"/>
      <c r="F67" s="24"/>
      <c r="G67" s="24"/>
      <c r="H67" s="124">
        <f t="shared" si="4"/>
        <v>2512545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1104.1500000000001</v>
      </c>
      <c r="D69" s="95">
        <f>'DOE25'!G120</f>
        <v>0</v>
      </c>
      <c r="E69" s="95">
        <f>'DOE25'!H120</f>
        <v>0</v>
      </c>
      <c r="F69" s="95">
        <f>'DOE25'!I120</f>
        <v>0</v>
      </c>
      <c r="G69" s="95">
        <f>'DOE25'!J120</f>
        <v>0</v>
      </c>
      <c r="H69" s="124">
        <f t="shared" si="4"/>
        <v>1104.1500000000001</v>
      </c>
      <c r="I69"/>
    </row>
    <row r="70" spans="1:9" ht="12" thickTop="1" x14ac:dyDescent="0.2">
      <c r="A70" s="29" t="s">
        <v>252</v>
      </c>
      <c r="B70" s="2"/>
      <c r="C70" s="139">
        <f>SUM(C66:C69)</f>
        <v>5359228.2100000009</v>
      </c>
      <c r="D70" s="139">
        <f>D69</f>
        <v>0</v>
      </c>
      <c r="E70" s="139">
        <f>E69</f>
        <v>0</v>
      </c>
      <c r="F70" s="139">
        <f>F69</f>
        <v>0</v>
      </c>
      <c r="G70" s="139">
        <f>G69</f>
        <v>0</v>
      </c>
      <c r="H70" s="124">
        <f t="shared" si="4"/>
        <v>5359228.2100000009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779313.34</v>
      </c>
      <c r="D75" s="24" t="s">
        <v>288</v>
      </c>
      <c r="E75" s="24" t="s">
        <v>288</v>
      </c>
      <c r="F75" s="24" t="s">
        <v>288</v>
      </c>
      <c r="G75" s="24" t="s">
        <v>288</v>
      </c>
      <c r="H75" s="124">
        <f t="shared" si="4"/>
        <v>779313.34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13895.21</v>
      </c>
      <c r="E77" s="95">
        <f>SUM('DOE25'!H131:H135)</f>
        <v>0.47</v>
      </c>
      <c r="F77" s="95">
        <f>SUM('DOE25'!I131:I135)</f>
        <v>0</v>
      </c>
      <c r="G77" s="95">
        <f>SUM('DOE25'!J131:J135)</f>
        <v>0</v>
      </c>
      <c r="H77" s="124">
        <f t="shared" si="4"/>
        <v>13895.679999999998</v>
      </c>
      <c r="I77"/>
    </row>
    <row r="78" spans="1:9" ht="12.75" thickTop="1" thickBot="1" x14ac:dyDescent="0.25">
      <c r="A78" s="29" t="s">
        <v>259</v>
      </c>
      <c r="B78" s="6"/>
      <c r="C78" s="130">
        <f>SUM(C72:C77)</f>
        <v>779313.34</v>
      </c>
      <c r="D78" s="130">
        <f>SUM(D72:D77)</f>
        <v>13895.21</v>
      </c>
      <c r="E78" s="130">
        <f>SUM(E72:E77)</f>
        <v>0.47</v>
      </c>
      <c r="F78" s="130">
        <f>SUM(F72:F77)</f>
        <v>0</v>
      </c>
      <c r="G78" s="130">
        <f>SUM(G72:G77)</f>
        <v>0</v>
      </c>
      <c r="H78" s="124">
        <f t="shared" si="4"/>
        <v>793209.0199999999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6138541.5500000007</v>
      </c>
      <c r="D81" s="130">
        <f>SUM(D79:D80)+D78+D70</f>
        <v>13895.21</v>
      </c>
      <c r="E81" s="130">
        <f>SUM(E79:E80)+E78+E70</f>
        <v>0.47</v>
      </c>
      <c r="F81" s="130">
        <f>SUM(F79:F80)+F78+F70</f>
        <v>0</v>
      </c>
      <c r="G81" s="130">
        <f>SUM(G79:G80)+G78+G70</f>
        <v>0</v>
      </c>
      <c r="H81" s="130">
        <f t="shared" si="4"/>
        <v>6152437.2300000004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1923.28</v>
      </c>
      <c r="D85" s="95">
        <f>'DOE25'!G147</f>
        <v>0</v>
      </c>
      <c r="E85" s="95">
        <f>'DOE25'!H147</f>
        <v>0</v>
      </c>
      <c r="F85" s="95">
        <f>'DOE25'!I147</f>
        <v>0</v>
      </c>
      <c r="G85" s="24" t="s">
        <v>288</v>
      </c>
      <c r="H85" s="124">
        <f t="shared" ref="H85:H104" si="5">SUM(C85:G85)</f>
        <v>1923.28</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17579.419999999998</v>
      </c>
      <c r="D88" s="326">
        <f>SUM('DOE25'!G153:G162)</f>
        <v>460388</v>
      </c>
      <c r="E88" s="326">
        <f>SUM('DOE25'!H153:H162)</f>
        <v>497631.26999999996</v>
      </c>
      <c r="F88" s="326">
        <f>SUM('DOE25'!I153:I162)</f>
        <v>0</v>
      </c>
      <c r="G88" s="24" t="s">
        <v>288</v>
      </c>
      <c r="H88" s="124">
        <f t="shared" si="5"/>
        <v>975598.69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19502.699999999997</v>
      </c>
      <c r="D91" s="131">
        <f>SUM(D85:D90)</f>
        <v>460388</v>
      </c>
      <c r="E91" s="131">
        <f>SUM(E85:E90)</f>
        <v>497631.26999999996</v>
      </c>
      <c r="F91" s="131">
        <f>SUM(F85:F90)</f>
        <v>0</v>
      </c>
      <c r="G91" s="24" t="s">
        <v>288</v>
      </c>
      <c r="H91" s="124">
        <f t="shared" si="5"/>
        <v>977521.97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1160000</v>
      </c>
      <c r="D99" s="95">
        <f>'DOE25'!G186</f>
        <v>0</v>
      </c>
      <c r="E99" s="95">
        <f>'DOE25'!H186</f>
        <v>0</v>
      </c>
      <c r="F99" s="95">
        <f>'DOE25'!I186</f>
        <v>0</v>
      </c>
      <c r="G99" s="24" t="s">
        <v>288</v>
      </c>
      <c r="H99" s="124">
        <f t="shared" si="5"/>
        <v>1160000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1160000</v>
      </c>
      <c r="D103" s="86">
        <f>SUM(D93:D102)</f>
        <v>0</v>
      </c>
      <c r="E103" s="86">
        <f>SUM(E93:E102)</f>
        <v>0</v>
      </c>
      <c r="F103" s="86">
        <f>SUM(F93:F102)</f>
        <v>0</v>
      </c>
      <c r="G103" s="86">
        <f>SUM(G93:G102)</f>
        <v>0</v>
      </c>
      <c r="H103" s="86">
        <f t="shared" si="5"/>
        <v>1160000</v>
      </c>
    </row>
    <row r="104" spans="1:8" ht="12.75" thickTop="1" thickBot="1" x14ac:dyDescent="0.25">
      <c r="A104" s="33" t="s">
        <v>761</v>
      </c>
      <c r="C104" s="86">
        <f>C63+C81+C91+C103</f>
        <v>30920326.460000001</v>
      </c>
      <c r="D104" s="86">
        <f>D63+D81+D91+D103</f>
        <v>510631.93</v>
      </c>
      <c r="E104" s="86">
        <f>E63+E81+E91+E103</f>
        <v>501528.57999999996</v>
      </c>
      <c r="F104" s="86">
        <f>F63+F81+F91+F103</f>
        <v>0</v>
      </c>
      <c r="G104" s="86">
        <f>G63+G81+G103</f>
        <v>1143.54</v>
      </c>
      <c r="H104" s="86">
        <f t="shared" si="5"/>
        <v>31933630.509999998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13834726.300000001</v>
      </c>
      <c r="D109" s="24" t="s">
        <v>288</v>
      </c>
      <c r="E109" s="95">
        <f>('DOE25'!L277)+('DOE25'!L296)+('DOE25'!L315)</f>
        <v>137282.59</v>
      </c>
      <c r="F109" s="24" t="s">
        <v>288</v>
      </c>
      <c r="G109" s="24" t="s">
        <v>288</v>
      </c>
      <c r="H109" s="124">
        <f t="shared" ref="H109:H115" si="6">SUM(C109:G109)</f>
        <v>13972008.890000001</v>
      </c>
    </row>
    <row r="110" spans="1:8" x14ac:dyDescent="0.2">
      <c r="A110" t="s">
        <v>198</v>
      </c>
      <c r="B110" s="32" t="s">
        <v>199</v>
      </c>
      <c r="C110" s="95">
        <f>('DOE25'!L199)+('DOE25'!L217)+('DOE25'!L235)</f>
        <v>6824360.2799999993</v>
      </c>
      <c r="D110" s="24" t="s">
        <v>288</v>
      </c>
      <c r="E110" s="95">
        <f>('DOE25'!L278)+('DOE25'!L297)+('DOE25'!L316)</f>
        <v>106786.43</v>
      </c>
      <c r="F110" s="24" t="s">
        <v>288</v>
      </c>
      <c r="G110" s="24" t="s">
        <v>288</v>
      </c>
      <c r="H110" s="124">
        <f t="shared" si="6"/>
        <v>6931146.709999999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84983.23000000001</v>
      </c>
      <c r="D112" s="24" t="s">
        <v>288</v>
      </c>
      <c r="E112" s="95">
        <f>+('DOE25'!L280)+('DOE25'!L299)+('DOE25'!L318)</f>
        <v>0</v>
      </c>
      <c r="F112" s="24" t="s">
        <v>288</v>
      </c>
      <c r="G112" s="24" t="s">
        <v>288</v>
      </c>
      <c r="H112" s="124">
        <f t="shared" si="6"/>
        <v>84983.23000000001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9302.14</v>
      </c>
      <c r="D114" s="24" t="s">
        <v>288</v>
      </c>
      <c r="E114" s="95">
        <f>+ SUM('DOE25'!L334:L336)</f>
        <v>259</v>
      </c>
      <c r="F114" s="24" t="s">
        <v>288</v>
      </c>
      <c r="G114" s="24" t="s">
        <v>288</v>
      </c>
      <c r="H114" s="124">
        <f t="shared" si="6"/>
        <v>9561.14</v>
      </c>
    </row>
    <row r="115" spans="1:8" ht="12.75" thickTop="1" thickBot="1" x14ac:dyDescent="0.25">
      <c r="A115" s="33" t="s">
        <v>205</v>
      </c>
      <c r="C115" s="86">
        <f>SUM(C109:C114)</f>
        <v>20753371.949999999</v>
      </c>
      <c r="D115" s="86">
        <f>SUM(D109:D114)</f>
        <v>0</v>
      </c>
      <c r="E115" s="86">
        <f>SUM(E109:E114)</f>
        <v>244328.02</v>
      </c>
      <c r="F115" s="86">
        <f>SUM(F109:F114)</f>
        <v>0</v>
      </c>
      <c r="G115" s="86">
        <f>SUM(G109:G114)</f>
        <v>0</v>
      </c>
      <c r="H115" s="86">
        <f t="shared" si="6"/>
        <v>20997699.969999999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1442174.95</v>
      </c>
      <c r="D118" s="24" t="s">
        <v>288</v>
      </c>
      <c r="E118" s="95">
        <f>+('DOE25'!L282)+('DOE25'!L301)+('DOE25'!L320)</f>
        <v>98994.68</v>
      </c>
      <c r="F118" s="24" t="s">
        <v>288</v>
      </c>
      <c r="G118" s="24" t="s">
        <v>288</v>
      </c>
      <c r="H118" s="124">
        <f t="shared" ref="H118:H145" si="7">SUM(C118:G118)</f>
        <v>1541169.63</v>
      </c>
    </row>
    <row r="119" spans="1:8" x14ac:dyDescent="0.2">
      <c r="A119" t="s">
        <v>208</v>
      </c>
      <c r="B119" s="32" t="s">
        <v>209</v>
      </c>
      <c r="C119" s="95">
        <f>('DOE25'!L204)+('DOE25'!L222)+('DOE25'!L240)</f>
        <v>440051.9</v>
      </c>
      <c r="D119" s="24" t="s">
        <v>288</v>
      </c>
      <c r="E119" s="95">
        <f>+('DOE25'!L283)+('DOE25'!L302)+('DOE25'!L321)</f>
        <v>69698</v>
      </c>
      <c r="F119" s="24" t="s">
        <v>288</v>
      </c>
      <c r="G119" s="24" t="s">
        <v>288</v>
      </c>
      <c r="H119" s="124">
        <f t="shared" si="7"/>
        <v>509749.9</v>
      </c>
    </row>
    <row r="120" spans="1:8" x14ac:dyDescent="0.2">
      <c r="A120" t="s">
        <v>210</v>
      </c>
      <c r="B120" s="32" t="s">
        <v>211</v>
      </c>
      <c r="C120" s="95">
        <f>('DOE25'!L205)+('DOE25'!L223)+('DOE25'!L241)</f>
        <v>409219.26</v>
      </c>
      <c r="D120" s="24" t="s">
        <v>288</v>
      </c>
      <c r="E120" s="95">
        <f>+('DOE25'!L284)+('DOE25'!L303)+('DOE25'!L322)</f>
        <v>280.03999999999996</v>
      </c>
      <c r="F120" s="24" t="s">
        <v>288</v>
      </c>
      <c r="G120" s="24" t="s">
        <v>288</v>
      </c>
      <c r="H120" s="124">
        <f t="shared" si="7"/>
        <v>409499.3</v>
      </c>
    </row>
    <row r="121" spans="1:8" x14ac:dyDescent="0.2">
      <c r="A121" t="s">
        <v>212</v>
      </c>
      <c r="B121" s="32" t="s">
        <v>213</v>
      </c>
      <c r="C121" s="95">
        <f>('DOE25'!L206)+('DOE25'!L224)+('DOE25'!L242)</f>
        <v>1083183.48</v>
      </c>
      <c r="D121" s="24" t="s">
        <v>288</v>
      </c>
      <c r="E121" s="95">
        <f>+('DOE25'!L285)+('DOE25'!L304)+('DOE25'!L323)</f>
        <v>0</v>
      </c>
      <c r="F121" s="24" t="s">
        <v>288</v>
      </c>
      <c r="G121" s="24" t="s">
        <v>288</v>
      </c>
      <c r="H121" s="124">
        <f t="shared" si="7"/>
        <v>1083183.48</v>
      </c>
    </row>
    <row r="122" spans="1:8" x14ac:dyDescent="0.2">
      <c r="A122" t="s">
        <v>214</v>
      </c>
      <c r="B122" s="32" t="s">
        <v>215</v>
      </c>
      <c r="C122" s="95">
        <f>('DOE25'!L207)+('DOE25'!L225)+('DOE25'!L243)</f>
        <v>291679.23</v>
      </c>
      <c r="D122" s="24" t="s">
        <v>288</v>
      </c>
      <c r="E122" s="95">
        <f>+('DOE25'!L286)+('DOE25'!L305)+('DOE25'!L324)</f>
        <v>0</v>
      </c>
      <c r="F122" s="24" t="s">
        <v>288</v>
      </c>
      <c r="G122" s="24" t="s">
        <v>288</v>
      </c>
      <c r="H122" s="124">
        <f t="shared" si="7"/>
        <v>291679.23</v>
      </c>
    </row>
    <row r="123" spans="1:8" x14ac:dyDescent="0.2">
      <c r="A123" t="s">
        <v>216</v>
      </c>
      <c r="B123" s="32" t="s">
        <v>217</v>
      </c>
      <c r="C123" s="95">
        <f>('DOE25'!L208)+('DOE25'!L226)+('DOE25'!L244)</f>
        <v>1728455.6400000001</v>
      </c>
      <c r="D123" s="24" t="s">
        <v>288</v>
      </c>
      <c r="E123" s="95">
        <f>+('DOE25'!L287)+('DOE25'!L306)+('DOE25'!L325)</f>
        <v>73888.649999999994</v>
      </c>
      <c r="F123" s="24" t="s">
        <v>288</v>
      </c>
      <c r="G123" s="24" t="s">
        <v>288</v>
      </c>
      <c r="H123" s="124">
        <f t="shared" si="7"/>
        <v>1802344.29</v>
      </c>
    </row>
    <row r="124" spans="1:8" x14ac:dyDescent="0.2">
      <c r="A124" t="s">
        <v>218</v>
      </c>
      <c r="B124" s="32" t="s">
        <v>219</v>
      </c>
      <c r="C124" s="95">
        <f>('DOE25'!L209)+('DOE25'!L227)+('DOE25'!L245+'DOE25'!L255)</f>
        <v>1140791.1299999999</v>
      </c>
      <c r="D124" s="24" t="s">
        <v>288</v>
      </c>
      <c r="E124" s="95">
        <f>+('DOE25'!L288)+('DOE25'!L307)+('DOE25'!L326)</f>
        <v>14338.720000000001</v>
      </c>
      <c r="F124" s="24" t="s">
        <v>288</v>
      </c>
      <c r="G124" s="24" t="s">
        <v>288</v>
      </c>
      <c r="H124" s="124">
        <f t="shared" si="7"/>
        <v>1155129.8499999999</v>
      </c>
    </row>
    <row r="125" spans="1:8" x14ac:dyDescent="0.2">
      <c r="A125" t="s">
        <v>220</v>
      </c>
      <c r="B125" s="32" t="s">
        <v>221</v>
      </c>
      <c r="C125" s="95">
        <f>('DOE25'!L210)+('DOE25'!L228)+('DOE25'!L246)</f>
        <v>263792.38999999996</v>
      </c>
      <c r="D125" s="24" t="s">
        <v>288</v>
      </c>
      <c r="E125" s="95">
        <f>+('DOE25'!L289)+('DOE25'!L308)+('DOE25'!L327)</f>
        <v>0</v>
      </c>
      <c r="F125" s="24" t="s">
        <v>288</v>
      </c>
      <c r="G125" s="24" t="s">
        <v>288</v>
      </c>
      <c r="H125" s="124">
        <f t="shared" si="7"/>
        <v>263792.38999999996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421336.67</v>
      </c>
      <c r="E127" s="24" t="s">
        <v>288</v>
      </c>
      <c r="F127" s="24" t="s">
        <v>288</v>
      </c>
      <c r="G127" s="24" t="s">
        <v>288</v>
      </c>
      <c r="H127" s="124">
        <f t="shared" si="7"/>
        <v>421336.67</v>
      </c>
    </row>
    <row r="128" spans="1:8" ht="12.75" thickTop="1" thickBot="1" x14ac:dyDescent="0.25">
      <c r="A128" s="33" t="s">
        <v>226</v>
      </c>
      <c r="C128" s="86">
        <f>SUM(C118:C127)</f>
        <v>6799347.9800000004</v>
      </c>
      <c r="D128" s="86">
        <f>SUM(D118:D127)</f>
        <v>421336.67</v>
      </c>
      <c r="E128" s="86">
        <f>SUM(E118:E127)</f>
        <v>257200.09</v>
      </c>
      <c r="F128" s="86">
        <f>SUM(F118:F127)</f>
        <v>0</v>
      </c>
      <c r="G128" s="86">
        <f>SUM(G118:G127)</f>
        <v>0</v>
      </c>
      <c r="H128" s="86">
        <f t="shared" si="7"/>
        <v>7477884.7400000002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2001172.12</v>
      </c>
      <c r="D130" s="24" t="s">
        <v>288</v>
      </c>
      <c r="E130" s="129">
        <f>'DOE25'!L337</f>
        <v>0</v>
      </c>
      <c r="F130" s="129">
        <f>SUM('DOE25'!L375:'DOE25'!L381)</f>
        <v>0</v>
      </c>
      <c r="G130" s="24" t="s">
        <v>288</v>
      </c>
      <c r="H130" s="124">
        <f t="shared" si="7"/>
        <v>2001172.12</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1160000</v>
      </c>
      <c r="H134" s="124">
        <f t="shared" si="7"/>
        <v>1160000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1143.54</v>
      </c>
      <c r="D138" s="24" t="s">
        <v>288</v>
      </c>
      <c r="E138" s="24" t="s">
        <v>288</v>
      </c>
      <c r="F138" s="24" t="s">
        <v>288</v>
      </c>
      <c r="G138" s="24" t="s">
        <v>288</v>
      </c>
      <c r="H138" s="124">
        <f t="shared" si="7"/>
        <v>1143.54</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-1143.54</v>
      </c>
      <c r="D141" s="24" t="s">
        <v>288</v>
      </c>
      <c r="E141" s="24" t="s">
        <v>288</v>
      </c>
      <c r="F141" s="24" t="s">
        <v>288</v>
      </c>
      <c r="G141" s="24" t="s">
        <v>288</v>
      </c>
      <c r="H141" s="124">
        <f t="shared" si="7"/>
        <v>-1143.54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2001172.12</v>
      </c>
      <c r="D144" s="141">
        <f>SUM(D130:D143)</f>
        <v>0</v>
      </c>
      <c r="E144" s="141">
        <f>SUM(E130:E143)</f>
        <v>0</v>
      </c>
      <c r="F144" s="141">
        <f>SUM(F130:F143)</f>
        <v>0</v>
      </c>
      <c r="G144" s="141">
        <f>SUM(G130:G143)</f>
        <v>1160000</v>
      </c>
      <c r="H144" s="141">
        <f t="shared" si="7"/>
        <v>3161172.12</v>
      </c>
    </row>
    <row r="145" spans="1:9" ht="12.75" thickTop="1" thickBot="1" x14ac:dyDescent="0.25">
      <c r="A145" s="33" t="s">
        <v>244</v>
      </c>
      <c r="C145" s="86">
        <f>(C115+C128+C144)</f>
        <v>29553892.050000001</v>
      </c>
      <c r="D145" s="86">
        <f>(D115+D128+D144)</f>
        <v>421336.67</v>
      </c>
      <c r="E145" s="86">
        <f>(E115+E128+E144)</f>
        <v>501528.11</v>
      </c>
      <c r="F145" s="86">
        <f>(F115+F128+F144)</f>
        <v>0</v>
      </c>
      <c r="G145" s="86">
        <f>(G115+G128+G144)</f>
        <v>1160000</v>
      </c>
      <c r="H145" s="86">
        <f t="shared" si="7"/>
        <v>31636756.830000002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Hampstead</v>
      </c>
    </row>
    <row r="3" spans="1:4" x14ac:dyDescent="0.2">
      <c r="B3" s="187" t="s">
        <v>1799</v>
      </c>
    </row>
    <row r="4" spans="1:4" x14ac:dyDescent="0.2">
      <c r="B4" t="s">
        <v>61</v>
      </c>
      <c r="C4" s="178">
        <f>IF('DOE25'!F666+'DOE25'!F671=0,0,ROUND('DOE25'!F673,0))</f>
        <v>23144</v>
      </c>
    </row>
    <row r="5" spans="1:4" x14ac:dyDescent="0.2">
      <c r="B5" t="s">
        <v>700</v>
      </c>
      <c r="C5" s="178">
        <f>IF('DOE25'!G666+'DOE25'!G671=0,0,ROUND('DOE25'!G673,0))</f>
        <v>25088</v>
      </c>
    </row>
    <row r="6" spans="1:4" x14ac:dyDescent="0.2">
      <c r="B6" t="s">
        <v>62</v>
      </c>
      <c r="C6" s="178">
        <f>IF('DOE25'!H666+'DOE25'!H671=0,0,ROUND('DOE25'!H673,0))</f>
        <v>0</v>
      </c>
    </row>
    <row r="7" spans="1:4" x14ac:dyDescent="0.2">
      <c r="B7" t="s">
        <v>701</v>
      </c>
      <c r="C7" s="178">
        <f>IF('DOE25'!I666+'DOE25'!I671=0,0,ROUND('DOE25'!I673,0))</f>
        <v>24016</v>
      </c>
    </row>
    <row r="9" spans="1:4" x14ac:dyDescent="0.2">
      <c r="A9" s="186" t="s">
        <v>94</v>
      </c>
      <c r="B9" s="187" t="s">
        <v>1800</v>
      </c>
      <c r="C9" s="180" t="s">
        <v>720</v>
      </c>
      <c r="D9" s="180" t="s">
        <v>721</v>
      </c>
    </row>
    <row r="10" spans="1:4" x14ac:dyDescent="0.2">
      <c r="A10">
        <v>1100</v>
      </c>
      <c r="B10" t="s">
        <v>702</v>
      </c>
      <c r="C10" s="178">
        <f>ROUND('DOE25'!L198+'DOE25'!L216+'DOE25'!L234+'DOE25'!L277+'DOE25'!L296+'DOE25'!L315,0)</f>
        <v>13972009</v>
      </c>
      <c r="D10" s="181">
        <f>ROUND((C10/$C$28)*100,1)</f>
        <v>49.1</v>
      </c>
    </row>
    <row r="11" spans="1:4" x14ac:dyDescent="0.2">
      <c r="A11">
        <v>1200</v>
      </c>
      <c r="B11" t="s">
        <v>703</v>
      </c>
      <c r="C11" s="178">
        <f>ROUND('DOE25'!L199+'DOE25'!L217+'DOE25'!L235+'DOE25'!L278+'DOE25'!L297+'DOE25'!L316,0)</f>
        <v>6931147</v>
      </c>
      <c r="D11" s="181">
        <f>ROUND((C11/$C$28)*100,1)</f>
        <v>24.4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84983</v>
      </c>
      <c r="D13" s="181">
        <f>ROUND((C13/$C$28)*100,1)</f>
        <v>0.3</v>
      </c>
    </row>
    <row r="14" spans="1:4" x14ac:dyDescent="0.2">
      <c r="D14" s="181"/>
    </row>
    <row r="15" spans="1:4" x14ac:dyDescent="0.2">
      <c r="A15">
        <v>2100</v>
      </c>
      <c r="B15" t="s">
        <v>706</v>
      </c>
      <c r="C15" s="178">
        <f>ROUND('DOE25'!L203+'DOE25'!L221+'DOE25'!L239+'DOE25'!L282+'DOE25'!L301+'DOE25'!L320,0)</f>
        <v>1541170</v>
      </c>
      <c r="D15" s="181">
        <f t="shared" ref="D15:D27" si="0">ROUND((C15/$C$28)*100,1)</f>
        <v>5.4</v>
      </c>
    </row>
    <row r="16" spans="1:4" x14ac:dyDescent="0.2">
      <c r="A16">
        <v>2200</v>
      </c>
      <c r="B16" t="s">
        <v>707</v>
      </c>
      <c r="C16" s="178">
        <f>ROUND('DOE25'!L204+'DOE25'!L222+'DOE25'!L240+'DOE25'!L283+'DOE25'!L302+'DOE25'!L321,0)</f>
        <v>509750</v>
      </c>
      <c r="D16" s="181">
        <f t="shared" si="0"/>
        <v>1.8</v>
      </c>
    </row>
    <row r="17" spans="1:4" x14ac:dyDescent="0.2">
      <c r="A17" s="182" t="s">
        <v>723</v>
      </c>
      <c r="B17" t="s">
        <v>738</v>
      </c>
      <c r="C17" s="178">
        <f>ROUND('DOE25'!L205+'DOE25'!L210+'DOE25'!L223+'DOE25'!L228+'DOE25'!L241+'DOE25'!L246+'DOE25'!L284+'DOE25'!L289+'DOE25'!L303+'DOE25'!L308+'DOE25'!L322+'DOE25'!L327,0)</f>
        <v>673292</v>
      </c>
      <c r="D17" s="181">
        <f t="shared" si="0"/>
        <v>2.4</v>
      </c>
    </row>
    <row r="18" spans="1:4" x14ac:dyDescent="0.2">
      <c r="A18">
        <v>2400</v>
      </c>
      <c r="B18" t="s">
        <v>711</v>
      </c>
      <c r="C18" s="178">
        <f>ROUND('DOE25'!L206+'DOE25'!L224+'DOE25'!L242+'DOE25'!L285+'DOE25'!L304+'DOE25'!L323,0)</f>
        <v>1083183</v>
      </c>
      <c r="D18" s="181">
        <f t="shared" si="0"/>
        <v>3.8</v>
      </c>
    </row>
    <row r="19" spans="1:4" x14ac:dyDescent="0.2">
      <c r="A19">
        <v>2500</v>
      </c>
      <c r="B19" t="s">
        <v>708</v>
      </c>
      <c r="C19" s="178">
        <f>ROUND('DOE25'!L207+'DOE25'!L225+'DOE25'!L243+'DOE25'!L286+'DOE25'!L305+'DOE25'!L324,0)</f>
        <v>291679</v>
      </c>
      <c r="D19" s="181">
        <f t="shared" si="0"/>
        <v>1</v>
      </c>
    </row>
    <row r="20" spans="1:4" x14ac:dyDescent="0.2">
      <c r="A20">
        <v>2600</v>
      </c>
      <c r="B20" t="s">
        <v>709</v>
      </c>
      <c r="C20" s="178">
        <f>ROUND('DOE25'!L208+'DOE25'!L226+'DOE25'!L244+'DOE25'!L287+'DOE25'!L306+'DOE25'!L325,0)</f>
        <v>1802344</v>
      </c>
      <c r="D20" s="181">
        <f t="shared" si="0"/>
        <v>6.3</v>
      </c>
    </row>
    <row r="21" spans="1:4" x14ac:dyDescent="0.2">
      <c r="A21">
        <v>2700</v>
      </c>
      <c r="B21" t="s">
        <v>710</v>
      </c>
      <c r="C21" s="178">
        <f>ROUND('DOE25'!L209+'DOE25'!L227+'DOE25'!L245+'DOE25'!L288+'DOE25'!L307+'DOE25'!L326,0)</f>
        <v>1155130</v>
      </c>
      <c r="D21" s="181">
        <f t="shared" si="0"/>
        <v>4.0999999999999996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9561</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384988.28</v>
      </c>
      <c r="D27" s="181">
        <f t="shared" si="0"/>
        <v>1.4</v>
      </c>
    </row>
    <row r="28" spans="1:4" x14ac:dyDescent="0.2">
      <c r="B28" s="186" t="s">
        <v>719</v>
      </c>
      <c r="C28" s="179">
        <f>SUM(C10:C27)</f>
        <v>28439236.280000001</v>
      </c>
      <c r="D28" s="183">
        <f>ROUND(SUM(D10:D27),0)</f>
        <v>100</v>
      </c>
    </row>
    <row r="29" spans="1:4" x14ac:dyDescent="0.2">
      <c r="A29">
        <v>4000</v>
      </c>
      <c r="B29" t="s">
        <v>724</v>
      </c>
      <c r="C29" s="178">
        <f>ROUND('DOE25'!L256+'DOE25'!L337+'DOE25'!L375+'DOE25'!L376+'DOE25'!L377+'DOE25'!L378+'DOE25'!L379+'DOE25'!L380+'DOE25'!L381,0)</f>
        <v>2001172</v>
      </c>
    </row>
    <row r="30" spans="1:4" x14ac:dyDescent="0.2">
      <c r="B30" s="186" t="s">
        <v>725</v>
      </c>
      <c r="C30" s="179">
        <f>SUM(C28:C29)</f>
        <v>30440408.280000001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22967178</v>
      </c>
      <c r="D35" s="181">
        <f t="shared" ref="D35:D40" si="1">ROUND((C35/$C$41)*100,1)</f>
        <v>74.7</v>
      </c>
    </row>
    <row r="36" spans="1:4" x14ac:dyDescent="0.2">
      <c r="B36" s="184" t="s">
        <v>739</v>
      </c>
      <c r="C36" s="178">
        <f>SUM('DOE25'!F112:J112)-SUM('DOE25'!G97:G110)+('DOE25'!F175+'DOE25'!F176+'DOE25'!I175+'DOE25'!I176)-C35</f>
        <v>640144.58999999985</v>
      </c>
      <c r="D36" s="181">
        <f t="shared" si="1"/>
        <v>2.1</v>
      </c>
    </row>
    <row r="37" spans="1:4" x14ac:dyDescent="0.2">
      <c r="A37" s="182" t="s">
        <v>835</v>
      </c>
      <c r="B37" s="184" t="s">
        <v>728</v>
      </c>
      <c r="C37" s="178">
        <f>ROUND('DOE25'!F117+'DOE25'!F118,0)</f>
        <v>5358124</v>
      </c>
      <c r="D37" s="181">
        <f t="shared" si="1"/>
        <v>17.399999999999999</v>
      </c>
    </row>
    <row r="38" spans="1:4" x14ac:dyDescent="0.2">
      <c r="A38" s="182" t="s">
        <v>734</v>
      </c>
      <c r="B38" s="184" t="s">
        <v>729</v>
      </c>
      <c r="C38" s="178">
        <f>ROUND(SUM('DOE25'!F140:J140)-SUM('DOE25'!F117:F119),0)</f>
        <v>794313</v>
      </c>
      <c r="D38" s="181">
        <f t="shared" si="1"/>
        <v>2.6</v>
      </c>
    </row>
    <row r="39" spans="1:4" x14ac:dyDescent="0.2">
      <c r="A39">
        <v>4000</v>
      </c>
      <c r="B39" s="184" t="s">
        <v>730</v>
      </c>
      <c r="C39" s="178">
        <f>ROUND('DOE25'!F170+'DOE25'!G170+'DOE25'!H170+'DOE25'!I170,0)</f>
        <v>977522</v>
      </c>
      <c r="D39" s="181">
        <f t="shared" si="1"/>
        <v>3.2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30737281.59</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Hampstead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f>IF('School Level Expenditures'!$B$2='School Tables'!L24,'School Tables'!S24,"")</f>
        <v>21</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f>IF('School Level Expenditures'!$B$2=A114,'School Tables'!H114,"")</f>
        <v>111</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6" priority="10" operator="containsText" text="TRUE">
      <formula>NOT(ISERROR(SEARCH("TRUE",F3)))</formula>
    </cfRule>
  </conditionalFormatting>
  <conditionalFormatting sqref="O3 O78:O81">
    <cfRule type="containsText" dxfId="5" priority="9" operator="containsText" text="TRUE">
      <formula>NOT(ISERROR(SEARCH("TRUE",O3)))</formula>
    </cfRule>
  </conditionalFormatting>
  <conditionalFormatting sqref="O4:O77">
    <cfRule type="containsText" dxfId="4" priority="7" operator="containsText" text="TRUE">
      <formula>NOT(ISERROR(SEARCH("TRUE",O4)))</formula>
    </cfRule>
  </conditionalFormatting>
  <conditionalFormatting sqref="W4:W99">
    <cfRule type="containsText" dxfId="3" priority="6" operator="containsText" text="TRUE">
      <formula>NOT(ISERROR(SEARCH("TRUE",W4)))</formula>
    </cfRule>
  </conditionalFormatting>
  <conditionalFormatting sqref="AU3:AU183">
    <cfRule type="cellIs" dxfId="2" priority="5" operator="greaterThan">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2022-09-22T19:28:19Z</cp:lastPrinted>
  <dcterms:created xsi:type="dcterms:W3CDTF">1997-12-04T19:04:30Z</dcterms:created>
  <dcterms:modified xsi:type="dcterms:W3CDTF">2022-12-19T15:31:03Z</dcterms:modified>
</cp:coreProperties>
</file>