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Website layout/DOE-25 Form/DOE-25 FY21-23/2022/"/>
    </mc:Choice>
  </mc:AlternateContent>
  <xr:revisionPtr revIDLastSave="0" documentId="8_{8F10F517-C23B-4E59-AE2A-1834164A1FD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2" l="1"/>
  <c r="B11" i="12" l="1"/>
  <c r="B12" i="12"/>
  <c r="C10" i="12"/>
  <c r="G460" i="1" l="1"/>
  <c r="G440" i="1"/>
  <c r="J473" i="1"/>
  <c r="J469" i="1"/>
  <c r="J96" i="1"/>
  <c r="H289" i="1"/>
  <c r="H473" i="1"/>
  <c r="F500" i="1"/>
  <c r="F499" i="1"/>
  <c r="F470" i="1"/>
  <c r="F473" i="1"/>
  <c r="K264" i="1"/>
  <c r="G180" i="1"/>
  <c r="G97" i="1"/>
  <c r="I245" i="1"/>
  <c r="H227" i="1"/>
  <c r="H209" i="1"/>
  <c r="G612" i="1" l="1"/>
  <c r="F581" i="1"/>
  <c r="F583" i="1"/>
  <c r="F576" i="1"/>
  <c r="J592" i="1" l="1"/>
  <c r="H593" i="1"/>
  <c r="H469" i="1" l="1"/>
  <c r="H22" i="1"/>
  <c r="F9" i="1" l="1"/>
  <c r="F13" i="1"/>
  <c r="H277" i="1" l="1"/>
  <c r="H161" i="1"/>
  <c r="H159" i="1"/>
  <c r="H155" i="1"/>
  <c r="H13" i="1"/>
  <c r="F126" i="1"/>
  <c r="F57" i="1"/>
  <c r="F117"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H655" i="1"/>
  <c r="H656" i="1"/>
  <c r="I170" i="1"/>
  <c r="H94" i="2" l="1"/>
  <c r="H101" i="2"/>
  <c r="H76" i="2"/>
  <c r="H26" i="2"/>
  <c r="H113" i="2"/>
  <c r="H38" i="2"/>
  <c r="G663" i="1"/>
  <c r="G62" i="2"/>
  <c r="G63" i="2" s="1"/>
  <c r="G646" i="1"/>
  <c r="J652" i="1"/>
  <c r="H125" i="2"/>
  <c r="D18" i="13"/>
  <c r="C18" i="13" s="1"/>
  <c r="H89" i="2"/>
  <c r="H58" i="2"/>
  <c r="H36" i="2"/>
  <c r="H143" i="2"/>
  <c r="H47" i="2"/>
  <c r="H96" i="2"/>
  <c r="H80" i="2"/>
  <c r="H93" i="2"/>
  <c r="G662" i="1"/>
  <c r="C32" i="10"/>
  <c r="C110" i="2"/>
  <c r="C121" i="2"/>
  <c r="H61" i="2"/>
  <c r="H44" i="2"/>
  <c r="G409" i="1"/>
  <c r="H646" i="1" s="1"/>
  <c r="H35" i="2"/>
  <c r="H13" i="2"/>
  <c r="H9" i="2"/>
  <c r="H87" i="2"/>
  <c r="H28" i="2"/>
  <c r="H17" i="2"/>
  <c r="H100" i="2"/>
  <c r="H73" i="2"/>
  <c r="H23" i="2"/>
  <c r="H140" i="1"/>
  <c r="E13" i="13"/>
  <c r="C13" i="13" s="1"/>
  <c r="H97" i="2"/>
  <c r="H112" i="2"/>
  <c r="H72" i="2"/>
  <c r="H59" i="2"/>
  <c r="H34" i="2"/>
  <c r="H27" i="2"/>
  <c r="H12" i="2"/>
  <c r="H8" i="2"/>
  <c r="G477" i="1"/>
  <c r="H624" i="1" s="1"/>
  <c r="J624" i="1" s="1"/>
  <c r="I409" i="1"/>
  <c r="H99" i="2"/>
  <c r="H79" i="2"/>
  <c r="D15" i="13"/>
  <c r="C15" i="13" s="1"/>
  <c r="C12" i="10"/>
  <c r="C120" i="2"/>
  <c r="H120" i="2" s="1"/>
  <c r="D144" i="2"/>
  <c r="H22" i="2"/>
  <c r="H132" i="2"/>
  <c r="H48" i="2"/>
  <c r="E121" i="2"/>
  <c r="H69" i="2"/>
  <c r="H30" i="2"/>
  <c r="H25" i="2"/>
  <c r="H102" i="2"/>
  <c r="H98" i="2"/>
  <c r="H15" i="2"/>
  <c r="H11" i="2"/>
  <c r="A40" i="12"/>
  <c r="D6" i="13"/>
  <c r="C6" i="13" s="1"/>
  <c r="H77" i="2"/>
  <c r="H43" i="2"/>
  <c r="H477" i="1"/>
  <c r="H625" i="1" s="1"/>
  <c r="J625" i="1" s="1"/>
  <c r="H29" i="2"/>
  <c r="H24" i="2"/>
  <c r="E119" i="2"/>
  <c r="H119" i="2" s="1"/>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G24" i="14" l="1"/>
  <c r="H24" i="14" s="1"/>
  <c r="I24" i="14" s="1"/>
  <c r="H122" i="2"/>
  <c r="J646" i="1"/>
  <c r="L572" i="1"/>
  <c r="I663" i="1"/>
  <c r="B33" i="16"/>
  <c r="F661" i="1"/>
  <c r="F665" i="1" s="1"/>
  <c r="F668" i="1" s="1"/>
  <c r="H109" i="2"/>
  <c r="E51" i="2"/>
  <c r="H131" i="2"/>
  <c r="H118" i="2"/>
  <c r="H16" i="2"/>
  <c r="H121" i="2"/>
  <c r="D51" i="2"/>
  <c r="H50" i="2"/>
  <c r="H31" i="2"/>
  <c r="H62" i="2"/>
  <c r="H85" i="2"/>
  <c r="H103" i="2"/>
  <c r="H57" i="2"/>
  <c r="H21" i="2"/>
  <c r="H42" i="2"/>
  <c r="E115" i="2"/>
  <c r="H123" i="2"/>
  <c r="E128" i="2"/>
  <c r="H18" i="2"/>
  <c r="H134" i="2"/>
  <c r="D128" i="2"/>
  <c r="D145" i="2" s="1"/>
  <c r="H127" i="2"/>
  <c r="H91" i="2"/>
  <c r="H114" i="2"/>
  <c r="F194" i="1"/>
  <c r="G628" i="1" s="1"/>
  <c r="J628" i="1" s="1"/>
  <c r="C81" i="2"/>
  <c r="H81" i="2" s="1"/>
  <c r="H7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H51" i="2"/>
  <c r="H673" i="1"/>
  <c r="C6" i="10" s="1"/>
  <c r="C144" i="2"/>
  <c r="H144" i="2" s="1"/>
  <c r="H141" i="2"/>
  <c r="C104" i="2"/>
  <c r="H104" i="2" s="1"/>
  <c r="H63"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<sst xmlns="http://schemas.openxmlformats.org/spreadsheetml/2006/main" count="6535" uniqueCount="1808">
  <si>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</si>
  <si>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</si>
  <si>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</si>
  <si>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</si>
  <si>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</si>
  <si>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</si>
  <si>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</si>
  <si>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</si>
  <si>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</si>
  <si>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</si>
  <si>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</si>
  <si>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</si>
  <si>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</si>
  <si>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</si>
  <si>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</si>
  <si>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</si>
  <si>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</si>
  <si>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</si>
  <si>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</si>
  <si>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</si>
  <si>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</si>
  <si>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</si>
  <si>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</si>
  <si>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</si>
  <si>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</si>
  <si>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</si>
  <si>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</si>
  <si>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</si>
  <si>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</si>
  <si>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</si>
  <si>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</si>
  <si>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</si>
  <si>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</si>
  <si>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</si>
  <si>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</si>
  <si>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</si>
  <si>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</si>
  <si>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</si>
  <si>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</si>
  <si>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</si>
  <si>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</si>
  <si>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</si>
  <si>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</si>
  <si>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</si>
  <si>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</si>
  <si>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</si>
  <si>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</si>
  <si>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</si>
  <si>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</si>
  <si>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</si>
  <si>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</si>
  <si>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</si>
  <si>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</si>
  <si>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</si>
  <si>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</si>
  <si>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</si>
  <si>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</si>
  <si>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</si>
  <si>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</si>
  <si>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</si>
  <si>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</si>
  <si>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</si>
  <si>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</si>
  <si>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</si>
  <si>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</si>
  <si>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</si>
  <si>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</si>
  <si>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</si>
  <si>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</si>
  <si>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</si>
  <si>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</si>
  <si>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</si>
  <si>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</si>
  <si>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</si>
  <si>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</si>
  <si>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</si>
  <si>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</si>
  <si>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</si>
  <si>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</si>
  <si>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</si>
  <si>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</si>
  <si>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</si>
  <si>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</si>
  <si>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</si>
  <si>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</si>
  <si>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</si>
  <si>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</si>
  <si>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</si>
  <si>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</si>
  <si>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</si>
  <si>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</si>
  <si>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</si>
  <si>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</si>
  <si>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</si>
  <si>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</si>
  <si>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</si>
  <si>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</si>
  <si>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</si>
  <si>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</si>
  <si>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</si>
  <si>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</si>
  <si>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</si>
  <si>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</si>
  <si>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</si>
  <si>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</si>
  <si>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</si>
  <si>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</si>
  <si>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</si>
  <si>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</si>
  <si>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</si>
  <si>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</si>
  <si>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</si>
  <si>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</si>
  <si>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</si>
  <si>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</si>
  <si>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</si>
  <si>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</si>
  <si>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</si>
  <si>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</si>
  <si>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</si>
  <si>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</si>
  <si>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</si>
  <si>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</si>
  <si>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</si>
  <si>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</si>
  <si>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</si>
  <si>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</si>
  <si>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</si>
  <si>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</si>
  <si>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</si>
  <si>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</si>
  <si>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</si>
  <si>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</si>
  <si>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</si>
  <si>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</si>
  <si>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</si>
  <si>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</si>
  <si>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</si>
  <si>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</si>
  <si>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</si>
  <si>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</si>
  <si>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</si>
  <si>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</si>
  <si>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</si>
  <si>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</si>
  <si>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</si>
  <si>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</si>
  <si>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</si>
  <si>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</si>
  <si>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</si>
  <si>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</si>
  <si>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</si>
  <si>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</si>
  <si>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</si>
  <si>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</si>
  <si>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</si>
  <si>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</si>
  <si>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</si>
  <si>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</si>
  <si>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</si>
  <si>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</si>
  <si>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</si>
  <si>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</si>
  <si>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</si>
  <si>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</si>
  <si>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</si>
  <si>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</si>
  <si>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</si>
  <si>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</si>
  <si>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</si>
  <si>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</si>
  <si>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</si>
  <si>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</si>
  <si>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</si>
  <si>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</si>
  <si>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</si>
  <si>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</si>
  <si>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</si>
  <si>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</si>
  <si>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</si>
  <si>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</si>
  <si>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</si>
  <si>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</si>
  <si>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</si>
  <si>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</si>
  <si>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</si>
  <si>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</si>
  <si>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</si>
  <si>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</si>
  <si>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</si>
  <si>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</si>
  <si>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</si>
  <si>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</si>
  <si>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</si>
  <si>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</si>
  <si>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</si>
  <si>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</si>
  <si>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</si>
  <si>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</si>
  <si>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</si>
  <si>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</si>
  <si>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</si>
  <si>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</si>
  <si>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</si>
  <si>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</si>
  <si>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</si>
  <si>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</si>
  <si>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</si>
  <si>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</si>
  <si>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</si>
  <si>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</si>
  <si>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</si>
  <si>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</si>
  <si>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</si>
  <si>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</si>
  <si>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</si>
  <si>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</si>
  <si>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</si>
  <si>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</si>
  <si>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</si>
  <si>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</si>
  <si>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</si>
  <si>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</si>
  <si>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</si>
  <si>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</si>
  <si>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</si>
  <si>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</si>
  <si>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</si>
  <si>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</si>
  <si>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</si>
  <si>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</si>
  <si>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</si>
  <si>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</si>
  <si>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</si>
  <si>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</si>
  <si>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</si>
  <si>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</si>
  <si>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</si>
  <si>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</si>
  <si>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</si>
  <si>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</si>
  <si>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</si>
  <si>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</si>
  <si>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</si>
  <si>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</si>
  <si>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</si>
  <si>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</si>
  <si>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</si>
  <si>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</si>
  <si>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</si>
  <si>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</si>
  <si>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</si>
  <si>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</si>
  <si>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</si>
  <si>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</si>
  <si>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</si>
  <si>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</si>
  <si>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</si>
  <si>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</si>
  <si>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</si>
  <si>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</si>
  <si>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</si>
  <si>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</si>
  <si>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</si>
  <si>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</si>
  <si>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</si>
  <si>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</si>
  <si>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</si>
  <si>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</si>
  <si>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</si>
  <si>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</si>
  <si>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</si>
  <si>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</si>
  <si>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</si>
  <si>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</si>
  <si>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</si>
  <si>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</si>
  <si>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</si>
  <si>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</si>
  <si>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</si>
  <si>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</si>
  <si>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</si>
  <si>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</si>
  <si>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</si>
  <si>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</si>
  <si>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</si>
  <si>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</si>
  <si>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</si>
  <si>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</si>
  <si>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</si>
  <si>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</si>
  <si>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</si>
  <si>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</si>
  <si>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</si>
  <si>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</si>
  <si>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</si>
  <si>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</si>
  <si>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</si>
  <si>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</si>
  <si>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</si>
  <si>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</si>
  <si>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</si>
  <si>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</si>
  <si>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</si>
  <si>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</si>
  <si>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</si>
  <si>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</si>
  <si>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</si>
  <si>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</si>
  <si>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</si>
  <si>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</si>
  <si>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</si>
  <si>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</si>
  <si>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</si>
  <si>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</si>
  <si>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</si>
  <si>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</si>
  <si>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</si>
  <si>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</si>
  <si>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</si>
  <si>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</si>
  <si>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</si>
  <si>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</si>
  <si>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</si>
  <si>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</si>
  <si>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</si>
  <si>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</si>
  <si>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</si>
  <si>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</si>
  <si>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</si>
  <si>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</si>
  <si>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</si>
  <si>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</si>
  <si>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</si>
  <si>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</si>
  <si>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</si>
  <si>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</si>
  <si>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</si>
  <si>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</si>
  <si>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</si>
  <si>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</si>
  <si>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</si>
  <si>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</si>
  <si>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</si>
  <si>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</si>
  <si>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</si>
  <si>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</si>
  <si>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</si>
  <si>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</si>
  <si>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</si>
  <si>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</si>
  <si>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</si>
  <si>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</si>
  <si>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</si>
  <si>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</si>
  <si>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</si>
  <si>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</si>
  <si>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</si>
  <si>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</si>
  <si>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</si>
  <si>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</si>
  <si>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</si>
  <si>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</si>
  <si>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</si>
  <si>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</si>
  <si>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</si>
  <si>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</si>
  <si>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</si>
  <si>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</si>
  <si>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</si>
  <si>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</si>
  <si>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</si>
  <si>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</si>
  <si>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</si>
  <si>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</si>
  <si>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</si>
  <si>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</si>
  <si>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</si>
  <si>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</si>
  <si>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</si>
  <si>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</si>
  <si>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</si>
  <si>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</si>
  <si>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</si>
  <si>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</si>
  <si>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</si>
  <si>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</si>
  <si>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</si>
  <si>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</si>
  <si>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</si>
  <si>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</si>
  <si>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</si>
  <si>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</si>
  <si>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</si>
  <si>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</si>
  <si>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</si>
  <si>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</si>
  <si>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</si>
  <si>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</si>
  <si>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</si>
  <si>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</si>
  <si>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</si>
  <si>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</si>
  <si>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</si>
  <si>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</si>
  <si>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</si>
  <si>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</si>
  <si>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</si>
  <si>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</si>
  <si>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</si>
  <si>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</si>
  <si>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</si>
  <si>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</si>
  <si>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</si>
  <si>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</si>
  <si>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</si>
  <si>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</si>
  <si>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</si>
  <si>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</si>
  <si>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</si>
  <si>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</si>
  <si>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</si>
  <si>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</si>
  <si>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</si>
  <si>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</si>
  <si>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</si>
  <si>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</si>
  <si>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</si>
  <si>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</si>
  <si>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</si>
  <si>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</si>
  <si>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</si>
  <si>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</si>
  <si>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</si>
  <si>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</si>
  <si>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</si>
  <si>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</si>
  <si>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</si>
  <si>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</si>
  <si>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</si>
  <si>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</si>
  <si>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</si>
  <si>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</si>
  <si>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</si>
  <si>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</si>
  <si>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</si>
  <si>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</si>
  <si>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</si>
  <si>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</si>
  <si>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</si>
  <si>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</si>
  <si>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</si>
  <si>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</si>
  <si>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</si>
  <si>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</si>
  <si>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</si>
  <si>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</si>
  <si>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</si>
  <si>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</si>
  <si>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</si>
  <si>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</si>
  <si>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</si>
  <si>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</si>
  <si>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</si>
  <si>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</si>
  <si>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</si>
  <si>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</si>
  <si>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</si>
  <si>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</si>
  <si>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</si>
  <si>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</si>
  <si>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</si>
  <si>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</si>
  <si>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</si>
  <si>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</si>
  <si>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</si>
  <si>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</si>
  <si>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</si>
  <si>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</si>
  <si>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</si>
  <si>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</si>
  <si>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</si>
  <si>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</si>
  <si>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</si>
  <si>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</si>
  <si>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</si>
  <si>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</si>
  <si>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</si>
  <si>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</si>
  <si>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</si>
  <si>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</si>
  <si>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</si>
  <si>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</si>
  <si>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</si>
  <si>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</si>
  <si>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</si>
  <si>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</si>
  <si>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</si>
  <si>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</si>
  <si>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</si>
  <si>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</si>
  <si>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</si>
  <si>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</si>
  <si>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</si>
  <si>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</si>
  <si>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</si>
  <si>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</si>
  <si>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</si>
  <si>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</si>
  <si>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</si>
  <si>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</si>
  <si>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</si>
  <si>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</si>
  <si>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</si>
  <si>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</si>
  <si>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</si>
  <si>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</si>
  <si>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</si>
  <si>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</si>
  <si>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</si>
  <si>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</si>
  <si>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</si>
  <si>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</si>
  <si>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</si>
  <si>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</si>
  <si>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</si>
  <si>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</si>
  <si>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</si>
  <si>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</si>
  <si>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</si>
  <si>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</si>
  <si>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</si>
  <si>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</si>
  <si>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</si>
  <si>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</si>
  <si>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</si>
  <si>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</si>
  <si>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</si>
  <si>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</si>
  <si>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</si>
  <si>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</si>
  <si>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</si>
  <si>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</si>
  <si>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</si>
  <si>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</si>
  <si>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</si>
  <si>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</si>
  <si>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</si>
  <si>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</si>
  <si>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</si>
  <si>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</si>
  <si>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</si>
  <si>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</si>
  <si>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</si>
  <si>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</si>
  <si>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</si>
  <si>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</si>
  <si>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</si>
  <si>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</si>
  <si>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</si>
  <si>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</si>
  <si>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</si>
  <si>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</si>
  <si>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</si>
  <si>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</si>
  <si>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</si>
  <si>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</si>
  <si>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</si>
  <si>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</si>
  <si>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</si>
  <si>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</si>
  <si>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</si>
  <si>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</si>
  <si>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</si>
  <si>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</si>
  <si>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</si>
  <si>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</si>
  <si>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</si>
  <si>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</si>
  <si>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</si>
  <si>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</si>
  <si>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</si>
  <si>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</si>
  <si>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</si>
  <si>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</si>
  <si>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</si>
  <si>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</si>
  <si>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</si>
  <si>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</si>
  <si>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</si>
  <si>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</si>
  <si>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</si>
  <si>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</si>
  <si>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</si>
  <si>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</si>
  <si>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</si>
  <si>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</si>
  <si>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</si>
  <si>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</si>
  <si>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</si>
  <si>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</si>
  <si>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</si>
  <si>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</si>
  <si>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</si>
  <si>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</si>
  <si>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</si>
  <si>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</si>
  <si>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</si>
  <si>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</si>
  <si>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</si>
  <si>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</si>
  <si>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</si>
  <si>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</si>
  <si>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</si>
  <si>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</si>
  <si>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</si>
  <si>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</si>
  <si>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</si>
  <si>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</si>
  <si>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</si>
  <si>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</si>
  <si>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</si>
  <si>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</si>
  <si>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</si>
  <si>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</si>
  <si>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</si>
  <si>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</si>
  <si>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</si>
  <si>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</si>
  <si>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</si>
  <si>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</si>
  <si>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</si>
  <si>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</si>
  <si>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</si>
  <si>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</si>
  <si>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</si>
  <si>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</si>
  <si>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</si>
  <si>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</si>
  <si>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</si>
  <si>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</si>
  <si>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</si>
  <si>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</si>
  <si>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</si>
  <si>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</si>
  <si>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</si>
  <si>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</si>
  <si>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</si>
  <si>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</si>
  <si>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</si>
  <si>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</si>
  <si>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</si>
  <si>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</si>
  <si>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</si>
  <si>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</si>
  <si>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</si>
  <si>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</si>
  <si>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</si>
  <si>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</si>
  <si>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</si>
  <si>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</si>
  <si>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</si>
  <si>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</si>
  <si>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</si>
  <si>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</si>
  <si>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</si>
  <si>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</si>
  <si>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</si>
  <si>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</si>
  <si>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</si>
  <si>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</si>
  <si>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</si>
  <si>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</si>
  <si>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</si>
  <si>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</si>
  <si>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</si>
  <si>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</si>
  <si>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</si>
  <si>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</si>
  <si>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</si>
  <si>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</si>
  <si>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</si>
  <si>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</si>
  <si>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</si>
  <si>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</si>
  <si>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</si>
  <si>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</si>
  <si>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</si>
  <si>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</si>
  <si>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</si>
  <si>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</si>
  <si>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</si>
  <si>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</si>
  <si>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</si>
  <si>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</si>
  <si>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</si>
  <si>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</si>
  <si>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</si>
  <si>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</si>
  <si>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</si>
  <si>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</si>
  <si>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</si>
  <si>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</si>
  <si>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</si>
  <si>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</si>
  <si>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</si>
  <si>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</si>
  <si>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</si>
  <si>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</si>
  <si>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</si>
  <si>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</si>
  <si>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</si>
  <si>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</si>
  <si>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</si>
  <si>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</si>
  <si>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</si>
  <si>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</si>
  <si>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</si>
  <si>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</si>
  <si>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</si>
  <si>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</si>
  <si>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</si>
  <si>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</si>
  <si>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</si>
  <si>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</si>
  <si>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</si>
  <si>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</si>
  <si>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</si>
  <si>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</si>
  <si>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</si>
  <si>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</si>
  <si>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</si>
  <si>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</si>
  <si>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</si>
  <si>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</si>
  <si>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</si>
  <si>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</si>
  <si>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</si>
  <si>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</si>
  <si>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</si>
  <si>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</si>
  <si>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</si>
  <si>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</si>
  <si>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</si>
  <si>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</si>
  <si>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</si>
  <si>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</si>
  <si>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</si>
  <si>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</si>
  <si>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</si>
  <si>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</si>
  <si>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</si>
  <si>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</si>
  <si>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</si>
  <si>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</si>
  <si>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</si>
  <si>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</si>
  <si>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</si>
  <si>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</si>
  <si>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</si>
  <si>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</si>
  <si>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</si>
  <si>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</si>
  <si>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</si>
  <si>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</si>
  <si>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</si>
  <si>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</si>
  <si>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</si>
  <si>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</si>
  <si>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</si>
  <si>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</si>
  <si>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</si>
  <si>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</si>
  <si>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</si>
  <si>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</si>
  <si>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</si>
  <si>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</si>
  <si>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</si>
  <si>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</si>
  <si>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</si>
  <si>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</si>
  <si>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</si>
  <si>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</si>
  <si>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</si>
  <si>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</si>
  <si>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</si>
  <si>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</si>
  <si>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</si>
  <si>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</si>
  <si>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</si>
  <si>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</si>
  <si>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</si>
  <si>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</si>
  <si>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</si>
  <si>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</si>
  <si>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</si>
  <si>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</si>
  <si>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</si>
  <si>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</si>
  <si>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</si>
  <si>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</si>
  <si>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</si>
  <si>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</si>
  <si>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</si>
  <si>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</si>
  <si>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</si>
  <si>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</si>
  <si>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</si>
  <si>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</si>
  <si>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</si>
  <si>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</si>
  <si>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</si>
  <si>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</si>
  <si>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</si>
  <si>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</si>
  <si>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</si>
  <si>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</si>
  <si>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</si>
  <si>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</si>
  <si>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</si>
  <si>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</si>
  <si>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</si>
  <si>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</si>
  <si>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</si>
  <si>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</si>
  <si>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</si>
  <si>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</si>
  <si>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</si>
  <si>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</si>
  <si>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</si>
  <si>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</si>
  <si>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</si>
  <si>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</si>
  <si>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</si>
  <si>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</si>
  <si>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</si>
  <si>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</si>
  <si>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</si>
  <si>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</si>
  <si>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</si>
  <si>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</si>
  <si>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</si>
  <si>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</si>
  <si>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</si>
  <si>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</si>
  <si>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</si>
  <si>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</si>
  <si>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</si>
  <si>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</si>
  <si>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</si>
  <si>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</si>
  <si>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</si>
  <si>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</si>
  <si>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</si>
  <si>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</si>
  <si>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</si>
  <si>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</si>
  <si>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</si>
  <si>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</si>
  <si>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</si>
  <si>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</si>
  <si>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</si>
  <si>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</si>
  <si>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</si>
  <si>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</si>
  <si>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</si>
  <si>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</si>
  <si>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</si>
  <si>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</si>
  <si>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</si>
  <si>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</si>
  <si>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</si>
  <si>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</si>
  <si>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</si>
  <si>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</si>
  <si>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</si>
  <si>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</si>
  <si>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</si>
  <si>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</si>
  <si>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</si>
  <si>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</si>
  <si>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</si>
  <si>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</si>
  <si>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</si>
  <si>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</si>
  <si>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</si>
  <si>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</si>
  <si>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</si>
  <si>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</si>
  <si>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</si>
  <si>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</si>
  <si>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</si>
  <si>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</si>
  <si>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</si>
  <si>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</si>
  <si>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</si>
  <si>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</si>
  <si>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</si>
  <si>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</si>
  <si>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</si>
  <si>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</si>
  <si>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</si>
  <si>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</si>
  <si>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</si>
  <si>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</si>
  <si>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</si>
  <si>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</si>
  <si>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</si>
  <si>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</si>
  <si>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</si>
  <si>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</si>
  <si>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</si>
  <si>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</si>
  <si>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</si>
  <si>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</si>
  <si>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</si>
  <si>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</si>
  <si>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</si>
  <si>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</si>
  <si>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</si>
  <si>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</si>
  <si>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</si>
  <si>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</si>
  <si>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</si>
  <si>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</si>
  <si>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</si>
  <si>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</si>
  <si>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</si>
  <si>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</si>
  <si>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</si>
  <si>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</si>
  <si>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</si>
  <si>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</si>
  <si>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</si>
  <si>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</si>
  <si>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</si>
  <si>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</si>
  <si>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</si>
  <si>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</si>
  <si>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</si>
  <si>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</si>
  <si>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</si>
  <si>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</si>
  <si>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</si>
  <si>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</si>
  <si>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</si>
  <si>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</si>
  <si>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</si>
  <si>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</si>
  <si>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</si>
  <si>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</si>
  <si>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</si>
  <si>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</si>
  <si>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</si>
  <si>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</si>
  <si>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</si>
  <si>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</si>
  <si>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</si>
  <si>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</si>
  <si>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</si>
  <si>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</si>
  <si>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</si>
  <si>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</si>
  <si>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</si>
  <si>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</si>
  <si>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</si>
  <si>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</si>
  <si>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</si>
  <si>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</si>
  <si>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</si>
  <si>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</si>
  <si>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</si>
  <si>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</si>
  <si>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</si>
  <si>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</si>
  <si>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</si>
  <si>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</si>
  <si>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</si>
  <si>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</si>
  <si>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</si>
  <si>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</si>
  <si>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</si>
  <si>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</si>
  <si>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</si>
  <si>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</si>
  <si>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</si>
  <si>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</si>
  <si>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</si>
  <si>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</si>
  <si>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</si>
  <si>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</si>
  <si>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</si>
  <si>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</si>
  <si>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</si>
  <si>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</si>
  <si>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</si>
  <si>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</si>
  <si>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</si>
  <si>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</si>
  <si>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</si>
  <si>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</si>
  <si>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</si>
  <si>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</si>
  <si>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</si>
  <si>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</si>
  <si>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</si>
  <si>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</si>
  <si>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</si>
  <si>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</si>
  <si>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</si>
  <si>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</si>
  <si>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</si>
  <si>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</si>
  <si>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</si>
  <si>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</si>
  <si>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</si>
  <si>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</si>
  <si>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</si>
  <si>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</si>
  <si>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</si>
  <si>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</si>
  <si>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</si>
  <si>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</si>
  <si>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</si>
  <si>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</si>
  <si>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</si>
  <si>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</si>
  <si>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</si>
  <si>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</si>
  <si>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</si>
  <si>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</si>
  <si>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</si>
  <si>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</si>
  <si>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</si>
  <si>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</si>
  <si>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</si>
  <si>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</si>
  <si>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</si>
  <si>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</si>
  <si>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</si>
  <si>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</si>
  <si>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</si>
  <si>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</si>
  <si>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</si>
  <si>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</si>
  <si>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</si>
  <si>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</si>
  <si>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</si>
  <si>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</si>
  <si>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</si>
  <si>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</si>
  <si>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</si>
  <si>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</si>
  <si>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</si>
  <si>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</si>
  <si>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</si>
  <si>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</si>
  <si>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</si>
  <si>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</si>
  <si>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</si>
  <si>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</si>
  <si>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</si>
  <si>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</si>
  <si>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</si>
  <si>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</si>
  <si>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</si>
  <si>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</si>
  <si>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</si>
  <si>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</si>
  <si>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</si>
  <si>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</si>
  <si>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</si>
  <si>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</si>
  <si>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</si>
  <si>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</si>
  <si>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</si>
  <si>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</si>
  <si>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</si>
  <si>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</si>
  <si>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</si>
  <si>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</si>
  <si>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</si>
  <si>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</si>
  <si>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</si>
  <si>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</si>
  <si>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</si>
  <si>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</si>
  <si>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</si>
  <si>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</si>
  <si>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</si>
  <si>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</si>
  <si>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</si>
  <si>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</si>
  <si>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</si>
  <si>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</si>
  <si>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</si>
  <si>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</si>
  <si>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</si>
  <si>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</si>
  <si>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</si>
  <si>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</si>
  <si>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</si>
  <si>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</si>
  <si>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</si>
  <si>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</si>
  <si>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</si>
  <si>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</si>
  <si>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</si>
  <si>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</si>
  <si>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</si>
  <si>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</si>
  <si>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</si>
  <si>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</si>
  <si>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</si>
  <si>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</si>
  <si>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</si>
  <si>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</si>
  <si>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</si>
  <si>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</si>
  <si>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</si>
  <si>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</si>
  <si>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</si>
  <si>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</si>
  <si>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</si>
  <si>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</si>
  <si>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</si>
  <si>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</si>
  <si>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</si>
  <si>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</si>
  <si>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</si>
  <si>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</si>
  <si>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</si>
  <si>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</si>
  <si>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</si>
  <si>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</si>
  <si>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</si>
  <si>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</si>
  <si>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</si>
  <si>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</si>
  <si>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</si>
  <si>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</si>
  <si>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</si>
  <si>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</si>
  <si>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</si>
  <si>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</si>
  <si>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</si>
  <si>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</si>
  <si>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</si>
  <si>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</si>
  <si>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</si>
  <si>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</si>
  <si>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</si>
  <si>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</si>
  <si>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</si>
  <si>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</si>
  <si>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</si>
  <si>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</si>
  <si>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</si>
  <si>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</si>
  <si>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</si>
  <si>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</si>
  <si>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</si>
  <si>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</si>
  <si>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</si>
  <si>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</si>
  <si>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</si>
  <si>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</si>
  <si>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</si>
  <si>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</si>
  <si>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</si>
  <si>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</si>
  <si>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</si>
  <si>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</si>
  <si>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</si>
  <si>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</si>
  <si>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</si>
  <si>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</si>
  <si>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</si>
  <si>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</si>
  <si>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</si>
  <si>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</si>
  <si>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</si>
  <si>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</si>
  <si>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</si>
  <si>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</si>
  <si>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</si>
  <si>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</si>
  <si>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</si>
  <si>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</si>
  <si>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</si>
  <si>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</si>
  <si>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</si>
  <si>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</si>
  <si>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</si>
  <si>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</si>
  <si>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</si>
  <si>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</si>
  <si>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</si>
  <si>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</si>
  <si>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</si>
  <si>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</si>
  <si>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</si>
  <si>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</si>
  <si>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</si>
  <si>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</si>
  <si>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</si>
  <si>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</si>
  <si>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</si>
  <si>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</si>
  <si>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</si>
  <si>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</si>
  <si>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</si>
  <si>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</si>
  <si>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</si>
  <si>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</si>
  <si>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</si>
  <si>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</si>
  <si>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</si>
  <si>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</si>
  <si>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</si>
  <si>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</si>
  <si>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</si>
  <si>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</si>
  <si>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</si>
  <si>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</si>
  <si>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</si>
  <si>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</si>
  <si>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</si>
  <si>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</si>
  <si>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</si>
  <si>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</si>
  <si>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</si>
  <si>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</si>
  <si>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</si>
  <si>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</si>
  <si>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</si>
  <si>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</si>
  <si>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</si>
  <si>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</si>
  <si>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</si>
  <si>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</si>
  <si>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</si>
  <si>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</si>
  <si>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</si>
  <si>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</si>
  <si>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</si>
  <si>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</si>
  <si>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</si>
  <si>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</si>
  <si>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</si>
  <si>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</si>
  <si>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</si>
  <si>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</si>
  <si>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</si>
  <si>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</si>
  <si>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</si>
  <si>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</si>
  <si>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</si>
  <si>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</si>
  <si>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</si>
  <si>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</si>
  <si>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</si>
  <si>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</si>
  <si>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</si>
  <si>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</si>
  <si>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</si>
  <si>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</si>
  <si>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</si>
  <si>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</si>
  <si>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</si>
  <si>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</si>
  <si>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</si>
  <si>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</si>
  <si>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</si>
  <si>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</si>
  <si>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</si>
  <si>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</si>
  <si>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</si>
  <si>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</si>
  <si>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</si>
  <si>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</si>
  <si>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</si>
  <si>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</si>
  <si>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</si>
  <si>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</si>
  <si>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</si>
  <si>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</si>
  <si>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</si>
  <si>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</si>
  <si>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</si>
  <si>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</si>
  <si>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</si>
  <si>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</si>
  <si>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</si>
  <si>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</si>
  <si>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</si>
  <si>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</si>
  <si>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</si>
  <si>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</si>
  <si>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</si>
  <si>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</si>
  <si>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</si>
  <si>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</si>
  <si>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</si>
  <si>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</si>
  <si>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</si>
  <si>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</si>
  <si>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</si>
  <si>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</si>
  <si>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</si>
  <si>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</si>
  <si>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</si>
  <si>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</si>
  <si>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</si>
  <si>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</si>
  <si>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</si>
  <si>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</si>
  <si>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</si>
  <si>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</si>
  <si>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</si>
  <si>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</si>
  <si>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</si>
  <si>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</si>
  <si>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</si>
  <si>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</si>
  <si>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</si>
  <si>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</si>
  <si>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</si>
  <si>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</si>
  <si>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</si>
  <si>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</si>
  <si>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</si>
  <si>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</si>
  <si>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</si>
  <si>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</si>
  <si>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</si>
  <si>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</si>
  <si>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</si>
  <si>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</si>
  <si>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</si>
  <si>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</si>
  <si>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</si>
  <si>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</si>
  <si>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</si>
  <si>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</si>
  <si>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</si>
  <si>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</si>
  <si>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</si>
  <si>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</si>
  <si>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</si>
  <si>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</si>
  <si>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</si>
  <si>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</si>
  <si>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</si>
  <si>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</si>
  <si>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</si>
  <si>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</si>
  <si>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</si>
  <si>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</si>
  <si>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</si>
  <si>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</si>
  <si>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</si>
  <si>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</si>
  <si>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</si>
  <si>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</si>
  <si>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</si>
  <si>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</si>
  <si>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</si>
  <si>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</si>
  <si>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</si>
  <si>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</si>
  <si>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</si>
  <si>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</si>
  <si>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</si>
  <si>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</si>
  <si>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</si>
  <si>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</si>
  <si>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</si>
  <si>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</si>
  <si>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</si>
  <si>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</si>
  <si>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</si>
  <si>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</si>
  <si>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</si>
  <si>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</si>
  <si>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</si>
  <si>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</si>
  <si>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</si>
  <si>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</si>
  <si>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</si>
  <si>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</si>
  <si>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</si>
  <si>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</si>
  <si>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</si>
  <si>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</si>
  <si>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</si>
  <si>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</si>
  <si>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</si>
  <si>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</si>
  <si>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</si>
  <si>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</si>
  <si>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</si>
  <si>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</si>
  <si>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</si>
  <si>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</si>
  <si>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</si>
  <si>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</si>
  <si>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</si>
  <si>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</si>
  <si>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</si>
  <si>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</si>
  <si>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</si>
  <si>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</si>
  <si>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</si>
  <si>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</si>
  <si>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</si>
  <si>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</si>
  <si>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</si>
  <si>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</si>
  <si>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</si>
  <si>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</si>
  <si>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</si>
  <si>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</si>
  <si>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</si>
  <si>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</si>
  <si>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</si>
  <si>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</si>
  <si>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</si>
  <si>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</si>
  <si>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</si>
  <si>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</si>
  <si>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</si>
  <si>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</si>
  <si>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</si>
  <si>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</si>
  <si>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</si>
  <si>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</si>
  <si>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</si>
  <si>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</si>
  <si>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</si>
  <si>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</si>
  <si>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</si>
  <si>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</si>
  <si>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</si>
  <si>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</si>
  <si>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</si>
  <si>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</si>
  <si>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</si>
  <si>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</si>
  <si>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</si>
  <si>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</si>
  <si>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</si>
  <si>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</si>
  <si>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</si>
  <si>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</si>
  <si>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</si>
  <si>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</si>
  <si>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</si>
  <si>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</si>
  <si>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</si>
  <si>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</si>
  <si>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</si>
  <si>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</si>
  <si>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</si>
  <si>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</si>
  <si>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</si>
  <si>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</si>
  <si>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</si>
  <si>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</si>
  <si>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</si>
  <si>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</si>
  <si>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</si>
  <si>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</si>
  <si>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</si>
  <si>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</si>
  <si>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</si>
  <si>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</si>
  <si>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</si>
  <si>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</si>
  <si>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</si>
  <si>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</si>
  <si>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</si>
  <si>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</si>
  <si>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</si>
  <si>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</si>
  <si>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</si>
  <si>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</si>
  <si>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</si>
  <si>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</si>
  <si>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</si>
  <si>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</si>
  <si>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</si>
  <si>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</si>
  <si>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</si>
  <si>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</si>
  <si>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</si>
  <si>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</si>
  <si>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</si>
  <si>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</si>
  <si>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</si>
  <si>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</si>
  <si>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</si>
  <si>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</si>
  <si>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</si>
  <si>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</si>
  <si>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</si>
  <si>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</si>
  <si>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</si>
  <si>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</si>
  <si>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</si>
  <si>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</si>
  <si>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</si>
  <si>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</si>
  <si>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</si>
  <si>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</si>
  <si>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</si>
  <si>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</si>
  <si>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</si>
  <si>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</si>
  <si>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</si>
  <si>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</si>
  <si>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</si>
  <si>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</si>
  <si>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</si>
  <si>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</si>
  <si>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</si>
  <si>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</si>
  <si>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</si>
  <si>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</si>
  <si>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</si>
  <si>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</si>
  <si>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</si>
  <si>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</si>
  <si>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</si>
  <si>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</si>
  <si>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</si>
  <si>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</si>
  <si>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</si>
  <si>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</si>
  <si>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</si>
  <si>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</si>
  <si>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</si>
  <si>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</si>
  <si>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</si>
  <si>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</si>
  <si>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</si>
  <si>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</si>
  <si>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</si>
  <si>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</si>
  <si>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</si>
  <si>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</si>
  <si>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</si>
  <si>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</si>
  <si>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</si>
  <si>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</si>
  <si>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</si>
  <si>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</si>
  <si>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</si>
  <si>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</si>
  <si>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</si>
  <si>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</si>
  <si>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</si>
  <si>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</si>
  <si>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</si>
  <si>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</si>
  <si>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</si>
  <si>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</si>
  <si>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</si>
  <si>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</si>
  <si>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</si>
  <si>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</si>
  <si>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</si>
  <si>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</si>
  <si>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</si>
  <si>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</si>
  <si>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</si>
  <si>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</si>
  <si>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</si>
  <si>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</si>
  <si>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</si>
  <si>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</si>
  <si>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</si>
  <si>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</si>
  <si>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</si>
  <si>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</si>
  <si>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</si>
  <si>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</si>
  <si>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</si>
  <si>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</si>
  <si>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</si>
  <si>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</si>
  <si>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</si>
  <si>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</si>
  <si>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</si>
  <si>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</si>
  <si>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</si>
  <si>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</si>
  <si>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</si>
  <si>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</si>
  <si>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</si>
  <si>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</si>
  <si>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</si>
  <si>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</si>
  <si>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</si>
  <si>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</si>
  <si>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</si>
  <si>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</si>
  <si>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</si>
  <si>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</si>
  <si>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</si>
  <si>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</si>
  <si>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</si>
  <si>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</si>
  <si>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</si>
  <si>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</si>
  <si>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</si>
  <si>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</si>
  <si>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</si>
  <si>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</si>
  <si>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</si>
  <si>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</si>
  <si>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</si>
  <si>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</si>
  <si>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</si>
  <si>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</si>
  <si>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</si>
  <si>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</si>
  <si>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</si>
  <si>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</si>
  <si>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</si>
  <si>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</si>
  <si>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</si>
  <si>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</si>
  <si>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</si>
  <si>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</si>
  <si>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</si>
  <si>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</si>
  <si>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</si>
  <si>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</si>
  <si>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</si>
  <si>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</si>
  <si>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</si>
  <si>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</si>
  <si>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</si>
  <si>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</si>
  <si>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</si>
  <si>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</si>
  <si>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</si>
  <si>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</si>
  <si>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</si>
  <si>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</si>
  <si>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</si>
  <si>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</si>
  <si>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</si>
  <si>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</si>
  <si>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</si>
  <si>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</si>
  <si>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</si>
  <si>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</si>
  <si>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</si>
  <si>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</si>
  <si>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</si>
  <si>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</si>
  <si>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</si>
  <si>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</si>
  <si>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</si>
  <si>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</si>
  <si>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</si>
  <si>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</si>
  <si>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</si>
  <si>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</si>
  <si>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</si>
  <si>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</si>
  <si>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</si>
  <si>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</si>
  <si>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</si>
  <si>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</si>
  <si>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</si>
  <si>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</si>
  <si>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</si>
  <si>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</si>
  <si>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</si>
  <si>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</si>
  <si>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</si>
  <si>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</si>
  <si>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</si>
  <si>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</si>
  <si>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</si>
  <si>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</si>
  <si>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</si>
  <si>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</si>
  <si>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</si>
  <si>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</si>
  <si>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</si>
  <si>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</si>
  <si>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</si>
  <si>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</si>
  <si>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</si>
  <si>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</si>
  <si>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</si>
  <si>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</si>
  <si>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</si>
  <si>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</si>
  <si>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</si>
  <si>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</si>
  <si>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</si>
  <si>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</si>
  <si>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</si>
  <si>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</si>
  <si>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</si>
  <si>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</si>
  <si>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</si>
  <si>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</si>
  <si>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</si>
  <si>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</si>
  <si>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</si>
  <si>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</si>
  <si>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</si>
  <si>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</si>
  <si>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</si>
  <si>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</si>
  <si>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</si>
  <si>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</si>
  <si>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</si>
  <si>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</si>
  <si>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</si>
  <si>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</si>
  <si>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</si>
  <si>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</si>
  <si>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</si>
  <si>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</si>
  <si>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</si>
  <si>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</si>
  <si>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</si>
  <si>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</si>
  <si>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</si>
  <si>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</si>
  <si>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</si>
  <si>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</si>
  <si>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</si>
  <si>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</si>
  <si>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</si>
  <si>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</si>
  <si>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</si>
  <si>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</si>
  <si>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</si>
  <si>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</si>
  <si>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</si>
  <si>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</si>
  <si>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</si>
  <si>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</si>
  <si>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</si>
  <si>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</si>
  <si>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</si>
  <si>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</si>
  <si>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</si>
  <si>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</si>
  <si>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</si>
  <si>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</si>
  <si>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</si>
  <si>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</si>
  <si>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</si>
  <si>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</si>
  <si>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</si>
  <si>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</si>
  <si>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</si>
  <si>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</si>
  <si>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</si>
  <si>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</si>
  <si>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</si>
  <si>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</si>
  <si>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</si>
  <si>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</si>
  <si>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</si>
  <si>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</si>
  <si>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</si>
  <si>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</si>
  <si>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</si>
  <si>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</si>
  <si>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</si>
  <si>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</si>
  <si>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</si>
  <si>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</si>
  <si>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</si>
  <si>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</si>
  <si>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</si>
  <si>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</si>
  <si>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</si>
  <si>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</si>
  <si>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</si>
  <si>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</si>
  <si>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</si>
  <si>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</si>
  <si>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</si>
  <si>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</si>
  <si>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</si>
  <si>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</si>
  <si>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</si>
  <si>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</si>
  <si>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</si>
  <si>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</si>
  <si>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</si>
  <si>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Rev &amp; FB Audited Adjustment - 2020-2021</t>
  </si>
  <si>
    <t>Rounding issue with interfund transfer</t>
  </si>
  <si>
    <t>02/15</t>
  </si>
  <si>
    <t>02/36</t>
  </si>
  <si>
    <t>no</t>
  </si>
  <si>
    <t>Trust Fund - Change in market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</si>
</sst>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5">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xf numFmtId="0" fontId="1" fillId="0" borderId="0"/>
  </cellStyleXfs>
  <cellXfs count="327">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40" fontId="42" fillId="6" borderId="0" xfId="0" applyNumberFormat="1" applyFont="1"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9" fillId="0" borderId="0" xfId="0" applyFont="1"/>
    <xf numFmtId="0" fontId="33" fillId="0" borderId="0" xfId="0" applyFont="1"/>
    <xf numFmtId="0" fontId="68" fillId="0" borderId="0" xfId="0" applyFont="1"/>
    <xf numFmtId="4" fontId="69" fillId="0" borderId="0" xfId="0" applyNumberFormat="1" applyFont="1"/>
    <xf numFmtId="4" fontId="69" fillId="0" borderId="5" xfId="0" applyNumberFormat="1" applyFont="1" applyBorder="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lignment horizontal="center"/>
    </xf>
    <xf numFmtId="165" fontId="72" fillId="0" borderId="0" xfId="0" applyNumberFormat="1" applyFont="1" applyAlignment="1">
      <alignment horizontal="left"/>
    </xf>
    <xf numFmtId="164" fontId="41"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Alignment="1" applyProtection="1">
      <alignment vertical="top" wrapText="1" readingOrder="1"/>
      <protection locked="0"/>
    </xf>
    <xf numFmtId="0" fontId="79" fillId="0" borderId="0" xfId="0" applyFont="1" applyAlignment="1" applyProtection="1">
      <alignment vertical="top" wrapText="1" readingOrder="1"/>
      <protection locked="0"/>
    </xf>
    <xf numFmtId="0" fontId="77" fillId="0" borderId="0" xfId="0" applyFont="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xf numFmtId="0" fontId="69"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6" fillId="0" borderId="0" xfId="0" applyFont="1" applyAlignment="1">
      <alignment horizontal="left" vertical="top" wrapText="1"/>
    </xf>
    <xf numFmtId="4" fontId="42" fillId="0" borderId="0" xfId="0" applyNumberFormat="1" applyFont="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17">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1" zoomScaleNormal="146" workbookViewId="0">
      <selection activeCell="G671" sqref="G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1093</v>
      </c>
      <c r="B2">
        <f>INDEX('School Tables'!$AH$3:$AH$208,MATCH('DOE25'!A2,'School Tables'!$AJ$3:$AJ$208,0))</f>
        <v>233</v>
      </c>
      <c r="C2">
        <f>INDEX('School Tables'!$AI$3:$AI$208,MATCH('DOE25'!A2,'School Tables'!$AJ$3:$AJ$208,0))</f>
        <v>233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100+54634.28</f>
        <v>54734.28</v>
      </c>
      <c r="G9" s="18"/>
      <c r="H9" s="18"/>
      <c r="I9" s="18"/>
      <c r="J9" s="13">
        <f>SUM(I440)</f>
        <v>2337490.9200000004</v>
      </c>
      <c r="K9" s="23" t="s">
        <v>288</v>
      </c>
      <c r="L9" s="23" t="s">
        <v>288</v>
      </c>
      <c r="M9" s="8"/>
      <c r="N9" s="165"/>
    </row>
    <row r="10" spans="1:14" s="3" customFormat="1" ht="12.2" customHeight="1" x14ac:dyDescent="0.15">
      <c r="A10" s="1" t="s">
        <v>562</v>
      </c>
      <c r="B10" s="2" t="s">
        <v>289</v>
      </c>
      <c r="C10" s="6">
        <v>2</v>
      </c>
      <c r="D10" s="2" t="s">
        <v>428</v>
      </c>
      <c r="E10" s="6">
        <v>110</v>
      </c>
      <c r="F10" s="18">
        <v>1452523.08</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25850+3740.94</f>
        <v>29590.94</v>
      </c>
      <c r="G13" s="18"/>
      <c r="H13" s="18">
        <f>66190.39</f>
        <v>66190.39</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3858</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12336.36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1553042.6600000001</v>
      </c>
      <c r="G19" s="38">
        <f>SUM(G9:G18)</f>
        <v>0</v>
      </c>
      <c r="H19" s="38">
        <f>SUM(H9:H18)</f>
        <v>66190.39</v>
      </c>
      <c r="I19" s="38">
        <f>SUM(I9:I18)</f>
        <v>0</v>
      </c>
      <c r="J19" s="38">
        <f>SUM(J9:J18)</f>
        <v>2337490.9200000004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-1380.9</v>
      </c>
      <c r="G22" s="18">
        <v>-45347.6</v>
      </c>
      <c r="H22" s="18">
        <f>66190.39-49462.21</f>
        <v>16728.18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13222</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236189.09</v>
      </c>
      <c r="G24" s="18">
        <v>32563.15</v>
      </c>
      <c r="H24" s="18">
        <v>0.1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19374.45</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-3895.59</v>
      </c>
      <c r="G30" s="18">
        <v>12784.4</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5437.07</v>
      </c>
      <c r="G31" s="18">
        <v>-0.5</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268946.12</v>
      </c>
      <c r="G32" s="38">
        <f>SUM(G22:G31)</f>
        <v>-0.54999999999745341</v>
      </c>
      <c r="H32" s="38">
        <f>SUM(H22:H31)</f>
        <v>16728.28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12336.42</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23295</v>
      </c>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v>0.55000000000000004</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v>104620</v>
      </c>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v>350669</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v>49462.11</v>
      </c>
      <c r="I48" s="18"/>
      <c r="J48" s="13">
        <f>SUM(I460)</f>
        <v>2337490.9200000004</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793176.12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1284096.54</v>
      </c>
      <c r="G51" s="38">
        <f>SUM(G35:G50)</f>
        <v>0.55000000000000004</v>
      </c>
      <c r="H51" s="38">
        <f>SUM(H35:H50)</f>
        <v>49462.11</v>
      </c>
      <c r="I51" s="38">
        <f>SUM(I35:I50)</f>
        <v>0</v>
      </c>
      <c r="J51" s="38">
        <f>SUM(J35:J50)</f>
        <v>2337490.9200000004</v>
      </c>
      <c r="K51" s="42" t="s">
        <v>288</v>
      </c>
      <c r="L51" s="42" t="s">
        <v>288</v>
      </c>
      <c r="N51" s="131"/>
    </row>
    <row r="52" spans="1:14" s="3" customFormat="1" ht="12.2" customHeight="1" thickTop="1" x14ac:dyDescent="0.15">
      <c r="A52" s="35" t="s">
        <v>455</v>
      </c>
      <c r="B52" s="36" t="s">
        <v>289</v>
      </c>
      <c r="C52" s="6">
        <v>37</v>
      </c>
      <c r="D52" s="36" t="s">
        <v>653</v>
      </c>
      <c r="E52" s="36"/>
      <c r="F52" s="38">
        <f>F51+F32</f>
        <v>1553042.6600000001</v>
      </c>
      <c r="G52" s="38">
        <f>G51+G32</f>
        <v>2.5466295738851841E-12</v>
      </c>
      <c r="H52" s="38">
        <f>H51+H32</f>
        <v>66190.39</v>
      </c>
      <c r="I52" s="38">
        <f>I51+I32</f>
        <v>0</v>
      </c>
      <c r="J52" s="38">
        <f>J51+J32</f>
        <v>2337490.9200000004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14163397-2307332</f>
        <v>11856065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11856065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6800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176313</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10000</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193113</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4899.7700000000004</v>
      </c>
      <c r="G96" s="18"/>
      <c r="H96" s="18"/>
      <c r="I96" s="18"/>
      <c r="J96" s="18">
        <f>1205+27279</f>
        <v>28484</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139348</f>
        <v>139348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11870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10940.95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1517.39</v>
      </c>
      <c r="G110" s="18"/>
      <c r="H110" s="18">
        <v>4539</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29228.11</v>
      </c>
      <c r="G111" s="38">
        <f>SUM(G96:G110)</f>
        <v>139348</v>
      </c>
      <c r="H111" s="38">
        <f>SUM(H96:H110)</f>
        <v>4539</v>
      </c>
      <c r="I111" s="38">
        <f>SUM(I96:I110)</f>
        <v>0</v>
      </c>
      <c r="J111" s="38">
        <f>SUM(J96:J110)</f>
        <v>28484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12078406.109999999</v>
      </c>
      <c r="G112" s="38">
        <f>G60+G111</f>
        <v>139348</v>
      </c>
      <c r="H112" s="38">
        <f>H60+H79+H94+H111</f>
        <v>4539</v>
      </c>
      <c r="I112" s="38">
        <f>I60+I111</f>
        <v>0</v>
      </c>
      <c r="J112" s="38">
        <f>J60+J111</f>
        <v>28484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f>122670.08+136619.87</f>
        <v>259289.95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2307332</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2566621.9500000002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73653.2</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f>317465.73+197036.58</f>
        <v>514502.30999999994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588155.50999999989</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3154777.46</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v>27433.599999999999</v>
      </c>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27433.599999999999</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130.68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11630+649</f>
        <v>12279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91244.65+3043.18+500+20375</f>
        <v>115162.82999999999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47382.27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22742.6+2508+4830.94</f>
        <v>30081.539999999997</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47382.27</v>
      </c>
      <c r="G163" s="38">
        <f>SUM(G150:G162)</f>
        <v>0</v>
      </c>
      <c r="H163" s="38">
        <f>SUM(H150:H162)</f>
        <v>157654.04999999999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3464.14</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50846.409999999996</v>
      </c>
      <c r="G170" s="38">
        <f>G147+G163+SUM(G164:G169)</f>
        <v>0</v>
      </c>
      <c r="H170" s="38">
        <f>H147+H163+SUM(H164:H169)</f>
        <v>185087.65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24068.36+5269</f>
        <v>29337.360000000001</v>
      </c>
      <c r="H180" s="18"/>
      <c r="I180" s="18"/>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29337.360000000001</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150000</v>
      </c>
      <c r="G187" s="18"/>
      <c r="H187" s="18">
        <v>30000</v>
      </c>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150000</v>
      </c>
      <c r="G189" s="38">
        <f>SUM(G186:G188)</f>
        <v>0</v>
      </c>
      <c r="H189" s="38">
        <f>SUM(H186:H188)</f>
        <v>30000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150000</v>
      </c>
      <c r="G193" s="38">
        <f>G184+SUM(G189:G192)</f>
        <v>29337.360000000001</v>
      </c>
      <c r="H193" s="38">
        <f>+H184+SUM(H189:H192)</f>
        <v>30000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15434029.98</v>
      </c>
      <c r="G194" s="38">
        <f>G112+G140+G170+G193</f>
        <v>168685.36</v>
      </c>
      <c r="H194" s="38">
        <f>H112+H140+H170+H193</f>
        <v>219626.65</v>
      </c>
      <c r="I194" s="38">
        <f>I112+I140+I170+I193</f>
        <v>0</v>
      </c>
      <c r="J194" s="38">
        <f>J112+J140+J193</f>
        <v>28484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3680241.13</v>
      </c>
      <c r="G198" s="18">
        <v>1804553.17</v>
      </c>
      <c r="H198" s="18">
        <v>1990992.65</v>
      </c>
      <c r="I198" s="18">
        <v>67936.41</v>
      </c>
      <c r="J198" s="18">
        <v>51017.06</v>
      </c>
      <c r="K198" s="18">
        <v>0</v>
      </c>
      <c r="L198" s="13">
        <f>SUM(F198:K198)</f>
        <v>7594740.419999999</v>
      </c>
      <c r="M198" s="8"/>
      <c r="N198" s="165"/>
    </row>
    <row r="199" spans="1:14" s="3" customFormat="1" ht="12.2" customHeight="1" x14ac:dyDescent="0.15">
      <c r="A199" s="1" t="s">
        <v>439</v>
      </c>
      <c r="B199" s="2" t="s">
        <v>341</v>
      </c>
      <c r="C199" s="2" t="s">
        <v>291</v>
      </c>
      <c r="D199" s="2" t="s">
        <v>431</v>
      </c>
      <c r="E199" s="6">
        <v>1200</v>
      </c>
      <c r="F199" s="18">
        <v>1641804.39</v>
      </c>
      <c r="G199" s="18">
        <v>886390.89</v>
      </c>
      <c r="H199" s="18">
        <v>45801.559999999939</v>
      </c>
      <c r="I199" s="18">
        <v>7539.32</v>
      </c>
      <c r="J199" s="18">
        <v>257.95</v>
      </c>
      <c r="K199" s="18">
        <v>748.25</v>
      </c>
      <c r="L199" s="13">
        <f>SUM(F199:K199)</f>
        <v>2582542.36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224891.04</v>
      </c>
      <c r="G203" s="18">
        <v>128944.99</v>
      </c>
      <c r="H203" s="18">
        <v>2260.27</v>
      </c>
      <c r="I203" s="18">
        <v>5016.09</v>
      </c>
      <c r="J203" s="18"/>
      <c r="K203" s="18"/>
      <c r="L203" s="13">
        <f t="shared" ref="L203:L209" si="0">SUM(F203:K203)</f>
        <v>361112.39000000007</v>
      </c>
      <c r="M203" s="8"/>
      <c r="N203" s="165"/>
    </row>
    <row r="204" spans="1:14" s="3" customFormat="1" ht="12.2" customHeight="1" x14ac:dyDescent="0.15">
      <c r="A204" s="1" t="s">
        <v>443</v>
      </c>
      <c r="B204" s="2" t="s">
        <v>341</v>
      </c>
      <c r="C204" s="2" t="s">
        <v>295</v>
      </c>
      <c r="D204" s="2" t="s">
        <v>431</v>
      </c>
      <c r="E204" s="6">
        <v>2200</v>
      </c>
      <c r="F204" s="18">
        <v>129752.44</v>
      </c>
      <c r="G204" s="18">
        <v>122816.74</v>
      </c>
      <c r="H204" s="18">
        <v>9039.18</v>
      </c>
      <c r="I204" s="18">
        <v>11078.19</v>
      </c>
      <c r="J204" s="18"/>
      <c r="K204" s="18"/>
      <c r="L204" s="13">
        <f t="shared" si="0"/>
        <v>272686.55</v>
      </c>
      <c r="M204" s="8"/>
      <c r="N204" s="165"/>
    </row>
    <row r="205" spans="1:14" s="3" customFormat="1" ht="12.2" customHeight="1" x14ac:dyDescent="0.15">
      <c r="A205" s="1" t="s">
        <v>444</v>
      </c>
      <c r="B205" s="2" t="s">
        <v>341</v>
      </c>
      <c r="C205" s="2" t="s">
        <v>296</v>
      </c>
      <c r="D205" s="2" t="s">
        <v>431</v>
      </c>
      <c r="E205" s="6">
        <v>2300</v>
      </c>
      <c r="F205" s="18">
        <v>9044.33</v>
      </c>
      <c r="G205" s="18">
        <v>702.84</v>
      </c>
      <c r="H205" s="18">
        <v>549484.97</v>
      </c>
      <c r="I205" s="18"/>
      <c r="J205" s="18"/>
      <c r="K205" s="18">
        <v>6984.83</v>
      </c>
      <c r="L205" s="13">
        <f t="shared" si="0"/>
        <v>566216.97</v>
      </c>
      <c r="M205" s="8"/>
      <c r="N205" s="165"/>
    </row>
    <row r="206" spans="1:14" s="3" customFormat="1" ht="12.2" customHeight="1" x14ac:dyDescent="0.15">
      <c r="A206" s="1" t="s">
        <v>445</v>
      </c>
      <c r="B206" s="2" t="s">
        <v>341</v>
      </c>
      <c r="C206" s="2" t="s">
        <v>297</v>
      </c>
      <c r="D206" s="2" t="s">
        <v>431</v>
      </c>
      <c r="E206" s="6">
        <v>2400</v>
      </c>
      <c r="F206" s="18">
        <v>305471.81</v>
      </c>
      <c r="G206" s="18">
        <v>243325.7</v>
      </c>
      <c r="H206" s="18">
        <v>13367.39</v>
      </c>
      <c r="I206" s="18">
        <v>1700.81</v>
      </c>
      <c r="J206" s="18">
        <v>879.98</v>
      </c>
      <c r="K206" s="18">
        <v>1120</v>
      </c>
      <c r="L206" s="13">
        <f t="shared" si="0"/>
        <v>565865.69000000006</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80801.09</v>
      </c>
      <c r="G208" s="18">
        <v>56272.41</v>
      </c>
      <c r="H208" s="18">
        <v>354546.02999999997</v>
      </c>
      <c r="I208" s="18">
        <v>144161.93</v>
      </c>
      <c r="J208" s="18">
        <v>1964.75</v>
      </c>
      <c r="K208" s="18"/>
      <c r="L208" s="13">
        <f t="shared" si="0"/>
        <v>637746.21</v>
      </c>
      <c r="M208" s="8"/>
      <c r="N208" s="165"/>
    </row>
    <row r="209" spans="1:14" s="3" customFormat="1" ht="12.2" customHeight="1" x14ac:dyDescent="0.15">
      <c r="A209" s="1" t="s">
        <v>448</v>
      </c>
      <c r="B209" s="2" t="s">
        <v>341</v>
      </c>
      <c r="C209" s="2" t="s">
        <v>300</v>
      </c>
      <c r="D209" s="2" t="s">
        <v>431</v>
      </c>
      <c r="E209" s="6">
        <v>2700</v>
      </c>
      <c r="F209" s="18"/>
      <c r="G209" s="18"/>
      <c r="H209" s="18">
        <f>163579.84+93823.25+13744.7</f>
        <v>271147.78999999998</v>
      </c>
      <c r="I209" s="18">
        <v>24485.15</v>
      </c>
      <c r="J209" s="18"/>
      <c r="K209" s="18"/>
      <c r="L209" s="13">
        <f t="shared" si="0"/>
        <v>295632.94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6072006.2299999995</v>
      </c>
      <c r="G212" s="38">
        <f t="shared" si="1"/>
        <v>3243006.7400000007</v>
      </c>
      <c r="H212" s="38">
        <f t="shared" si="1"/>
        <v>3236639.84</v>
      </c>
      <c r="I212" s="38">
        <f t="shared" si="1"/>
        <v>261917.9</v>
      </c>
      <c r="J212" s="38">
        <f t="shared" si="1"/>
        <v>54119.74</v>
      </c>
      <c r="K212" s="38">
        <f t="shared" si="1"/>
        <v>8853.08</v>
      </c>
      <c r="L212" s="38">
        <f t="shared" si="1"/>
        <v>12876543.529999999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v>441610.26</v>
      </c>
      <c r="I217" s="18"/>
      <c r="J217" s="18"/>
      <c r="K217" s="18"/>
      <c r="L217" s="13">
        <f>SUM(F217:K217)</f>
        <v>441610.26</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f>114867.94+32600.94</f>
        <v>147468.88</v>
      </c>
      <c r="I227" s="18">
        <v>17193.8</v>
      </c>
      <c r="J227" s="18"/>
      <c r="K227" s="18"/>
      <c r="L227" s="13">
        <f t="shared" si="2"/>
        <v>164662.68</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589079.14</v>
      </c>
      <c r="I230" s="38">
        <f>SUM(I216:I229)</f>
        <v>17193.8</v>
      </c>
      <c r="J230" s="38">
        <f>SUM(J216:J229)</f>
        <v>0</v>
      </c>
      <c r="K230" s="38">
        <f t="shared" si="3"/>
        <v>0</v>
      </c>
      <c r="L230" s="38">
        <f t="shared" si="3"/>
        <v>606272.93999999994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v>671474.63</v>
      </c>
      <c r="I235" s="18"/>
      <c r="J235" s="18"/>
      <c r="K235" s="18"/>
      <c r="L235" s="13">
        <f>SUM(F235:K235)</f>
        <v>671474.63</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227102.8</v>
      </c>
      <c r="I245" s="18">
        <f>33993.46-2072.96</f>
        <v>31920.5</v>
      </c>
      <c r="J245" s="18"/>
      <c r="K245" s="18"/>
      <c r="L245" s="13">
        <f t="shared" si="4"/>
        <v>259023.3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898577.42999999993</v>
      </c>
      <c r="I248" s="38">
        <f t="shared" si="5"/>
        <v>31920.5</v>
      </c>
      <c r="J248" s="38">
        <f t="shared" si="5"/>
        <v>0</v>
      </c>
      <c r="K248" s="38">
        <f t="shared" si="5"/>
        <v>0</v>
      </c>
      <c r="L248" s="38">
        <f t="shared" si="5"/>
        <v>930497.92999999993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192983.84</v>
      </c>
      <c r="I256" s="18"/>
      <c r="J256" s="18"/>
      <c r="K256" s="18"/>
      <c r="L256" s="13">
        <f t="shared" si="6"/>
        <v>192983.84</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192983.84</v>
      </c>
      <c r="I257" s="38">
        <f t="shared" si="7"/>
        <v>0</v>
      </c>
      <c r="J257" s="38">
        <f t="shared" si="7"/>
        <v>0</v>
      </c>
      <c r="K257" s="38">
        <f t="shared" si="7"/>
        <v>0</v>
      </c>
      <c r="L257" s="38">
        <f>SUM(F257:K257)</f>
        <v>192983.84</v>
      </c>
      <c r="M257" s="8"/>
      <c r="N257" s="165"/>
    </row>
    <row r="258" spans="1:14" s="3" customFormat="1" ht="12.2" customHeight="1" thickTop="1" x14ac:dyDescent="0.15">
      <c r="A258" s="35" t="s">
        <v>462</v>
      </c>
      <c r="B258" s="37">
        <v>10</v>
      </c>
      <c r="C258" s="37">
        <v>8</v>
      </c>
      <c r="D258" s="36" t="s">
        <v>431</v>
      </c>
      <c r="E258" s="37"/>
      <c r="F258" s="38">
        <f t="shared" ref="F258:L258" si="8">F212+F230+F248+F257</f>
        <v>6072006.2299999995</v>
      </c>
      <c r="G258" s="38">
        <f t="shared" si="8"/>
        <v>3243006.7400000007</v>
      </c>
      <c r="H258" s="38">
        <f t="shared" si="8"/>
        <v>4917280.25</v>
      </c>
      <c r="I258" s="38">
        <f t="shared" si="8"/>
        <v>311032.2</v>
      </c>
      <c r="J258" s="38">
        <f t="shared" si="8"/>
        <v>54119.74</v>
      </c>
      <c r="K258" s="38">
        <f t="shared" si="8"/>
        <v>8853.08</v>
      </c>
      <c r="L258" s="38">
        <f t="shared" si="8"/>
        <v>14606298.239999998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230000</v>
      </c>
      <c r="L261" s="13">
        <f>SUM(F261:K261)</f>
        <v>230000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165663.76</v>
      </c>
      <c r="L262" s="13">
        <f>SUM(F262:K262)</f>
        <v>165663.76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29336.86+0.5</f>
        <v>29337.360000000001</v>
      </c>
      <c r="L264" s="13">
        <f>SUM(F264:K264)</f>
        <v>29337.360000000001</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425001.12</v>
      </c>
      <c r="L271" s="38">
        <f t="shared" si="9"/>
        <v>425001.12</v>
      </c>
      <c r="M271" s="8"/>
      <c r="N271" s="165"/>
    </row>
    <row r="272" spans="1:14" s="33" customFormat="1" ht="12.2" customHeight="1" thickTop="1" x14ac:dyDescent="0.2">
      <c r="A272" s="40" t="s">
        <v>464</v>
      </c>
      <c r="B272" s="37">
        <v>10</v>
      </c>
      <c r="C272" s="37">
        <v>18</v>
      </c>
      <c r="D272" s="36" t="s">
        <v>431</v>
      </c>
      <c r="E272" s="37"/>
      <c r="F272" s="39">
        <f t="shared" ref="F272:L272" si="11">F258+F271</f>
        <v>6072006.2299999995</v>
      </c>
      <c r="G272" s="39">
        <f t="shared" si="11"/>
        <v>3243006.7400000007</v>
      </c>
      <c r="H272" s="39">
        <f t="shared" si="11"/>
        <v>4917280.25</v>
      </c>
      <c r="I272" s="39">
        <f t="shared" si="11"/>
        <v>311032.2</v>
      </c>
      <c r="J272" s="39">
        <f t="shared" si="11"/>
        <v>54119.74</v>
      </c>
      <c r="K272" s="39">
        <f t="shared" si="11"/>
        <v>433854.2</v>
      </c>
      <c r="L272" s="39">
        <f t="shared" si="11"/>
        <v>15031299.359999998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f>21630+2295</f>
        <v>23925</v>
      </c>
      <c r="I277" s="18">
        <v>130.68</v>
      </c>
      <c r="J277" s="18">
        <v>17786.54</v>
      </c>
      <c r="K277" s="18"/>
      <c r="L277" s="13">
        <f>SUM(F277:K277)</f>
        <v>41842.22</v>
      </c>
      <c r="M277" s="8"/>
      <c r="N277" s="165"/>
    </row>
    <row r="278" spans="1:14" s="3" customFormat="1" ht="12.2" customHeight="1" x14ac:dyDescent="0.15">
      <c r="A278" s="1" t="s">
        <v>439</v>
      </c>
      <c r="B278" s="2" t="s">
        <v>357</v>
      </c>
      <c r="C278" s="2" t="s">
        <v>291</v>
      </c>
      <c r="D278" s="2" t="s">
        <v>431</v>
      </c>
      <c r="E278" s="6">
        <v>1200</v>
      </c>
      <c r="F278" s="18">
        <v>113135.08</v>
      </c>
      <c r="G278" s="18">
        <v>8706.52</v>
      </c>
      <c r="H278" s="18"/>
      <c r="I278" s="18">
        <v>1028.83</v>
      </c>
      <c r="J278" s="18"/>
      <c r="K278" s="18"/>
      <c r="L278" s="13">
        <f>SUM(F278:K278)</f>
        <v>122870.43000000001</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f>72528+5478.7</f>
        <v>78006.7</v>
      </c>
      <c r="I289" s="18"/>
      <c r="J289" s="18"/>
      <c r="K289" s="18"/>
      <c r="L289" s="13">
        <f>SUM(F289:K289)</f>
        <v>78006.7</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113135.08</v>
      </c>
      <c r="G291" s="39">
        <f t="shared" si="13"/>
        <v>8706.52</v>
      </c>
      <c r="H291" s="39">
        <f t="shared" si="13"/>
        <v>101931.7</v>
      </c>
      <c r="I291" s="39">
        <f t="shared" si="13"/>
        <v>1159.51</v>
      </c>
      <c r="J291" s="39">
        <f t="shared" si="13"/>
        <v>17786.54</v>
      </c>
      <c r="K291" s="39">
        <f t="shared" si="13"/>
        <v>0</v>
      </c>
      <c r="L291" s="38">
        <f t="shared" si="13"/>
        <v>242719.35000000003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113135.08</v>
      </c>
      <c r="G339" s="38">
        <f t="shared" si="20"/>
        <v>8706.52</v>
      </c>
      <c r="H339" s="38">
        <f t="shared" si="20"/>
        <v>101931.7</v>
      </c>
      <c r="I339" s="38">
        <f t="shared" si="20"/>
        <v>1159.51</v>
      </c>
      <c r="J339" s="38">
        <f t="shared" si="20"/>
        <v>17786.54</v>
      </c>
      <c r="K339" s="38">
        <f t="shared" si="20"/>
        <v>0</v>
      </c>
      <c r="L339" s="38">
        <f t="shared" si="20"/>
        <v>242719.35000000003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113135.08</v>
      </c>
      <c r="G353" s="38">
        <f>G339</f>
        <v>8706.52</v>
      </c>
      <c r="H353" s="38">
        <f>H339</f>
        <v>101931.7</v>
      </c>
      <c r="I353" s="38">
        <f>I339</f>
        <v>1159.51</v>
      </c>
      <c r="J353" s="38">
        <f>J339</f>
        <v>17786.54</v>
      </c>
      <c r="K353" s="38">
        <f>K339+K352</f>
        <v>0</v>
      </c>
      <c r="L353" s="38">
        <f>L339+L352</f>
        <v>242719.35000000003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168685.36</v>
      </c>
      <c r="I359" s="18"/>
      <c r="J359" s="18"/>
      <c r="K359" s="18"/>
      <c r="L359" s="13">
        <f>SUM(F359:K359)</f>
        <v>168685.36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SUM(G359:G362)</f>
        <v>0</v>
      </c>
      <c r="H363" s="38">
        <f t="shared" si="22"/>
        <v>168685.36</v>
      </c>
      <c r="I363" s="38">
        <f t="shared" si="22"/>
        <v>0</v>
      </c>
      <c r="J363" s="38">
        <f t="shared" si="22"/>
        <v>0</v>
      </c>
      <c r="K363" s="38">
        <f t="shared" si="22"/>
        <v>0</v>
      </c>
      <c r="L363" s="38">
        <f t="shared" si="22"/>
        <v>168685.36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0</v>
      </c>
      <c r="H397" s="18">
        <v>21</v>
      </c>
      <c r="I397" s="18"/>
      <c r="J397" s="23" t="s">
        <v>288</v>
      </c>
      <c r="K397" s="23" t="s">
        <v>288</v>
      </c>
      <c r="L397" s="13">
        <f t="shared" si="26"/>
        <v>21</v>
      </c>
      <c r="M397" s="8"/>
      <c r="N397" s="165"/>
    </row>
    <row r="398" spans="1:14" s="3" customFormat="1" ht="12.2" customHeight="1" x14ac:dyDescent="0.15">
      <c r="A398" s="62" t="s">
        <v>515</v>
      </c>
      <c r="B398" s="2" t="s">
        <v>381</v>
      </c>
      <c r="C398" s="6">
        <v>10</v>
      </c>
      <c r="D398" s="2" t="s">
        <v>432</v>
      </c>
      <c r="E398" s="6"/>
      <c r="F398" s="18"/>
      <c r="G398" s="18"/>
      <c r="H398" s="18">
        <v>439</v>
      </c>
      <c r="I398" s="18"/>
      <c r="J398" s="23" t="s">
        <v>288</v>
      </c>
      <c r="K398" s="23" t="s">
        <v>288</v>
      </c>
      <c r="L398" s="13">
        <f t="shared" si="26"/>
        <v>439</v>
      </c>
      <c r="M398" s="8"/>
      <c r="N398" s="165"/>
    </row>
    <row r="399" spans="1:14" s="3" customFormat="1" ht="12.2" customHeight="1" x14ac:dyDescent="0.15">
      <c r="A399" s="62" t="s">
        <v>558</v>
      </c>
      <c r="B399" s="2" t="s">
        <v>381</v>
      </c>
      <c r="C399" s="6">
        <v>11</v>
      </c>
      <c r="D399" s="2" t="s">
        <v>432</v>
      </c>
      <c r="E399" s="6"/>
      <c r="F399" s="18"/>
      <c r="G399" s="18"/>
      <c r="H399" s="18">
        <v>745</v>
      </c>
      <c r="I399" s="18"/>
      <c r="J399" s="23" t="s">
        <v>288</v>
      </c>
      <c r="K399" s="23" t="s">
        <v>288</v>
      </c>
      <c r="L399" s="13">
        <f t="shared" si="26"/>
        <v>745</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27279</v>
      </c>
      <c r="I401" s="18">
        <v>0</v>
      </c>
      <c r="J401" s="23" t="s">
        <v>288</v>
      </c>
      <c r="K401" s="23" t="s">
        <v>288</v>
      </c>
      <c r="L401" s="13">
        <f t="shared" si="26"/>
        <v>27279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28484</v>
      </c>
      <c r="I402" s="38">
        <f>SUM(I396:I401)</f>
        <v>0</v>
      </c>
      <c r="J402" s="42" t="s">
        <v>288</v>
      </c>
      <c r="K402" s="42" t="s">
        <v>288</v>
      </c>
      <c r="L402" s="38">
        <f>SUM(L396:L401)</f>
        <v>28484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28484</v>
      </c>
      <c r="I409" s="38">
        <f>I394+I402+I408</f>
        <v>0</v>
      </c>
      <c r="J409" s="23" t="s">
        <v>288</v>
      </c>
      <c r="K409" s="23" t="s">
        <v>288</v>
      </c>
      <c r="L409" s="38">
        <f>L394+L402+L408</f>
        <v>28484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150000</v>
      </c>
      <c r="L423" s="13">
        <f t="shared" si="29"/>
        <v>150000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v>9171</v>
      </c>
      <c r="J427" s="18"/>
      <c r="K427" s="18">
        <v>251900</v>
      </c>
      <c r="L427" s="13">
        <f t="shared" si="29"/>
        <v>261071</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9171</v>
      </c>
      <c r="J428" s="38">
        <f t="shared" si="30"/>
        <v>0</v>
      </c>
      <c r="K428" s="38">
        <f t="shared" si="30"/>
        <v>401900</v>
      </c>
      <c r="L428" s="38">
        <f t="shared" si="30"/>
        <v>411071</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9171</v>
      </c>
      <c r="J435" s="38">
        <f t="shared" si="32"/>
        <v>0</v>
      </c>
      <c r="K435" s="38">
        <f t="shared" si="32"/>
        <v>401900</v>
      </c>
      <c r="L435" s="38">
        <f t="shared" si="32"/>
        <v>411071</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f>611566.74+1725921+3.18</f>
        <v>2337490.9200000004</v>
      </c>
      <c r="H440" s="18"/>
      <c r="I440" s="13">
        <f t="shared" ref="I440:I446" si="33">SUM(F440:H440)</f>
        <v>2337490.9200000004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2337490.9200000004</v>
      </c>
      <c r="H447" s="13">
        <f>SUM(H440:H446)</f>
        <v>0</v>
      </c>
      <c r="I447" s="13">
        <f>SUM(I440:I446)</f>
        <v>2337490.9200000004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2337487.74+3.18</f>
        <v>2337490.9200000004</v>
      </c>
      <c r="H460" s="18"/>
      <c r="I460" s="13">
        <f t="shared" si="34"/>
        <v>2337490.9200000004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2337490.9200000004</v>
      </c>
      <c r="H461" s="65">
        <f>SUM(H455:H460)</f>
        <v>0</v>
      </c>
      <c r="I461" s="65">
        <f>SUM(I455:I460)</f>
        <v>2337490.9200000004</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2337490.9200000004</v>
      </c>
      <c r="H462" s="39">
        <f>H453+H461</f>
        <v>0</v>
      </c>
      <c r="I462" s="39">
        <f>I453+I461</f>
        <v>2337490.9200000004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722519.07</v>
      </c>
      <c r="G466" s="18">
        <v>0.55000000000000004</v>
      </c>
      <c r="H466" s="18">
        <v>72554.81</v>
      </c>
      <c r="I466" s="18">
        <v>0</v>
      </c>
      <c r="J466" s="18">
        <v>2720077.92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15434029.98</v>
      </c>
      <c r="G469" s="18">
        <v>168685.36</v>
      </c>
      <c r="H469" s="18">
        <f>185087.65+34539</f>
        <v>219626.65</v>
      </c>
      <c r="I469" s="18"/>
      <c r="J469" s="18">
        <f>28484</f>
        <v>28484</v>
      </c>
      <c r="K469" s="23" t="s">
        <v>288</v>
      </c>
      <c r="L469" s="23" t="s">
        <v>288</v>
      </c>
      <c r="N469" s="131"/>
    </row>
    <row r="470" spans="1:14" ht="12.2" customHeight="1" x14ac:dyDescent="0.2">
      <c r="A470" s="71" t="s">
        <v>611</v>
      </c>
      <c r="B470" s="22">
        <v>19</v>
      </c>
      <c r="C470" s="31">
        <v>3</v>
      </c>
      <c r="D470" s="2" t="s">
        <v>432</v>
      </c>
      <c r="E470" s="31"/>
      <c r="F470" s="18">
        <f>158846.35+0.5</f>
        <v>158846.85</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15592876.83</v>
      </c>
      <c r="G471" s="19">
        <f>SUM(G469:G470)</f>
        <v>168685.36</v>
      </c>
      <c r="H471" s="19">
        <f>SUM(H469:H470)</f>
        <v>219626.65</v>
      </c>
      <c r="I471" s="19">
        <f>SUM(I469:I470)</f>
        <v>0</v>
      </c>
      <c r="J471" s="19">
        <f>SUM(J469:J470)</f>
        <v>28484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15031298.86+0.5</f>
        <v>15031299.359999999</v>
      </c>
      <c r="G473" s="18">
        <v>168685.36</v>
      </c>
      <c r="H473" s="18">
        <f>164712.65+72528+5478.7</f>
        <v>242719.35</v>
      </c>
      <c r="I473" s="18"/>
      <c r="J473" s="18">
        <f>159171+251900</f>
        <v>411071</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15031299.359999999</v>
      </c>
      <c r="G475" s="19">
        <f>SUM(G473:G474)</f>
        <v>168685.36</v>
      </c>
      <c r="H475" s="19">
        <f>SUM(H473:H474)</f>
        <v>242719.35</v>
      </c>
      <c r="I475" s="19">
        <f>SUM(I473:I474)</f>
        <v>0</v>
      </c>
      <c r="J475" s="19">
        <f>SUM(J473:J474)</f>
        <v>411071</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1284096.540000001</v>
      </c>
      <c r="G477" s="19">
        <f>(G466+G471)- G475</f>
        <v>0.54999999998835847</v>
      </c>
      <c r="H477" s="19">
        <f>(H466+H471)- H475</f>
        <v>49462.109999999957</v>
      </c>
      <c r="I477" s="19">
        <f>(I466+I471)- I475</f>
        <v>0</v>
      </c>
      <c r="J477" s="19">
        <f>(J466+J471)- J475</f>
        <v>2337490.92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1802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1803</v>
      </c>
      <c r="B484" s="73"/>
      <c r="C484" s="73"/>
      <c r="D484" s="73"/>
      <c r="E484" s="73"/>
      <c r="F484" s="73"/>
      <c r="G484" s="73"/>
      <c r="H484" s="73"/>
      <c r="I484" s="73" t="s">
        <v>18</v>
      </c>
      <c r="J484" s="73"/>
      <c r="K484" s="73"/>
      <c r="L484" s="73"/>
      <c r="N484" s="131"/>
    </row>
    <row r="485" spans="1:14" ht="12.2" customHeight="1" x14ac:dyDescent="0.2">
      <c r="A485" s="55" t="s">
        <v>1807</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1804</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1805</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5391000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3.04</v>
      </c>
      <c r="G495" s="18"/>
      <c r="H495" s="18"/>
      <c r="I495" s="18"/>
      <c r="J495" s="18"/>
      <c r="K495" s="23" t="s">
        <v>288</v>
      </c>
      <c r="L495" s="23" t="s">
        <v>288</v>
      </c>
      <c r="N495" s="131"/>
    </row>
    <row r="496" spans="1:14" ht="12.2" customHeight="1" x14ac:dyDescent="0.2">
      <c r="A496" s="21" t="s">
        <v>619</v>
      </c>
      <c r="B496" s="22">
        <v>20</v>
      </c>
      <c r="C496" s="22">
        <v>6</v>
      </c>
      <c r="D496" s="2" t="s">
        <v>432</v>
      </c>
      <c r="E496" s="22"/>
      <c r="F496" s="18">
        <v>4270000</v>
      </c>
      <c r="G496" s="18"/>
      <c r="H496" s="18"/>
      <c r="I496" s="18"/>
      <c r="J496" s="18"/>
      <c r="K496" s="19">
        <f>SUM(F496:J496)</f>
        <v>4270000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230000</v>
      </c>
      <c r="G498" s="18"/>
      <c r="H498" s="18"/>
      <c r="I498" s="18"/>
      <c r="J498" s="18"/>
      <c r="K498" s="19">
        <f t="shared" si="35"/>
        <v>230000</v>
      </c>
      <c r="L498" s="23" t="s">
        <v>288</v>
      </c>
      <c r="N498" s="131"/>
    </row>
    <row r="499" spans="1:14" ht="12.2" customHeight="1" x14ac:dyDescent="0.2">
      <c r="A499" s="144" t="s">
        <v>622</v>
      </c>
      <c r="B499" s="145">
        <v>20</v>
      </c>
      <c r="C499" s="145">
        <v>9</v>
      </c>
      <c r="D499" s="146" t="s">
        <v>432</v>
      </c>
      <c r="E499" s="145"/>
      <c r="F499" s="147">
        <f>F496-F498</f>
        <v>4040000</v>
      </c>
      <c r="G499" s="147"/>
      <c r="H499" s="147"/>
      <c r="I499" s="147"/>
      <c r="J499" s="147"/>
      <c r="K499" s="148">
        <f t="shared" si="35"/>
        <v>4040000</v>
      </c>
      <c r="L499" s="149" t="s">
        <v>288</v>
      </c>
      <c r="N499" s="131"/>
    </row>
    <row r="500" spans="1:14" ht="12.2" customHeight="1" thickBot="1" x14ac:dyDescent="0.25">
      <c r="A500" s="21" t="s">
        <v>623</v>
      </c>
      <c r="B500" s="22">
        <v>20</v>
      </c>
      <c r="C500" s="22">
        <v>10</v>
      </c>
      <c r="D500" s="2" t="s">
        <v>432</v>
      </c>
      <c r="E500" s="22"/>
      <c r="F500" s="18">
        <f>1216077.48-165664</f>
        <v>1050413.48</v>
      </c>
      <c r="G500" s="18"/>
      <c r="H500" s="18"/>
      <c r="I500" s="18"/>
      <c r="J500" s="18"/>
      <c r="K500" s="19">
        <f t="shared" si="35"/>
        <v>1050413.48</v>
      </c>
      <c r="L500" s="23" t="s">
        <v>288</v>
      </c>
      <c r="N500" s="131"/>
    </row>
    <row r="501" spans="1:14" ht="12.2" customHeight="1" thickTop="1" x14ac:dyDescent="0.2">
      <c r="A501" s="97" t="s">
        <v>624</v>
      </c>
      <c r="B501" s="41">
        <v>20</v>
      </c>
      <c r="C501" s="41">
        <v>11</v>
      </c>
      <c r="D501" s="36" t="s">
        <v>432</v>
      </c>
      <c r="E501" s="41"/>
      <c r="F501" s="39">
        <f>SUM(F499:F500)</f>
        <v>5090413.4800000004</v>
      </c>
      <c r="G501" s="39">
        <f>SUM(G499:G500)</f>
        <v>0</v>
      </c>
      <c r="H501" s="39">
        <f>SUM(H499:H500)</f>
        <v>0</v>
      </c>
      <c r="I501" s="39">
        <f>SUM(I499:I500)</f>
        <v>0</v>
      </c>
      <c r="J501" s="39">
        <f>SUM(J499:J500)</f>
        <v>0</v>
      </c>
      <c r="K501" s="39">
        <f t="shared" si="35"/>
        <v>5090413.4800000004</v>
      </c>
      <c r="L501" s="42" t="s">
        <v>288</v>
      </c>
      <c r="N501" s="131"/>
    </row>
    <row r="502" spans="1:14" ht="12.2" customHeight="1" x14ac:dyDescent="0.2">
      <c r="A502" s="144" t="s">
        <v>651</v>
      </c>
      <c r="B502" s="145">
        <v>20</v>
      </c>
      <c r="C502" s="145">
        <v>12</v>
      </c>
      <c r="D502" s="146" t="s">
        <v>432</v>
      </c>
      <c r="E502" s="145"/>
      <c r="F502" s="147">
        <v>240000</v>
      </c>
      <c r="G502" s="147"/>
      <c r="H502" s="147"/>
      <c r="I502" s="147"/>
      <c r="J502" s="147"/>
      <c r="K502" s="148">
        <f t="shared" si="35"/>
        <v>240000</v>
      </c>
      <c r="L502" s="149" t="s">
        <v>288</v>
      </c>
      <c r="N502" s="131"/>
    </row>
    <row r="503" spans="1:14" ht="12.2" customHeight="1" thickBot="1" x14ac:dyDescent="0.25">
      <c r="A503" s="21" t="s">
        <v>625</v>
      </c>
      <c r="B503" s="22">
        <v>20</v>
      </c>
      <c r="C503" s="22">
        <v>13</v>
      </c>
      <c r="D503" s="2" t="s">
        <v>432</v>
      </c>
      <c r="E503" s="22"/>
      <c r="F503" s="18">
        <v>153934</v>
      </c>
      <c r="G503" s="18"/>
      <c r="H503" s="18"/>
      <c r="I503" s="18"/>
      <c r="J503" s="18"/>
      <c r="K503" s="19">
        <f t="shared" si="35"/>
        <v>153934</v>
      </c>
      <c r="L503" s="23" t="s">
        <v>288</v>
      </c>
      <c r="N503" s="131"/>
    </row>
    <row r="504" spans="1:14" ht="12.2" customHeight="1" thickTop="1" x14ac:dyDescent="0.2">
      <c r="A504" s="97" t="s">
        <v>626</v>
      </c>
      <c r="B504" s="41">
        <v>20</v>
      </c>
      <c r="C504" s="41">
        <v>14</v>
      </c>
      <c r="D504" s="36" t="s">
        <v>432</v>
      </c>
      <c r="E504" s="41"/>
      <c r="F504" s="39">
        <f>SUM(F502:F503)</f>
        <v>393934</v>
      </c>
      <c r="G504" s="39">
        <f>SUM(G502:G503)</f>
        <v>0</v>
      </c>
      <c r="H504" s="39">
        <f>SUM(H502:H503)</f>
        <v>0</v>
      </c>
      <c r="I504" s="39">
        <f>SUM(I502:I503)</f>
        <v>0</v>
      </c>
      <c r="J504" s="39">
        <f>SUM(J502:J503)</f>
        <v>0</v>
      </c>
      <c r="K504" s="39">
        <f t="shared" si="35"/>
        <v>393934</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1689805.45</v>
      </c>
      <c r="G522" s="18">
        <v>877140.41</v>
      </c>
      <c r="H522" s="18">
        <v>494910.82</v>
      </c>
      <c r="I522" s="18">
        <v>8568.15</v>
      </c>
      <c r="J522" s="18">
        <v>257.95</v>
      </c>
      <c r="K522" s="18">
        <v>400</v>
      </c>
      <c r="L522" s="69">
        <f>SUM(F522:K522)</f>
        <v>3071082.78</v>
      </c>
      <c r="N522" s="131"/>
    </row>
    <row r="523" spans="1:14" ht="12.2" customHeight="1" x14ac:dyDescent="0.2">
      <c r="A523" s="21" t="s">
        <v>634</v>
      </c>
      <c r="B523" s="22">
        <v>21</v>
      </c>
      <c r="C523" s="22">
        <v>2</v>
      </c>
      <c r="D523" s="2" t="s">
        <v>432</v>
      </c>
      <c r="E523" s="22"/>
      <c r="F523" s="18"/>
      <c r="G523" s="18"/>
      <c r="H523" s="18">
        <v>12876</v>
      </c>
      <c r="I523" s="18"/>
      <c r="J523" s="18"/>
      <c r="K523" s="18"/>
      <c r="L523" s="69">
        <f>SUM(F523:K523)</f>
        <v>12876</v>
      </c>
      <c r="N523" s="131"/>
    </row>
    <row r="524" spans="1:14" ht="12.2" customHeight="1" thickBot="1" x14ac:dyDescent="0.25">
      <c r="A524" s="21" t="s">
        <v>635</v>
      </c>
      <c r="B524" s="22">
        <v>21</v>
      </c>
      <c r="C524" s="22">
        <v>3</v>
      </c>
      <c r="D524" s="2" t="s">
        <v>432</v>
      </c>
      <c r="E524" s="22"/>
      <c r="F524" s="18"/>
      <c r="G524" s="18"/>
      <c r="H524" s="18">
        <v>671474.63</v>
      </c>
      <c r="I524" s="18"/>
      <c r="J524" s="18"/>
      <c r="K524" s="18"/>
      <c r="L524" s="69">
        <f>SUM(F524:K524)</f>
        <v>671474.63</v>
      </c>
      <c r="N524" s="131"/>
    </row>
    <row r="525" spans="1:14" ht="12.2" customHeight="1" thickTop="1" x14ac:dyDescent="0.2">
      <c r="A525" s="97" t="s">
        <v>63</v>
      </c>
      <c r="B525" s="41">
        <v>21</v>
      </c>
      <c r="C525" s="41">
        <v>4</v>
      </c>
      <c r="D525" s="115" t="s">
        <v>432</v>
      </c>
      <c r="E525" s="41"/>
      <c r="F525" s="81">
        <f>SUM(F522:F524)</f>
        <v>1689805.45</v>
      </c>
      <c r="G525" s="81">
        <f t="shared" ref="G525:L525" si="36">SUM(G522:G524)</f>
        <v>877140.41</v>
      </c>
      <c r="H525" s="81">
        <f t="shared" si="36"/>
        <v>1179261.45</v>
      </c>
      <c r="I525" s="81">
        <f t="shared" si="36"/>
        <v>8568.15</v>
      </c>
      <c r="J525" s="81">
        <f t="shared" si="36"/>
        <v>257.95</v>
      </c>
      <c r="K525" s="81">
        <f t="shared" si="36"/>
        <v>400</v>
      </c>
      <c r="L525" s="70">
        <f t="shared" si="36"/>
        <v>3755433.4099999997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65434.02</v>
      </c>
      <c r="G527" s="18">
        <v>17657</v>
      </c>
      <c r="H527" s="18"/>
      <c r="I527" s="18"/>
      <c r="J527" s="18"/>
      <c r="K527" s="18"/>
      <c r="L527" s="69">
        <f>SUM(F527:K527)</f>
        <v>83091.01999999999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65434.02</v>
      </c>
      <c r="G530" s="70">
        <f t="shared" ref="G530:L530" si="37">SUM(G527:G529)</f>
        <v>17657</v>
      </c>
      <c r="H530" s="70">
        <f t="shared" si="37"/>
        <v>0</v>
      </c>
      <c r="I530" s="70">
        <f t="shared" si="37"/>
        <v>0</v>
      </c>
      <c r="J530" s="70">
        <f t="shared" si="37"/>
        <v>0</v>
      </c>
      <c r="K530" s="70">
        <f t="shared" si="37"/>
        <v>0</v>
      </c>
      <c r="L530" s="70">
        <f t="shared" si="37"/>
        <v>83091.01999999999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93823.25</v>
      </c>
      <c r="I542" s="18"/>
      <c r="J542" s="18"/>
      <c r="K542" s="18"/>
      <c r="L542" s="69">
        <f>SUM(F542:K542)</f>
        <v>93823.25</v>
      </c>
      <c r="M542" s="8"/>
      <c r="N542" s="165"/>
    </row>
    <row r="543" spans="1:14" s="3" customFormat="1" ht="12.2" customHeight="1" x14ac:dyDescent="0.15">
      <c r="A543" s="21" t="s">
        <v>634</v>
      </c>
      <c r="B543" s="22">
        <v>21</v>
      </c>
      <c r="C543" s="22">
        <v>18</v>
      </c>
      <c r="D543" s="2" t="s">
        <v>432</v>
      </c>
      <c r="E543" s="22"/>
      <c r="F543" s="18"/>
      <c r="G543" s="18"/>
      <c r="H543" s="18">
        <v>32600.94</v>
      </c>
      <c r="I543" s="18"/>
      <c r="J543" s="18"/>
      <c r="K543" s="18"/>
      <c r="L543" s="69">
        <f>SUM(F543:K543)</f>
        <v>32600.94</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126424.19</v>
      </c>
      <c r="I545" s="141">
        <f t="shared" si="40"/>
        <v>0</v>
      </c>
      <c r="J545" s="141">
        <f t="shared" si="40"/>
        <v>0</v>
      </c>
      <c r="K545" s="141">
        <f t="shared" si="40"/>
        <v>0</v>
      </c>
      <c r="L545" s="141">
        <f t="shared" si="40"/>
        <v>126424.19</v>
      </c>
      <c r="M545" s="8"/>
      <c r="N545" s="165"/>
    </row>
    <row r="546" spans="1:14" s="3" customFormat="1" ht="12.2" customHeight="1" thickTop="1" x14ac:dyDescent="0.15">
      <c r="A546" s="75" t="s">
        <v>72</v>
      </c>
      <c r="B546" s="41">
        <v>21</v>
      </c>
      <c r="C546" s="41">
        <v>21</v>
      </c>
      <c r="D546" s="115" t="s">
        <v>432</v>
      </c>
      <c r="E546" s="41"/>
      <c r="F546" s="70">
        <f>F525+F530+F535+F540+F545</f>
        <v>1755239.47</v>
      </c>
      <c r="G546" s="70">
        <f t="shared" ref="G546:L546" si="41">G525+G530+G535+G540+G545</f>
        <v>894797.41</v>
      </c>
      <c r="H546" s="70">
        <f t="shared" si="41"/>
        <v>1305685.6399999999</v>
      </c>
      <c r="I546" s="70">
        <f t="shared" si="41"/>
        <v>8568.15</v>
      </c>
      <c r="J546" s="70">
        <f t="shared" si="41"/>
        <v>257.95</v>
      </c>
      <c r="K546" s="70">
        <f t="shared" si="41"/>
        <v>400</v>
      </c>
      <c r="L546" s="70">
        <f t="shared" si="41"/>
        <v>3964948.6199999996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3071082.78</v>
      </c>
      <c r="G550" s="69">
        <f>L527</f>
        <v>83091.01999999999</v>
      </c>
      <c r="H550" s="69">
        <f>L532</f>
        <v>0</v>
      </c>
      <c r="I550" s="69">
        <f>L537</f>
        <v>0</v>
      </c>
      <c r="J550" s="69">
        <f>L542</f>
        <v>93823.25</v>
      </c>
      <c r="K550" s="69">
        <f>SUM(F550:J550)</f>
        <v>3247997.05</v>
      </c>
      <c r="L550" s="23" t="s">
        <v>288</v>
      </c>
      <c r="M550" s="8"/>
      <c r="N550" s="165"/>
    </row>
    <row r="551" spans="1:14" s="3" customFormat="1" ht="12.2" customHeight="1" x14ac:dyDescent="0.15">
      <c r="A551" s="21" t="s">
        <v>634</v>
      </c>
      <c r="B551" s="22">
        <v>21</v>
      </c>
      <c r="C551" s="22">
        <v>23</v>
      </c>
      <c r="D551" s="2" t="s">
        <v>432</v>
      </c>
      <c r="E551" s="22"/>
      <c r="F551" s="69">
        <f>L523</f>
        <v>12876</v>
      </c>
      <c r="G551" s="69">
        <f>L528</f>
        <v>0</v>
      </c>
      <c r="H551" s="69">
        <f>L533</f>
        <v>0</v>
      </c>
      <c r="I551" s="69">
        <f>L538</f>
        <v>0</v>
      </c>
      <c r="J551" s="69">
        <f>L543</f>
        <v>32600.94</v>
      </c>
      <c r="K551" s="69">
        <f>SUM(F551:J551)</f>
        <v>45476.94</v>
      </c>
      <c r="L551" s="23" t="s">
        <v>288</v>
      </c>
      <c r="M551" s="8"/>
      <c r="N551" s="165"/>
    </row>
    <row r="552" spans="1:14" s="3" customFormat="1" ht="12.2" customHeight="1" thickBot="1" x14ac:dyDescent="0.2">
      <c r="A552" s="21" t="s">
        <v>635</v>
      </c>
      <c r="B552" s="22">
        <v>21</v>
      </c>
      <c r="C552" s="22">
        <v>24</v>
      </c>
      <c r="D552" s="2" t="s">
        <v>432</v>
      </c>
      <c r="E552" s="22"/>
      <c r="F552" s="69">
        <f>L524</f>
        <v>671474.63</v>
      </c>
      <c r="G552" s="69">
        <f>L529</f>
        <v>0</v>
      </c>
      <c r="H552" s="69">
        <f>L534</f>
        <v>0</v>
      </c>
      <c r="I552" s="69">
        <f>L539</f>
        <v>0</v>
      </c>
      <c r="J552" s="69">
        <f>L544</f>
        <v>0</v>
      </c>
      <c r="K552" s="69">
        <f>SUM(F552:J552)</f>
        <v>671474.63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3755433.4099999997</v>
      </c>
      <c r="G553" s="70">
        <f t="shared" si="42"/>
        <v>83091.01999999999</v>
      </c>
      <c r="H553" s="70">
        <f t="shared" si="42"/>
        <v>0</v>
      </c>
      <c r="I553" s="70">
        <f t="shared" si="42"/>
        <v>0</v>
      </c>
      <c r="J553" s="70">
        <f t="shared" si="42"/>
        <v>126424.19</v>
      </c>
      <c r="K553" s="70">
        <f t="shared" si="42"/>
        <v>3964948.6199999996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f>2011952-107665</f>
        <v>1904287</v>
      </c>
      <c r="G576" s="18"/>
      <c r="H576" s="18"/>
      <c r="I576" s="69">
        <f>SUM(F576:H576)</f>
        <v>1904287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f>26056.36+20375</f>
        <v>46431.360000000001</v>
      </c>
      <c r="G581" s="18">
        <v>12876</v>
      </c>
      <c r="H581" s="18">
        <v>196690.63</v>
      </c>
      <c r="I581" s="69">
        <f t="shared" si="47"/>
        <v>255997.99</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428734.26+352+3535</f>
        <v>432621.26</v>
      </c>
      <c r="G583" s="18"/>
      <c r="H583" s="18">
        <v>474784</v>
      </c>
      <c r="I583" s="69">
        <f t="shared" si="47"/>
        <v>907405.26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188064.99</v>
      </c>
      <c r="I592" s="18">
        <v>132061.74</v>
      </c>
      <c r="J592" s="18">
        <f>261096.26-2072.96</f>
        <v>259023.30000000002</v>
      </c>
      <c r="K592" s="80">
        <f t="shared" ref="K592:K598" si="48">SUM(H592:J592)</f>
        <v>579150.03</v>
      </c>
      <c r="L592" s="23" t="s">
        <v>288</v>
      </c>
      <c r="M592" s="8"/>
      <c r="N592" s="165"/>
    </row>
    <row r="593" spans="1:14" s="3" customFormat="1" ht="12.2" customHeight="1" x14ac:dyDescent="0.15">
      <c r="A593" s="3" t="s">
        <v>638</v>
      </c>
      <c r="B593" s="22">
        <v>23</v>
      </c>
      <c r="C593" s="22">
        <v>2</v>
      </c>
      <c r="D593" s="2" t="s">
        <v>432</v>
      </c>
      <c r="E593" s="22"/>
      <c r="F593" s="78">
        <v>2722</v>
      </c>
      <c r="G593" s="79" t="s">
        <v>97</v>
      </c>
      <c r="H593" s="18">
        <f>9820.05+84003.2</f>
        <v>93823.25</v>
      </c>
      <c r="I593" s="18">
        <v>32600.94</v>
      </c>
      <c r="J593" s="18"/>
      <c r="K593" s="80">
        <f t="shared" si="48"/>
        <v>126424.19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13744.7</v>
      </c>
      <c r="I596" s="18"/>
      <c r="J596" s="18"/>
      <c r="K596" s="80">
        <f t="shared" si="48"/>
        <v>13744.7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295632.94</v>
      </c>
      <c r="I599" s="81">
        <f>SUM(I592:I598)</f>
        <v>164662.68</v>
      </c>
      <c r="J599" s="81">
        <f>SUM(J592:J598)</f>
        <v>259023.30000000002</v>
      </c>
      <c r="K599" s="81">
        <f>SUM(K592:K598)</f>
        <v>719318.91999999993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71906.28</v>
      </c>
      <c r="I605" s="18"/>
      <c r="J605" s="18"/>
      <c r="K605" s="80">
        <f>SUM(H605:J605)</f>
        <v>71906.28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71906.28</v>
      </c>
      <c r="I606" s="81">
        <f>SUM(I603:I605)</f>
        <v>0</v>
      </c>
      <c r="J606" s="81">
        <f>SUM(J603:J605)</f>
        <v>0</v>
      </c>
      <c r="K606" s="81">
        <f>SUM(K603:K605)</f>
        <v>71906.28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51404.27</v>
      </c>
      <c r="G612" s="18">
        <f>13707.54+500</f>
        <v>14207.54</v>
      </c>
      <c r="H612" s="18">
        <v>2880</v>
      </c>
      <c r="I612" s="18"/>
      <c r="J612" s="18"/>
      <c r="K612" s="18"/>
      <c r="L612" s="69">
        <f>SUM(F612:K612)</f>
        <v>68491.81</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51404.27</v>
      </c>
      <c r="G615" s="81">
        <f t="shared" si="49"/>
        <v>14207.54</v>
      </c>
      <c r="H615" s="81">
        <f t="shared" si="49"/>
        <v>2880</v>
      </c>
      <c r="I615" s="81">
        <f t="shared" si="49"/>
        <v>0</v>
      </c>
      <c r="J615" s="81">
        <f t="shared" si="49"/>
        <v>0</v>
      </c>
      <c r="K615" s="81">
        <f t="shared" si="49"/>
        <v>0</v>
      </c>
      <c r="L615" s="70">
        <f t="shared" si="49"/>
        <v>68491.81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1553042.6600000001</v>
      </c>
      <c r="H618" s="80">
        <f>SUM(F52)</f>
        <v>1553042.6600000001</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2.5466295738851841E-12</v>
      </c>
      <c r="I619" s="87" t="s">
        <v>876</v>
      </c>
      <c r="J619" s="80">
        <f>G619-H619</f>
        <v>-2.5466295738851841E-12</v>
      </c>
      <c r="K619" s="80"/>
      <c r="L619" s="80"/>
      <c r="M619" s="8"/>
    </row>
    <row r="620" spans="1:14" s="3" customFormat="1" ht="12.2" customHeight="1" x14ac:dyDescent="0.15">
      <c r="A620" s="74"/>
      <c r="B620" s="22"/>
      <c r="C620" s="22"/>
      <c r="D620" s="22"/>
      <c r="E620" s="22"/>
      <c r="F620" s="87" t="s">
        <v>685</v>
      </c>
      <c r="G620" s="80">
        <f>SUM(H19)</f>
        <v>66190.39</v>
      </c>
      <c r="H620" s="80">
        <f>SUM(H52)</f>
        <v>66190.39</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2337490.9200000004</v>
      </c>
      <c r="H622" s="80">
        <f>SUM(J52)</f>
        <v>2337490.9200000004</v>
      </c>
      <c r="I622" s="87" t="s">
        <v>879</v>
      </c>
      <c r="J622" s="80">
        <f>G622-H622</f>
        <v>0</v>
      </c>
      <c r="K622" s="80"/>
      <c r="L622" s="80"/>
      <c r="M622" s="8"/>
    </row>
    <row r="623" spans="1:14" s="3" customFormat="1" ht="12.2" customHeight="1" x14ac:dyDescent="0.15">
      <c r="A623" s="74"/>
      <c r="B623" s="22"/>
      <c r="C623" s="22"/>
      <c r="D623" s="22"/>
      <c r="E623" s="22"/>
      <c r="F623" s="87" t="s">
        <v>865</v>
      </c>
      <c r="G623" s="80">
        <f>F51</f>
        <v>1284096.54</v>
      </c>
      <c r="H623" s="80">
        <f>F477</f>
        <v>1284096.540000001</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0.55000000000000004</v>
      </c>
      <c r="H624" s="80">
        <f>G477</f>
        <v>0.54999999998835847</v>
      </c>
      <c r="I624" s="87" t="s">
        <v>102</v>
      </c>
      <c r="J624" s="80">
        <f t="shared" si="50"/>
        <v>1.1641576591614466E-11</v>
      </c>
      <c r="K624" s="80"/>
      <c r="L624" s="80"/>
      <c r="M624" s="8"/>
    </row>
    <row r="625" spans="1:13" s="3" customFormat="1" ht="12.2" customHeight="1" x14ac:dyDescent="0.15">
      <c r="A625" s="74"/>
      <c r="B625" s="22"/>
      <c r="C625" s="22"/>
      <c r="D625" s="22"/>
      <c r="E625" s="22"/>
      <c r="F625" s="86" t="s">
        <v>867</v>
      </c>
      <c r="G625" s="80">
        <f>H51</f>
        <v>49462.11</v>
      </c>
      <c r="H625" s="80">
        <f>H477</f>
        <v>49462.109999999957</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2337490.9200000004</v>
      </c>
      <c r="H627" s="80">
        <f>J477</f>
        <v>2337490.92</v>
      </c>
      <c r="I627" s="87" t="s">
        <v>105</v>
      </c>
      <c r="J627" s="80">
        <f t="shared" si="50"/>
        <v>0</v>
      </c>
      <c r="K627" s="67"/>
      <c r="L627" s="69"/>
      <c r="M627" s="8"/>
    </row>
    <row r="628" spans="1:13" s="3" customFormat="1" ht="12.2" customHeight="1" x14ac:dyDescent="0.15">
      <c r="A628" s="21"/>
      <c r="B628" s="22"/>
      <c r="C628" s="22"/>
      <c r="D628" s="22"/>
      <c r="E628" s="22"/>
      <c r="F628" s="86" t="s">
        <v>658</v>
      </c>
      <c r="G628" s="80">
        <f>F194</f>
        <v>15434029.98</v>
      </c>
      <c r="H628" s="80">
        <f>SUM(F469)</f>
        <v>15434029.98</v>
      </c>
      <c r="I628" s="87" t="s">
        <v>106</v>
      </c>
      <c r="J628" s="80">
        <f>G628-H628</f>
        <v>0</v>
      </c>
      <c r="K628" s="67"/>
      <c r="L628" s="69"/>
      <c r="M628" s="8"/>
    </row>
    <row r="629" spans="1:13" s="3" customFormat="1" ht="12.2" customHeight="1" x14ac:dyDescent="0.15">
      <c r="A629" s="21"/>
      <c r="B629" s="22"/>
      <c r="C629" s="22"/>
      <c r="D629" s="22"/>
      <c r="E629" s="22"/>
      <c r="F629" s="86" t="s">
        <v>659</v>
      </c>
      <c r="G629" s="80">
        <f>G194</f>
        <v>168685.36</v>
      </c>
      <c r="H629" s="80">
        <f>SUM(G469)</f>
        <v>168685.36</v>
      </c>
      <c r="I629" s="87" t="s">
        <v>107</v>
      </c>
      <c r="J629" s="80">
        <f>G629-H629</f>
        <v>0</v>
      </c>
      <c r="K629" s="67"/>
      <c r="L629" s="69"/>
      <c r="M629" s="8"/>
    </row>
    <row r="630" spans="1:13" s="3" customFormat="1" ht="12.2" customHeight="1" x14ac:dyDescent="0.15">
      <c r="A630" s="21"/>
      <c r="B630" s="22"/>
      <c r="C630" s="22"/>
      <c r="D630" s="22"/>
      <c r="E630" s="22"/>
      <c r="F630" s="86" t="s">
        <v>660</v>
      </c>
      <c r="G630" s="80">
        <f>H194</f>
        <v>219626.65</v>
      </c>
      <c r="H630" s="80">
        <f>SUM(H469)</f>
        <v>219626.65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28484</v>
      </c>
      <c r="H632" s="80">
        <f>SUM(J469)</f>
        <v>28484</v>
      </c>
      <c r="I632" s="87" t="s">
        <v>110</v>
      </c>
      <c r="J632" s="80">
        <f>G632-H632</f>
        <v>0</v>
      </c>
      <c r="K632" s="67"/>
      <c r="L632" s="69"/>
      <c r="M632" s="8"/>
    </row>
    <row r="633" spans="1:13" s="3" customFormat="1" ht="12.2" customHeight="1" x14ac:dyDescent="0.15">
      <c r="A633" s="21"/>
      <c r="B633" s="22"/>
      <c r="C633" s="22"/>
      <c r="D633" s="22"/>
      <c r="E633" s="22"/>
      <c r="F633" s="86" t="s">
        <v>394</v>
      </c>
      <c r="G633" s="80">
        <f>SUM(L272)</f>
        <v>15031299.359999998</v>
      </c>
      <c r="H633" s="80">
        <f>SUM(F473)</f>
        <v>15031299.359999999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242719.35000000003</v>
      </c>
      <c r="H634" s="80">
        <f>SUM(H473)</f>
        <v>242719.35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168685.36</v>
      </c>
      <c r="H636" s="80">
        <f>SUM(G473)</f>
        <v>168685.36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28484</v>
      </c>
      <c r="H638" s="108">
        <f>SUM(J469)</f>
        <v>28484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411071</v>
      </c>
      <c r="H639" s="108">
        <f>SUM(J473)</f>
        <v>411071</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2337490.9200000004</v>
      </c>
      <c r="H641" s="80">
        <f>SUM(G462)</f>
        <v>2337490.9200000004</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2337490.9200000004</v>
      </c>
      <c r="H643" s="80">
        <f>SUM(I462)</f>
        <v>2337490.9200000004</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28484</v>
      </c>
      <c r="H645" s="80">
        <f>H409</f>
        <v>28484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28484</v>
      </c>
      <c r="H647" s="80">
        <f>L409</f>
        <v>28484</v>
      </c>
      <c r="I647" s="87" t="s">
        <v>477</v>
      </c>
      <c r="J647" s="80">
        <f t="shared" si="50"/>
        <v>0</v>
      </c>
      <c r="K647" s="67"/>
      <c r="L647" s="69"/>
      <c r="M647" s="8"/>
    </row>
    <row r="648" spans="1:13" s="3" customFormat="1" ht="12.2" customHeight="1" x14ac:dyDescent="0.15">
      <c r="A648" s="21"/>
      <c r="B648" s="22"/>
      <c r="C648" s="22"/>
      <c r="D648" s="22"/>
      <c r="E648" s="22"/>
      <c r="F648" s="86" t="s">
        <v>51</v>
      </c>
      <c r="G648" s="80">
        <f>K599</f>
        <v>719318.91999999993</v>
      </c>
      <c r="H648" s="80">
        <f>L209+L227+L245</f>
        <v>719318.91999999993</v>
      </c>
      <c r="I648" s="87" t="s">
        <v>396</v>
      </c>
      <c r="J648" s="80">
        <f t="shared" si="50"/>
        <v>0</v>
      </c>
      <c r="K648" s="67"/>
      <c r="L648" s="69"/>
      <c r="M648" s="8"/>
    </row>
    <row r="649" spans="1:13" s="3" customFormat="1" ht="12.2" customHeight="1" x14ac:dyDescent="0.15">
      <c r="A649" s="21"/>
      <c r="B649" s="22"/>
      <c r="C649" s="22"/>
      <c r="D649" s="22"/>
      <c r="E649" s="22"/>
      <c r="F649" s="86" t="s">
        <v>52</v>
      </c>
      <c r="G649" s="80">
        <f>K606</f>
        <v>71906.28</v>
      </c>
      <c r="H649" s="80">
        <f>(J258+J339)-(J256+J337)</f>
        <v>71906.28</v>
      </c>
      <c r="I649" s="87" t="s">
        <v>699</v>
      </c>
      <c r="J649" s="80">
        <f t="shared" si="50"/>
        <v>0</v>
      </c>
      <c r="K649" s="67"/>
      <c r="L649" s="69"/>
      <c r="M649" s="8"/>
    </row>
    <row r="650" spans="1:13" s="3" customFormat="1" ht="12.2" customHeight="1" x14ac:dyDescent="0.15">
      <c r="A650" s="21"/>
      <c r="B650" s="22"/>
      <c r="C650" s="22"/>
      <c r="D650" s="22"/>
      <c r="E650" s="22"/>
      <c r="F650" s="86" t="s">
        <v>387</v>
      </c>
      <c r="G650" s="80">
        <f>L209</f>
        <v>295632.94</v>
      </c>
      <c r="H650" s="80">
        <f>H599</f>
        <v>295632.94</v>
      </c>
      <c r="I650" s="87" t="s">
        <v>388</v>
      </c>
      <c r="J650" s="80">
        <f t="shared" si="50"/>
        <v>0</v>
      </c>
      <c r="K650" s="67"/>
      <c r="L650" s="69"/>
      <c r="M650" s="8"/>
    </row>
    <row r="651" spans="1:13" s="3" customFormat="1" ht="12.2" customHeight="1" x14ac:dyDescent="0.15">
      <c r="A651" s="21"/>
      <c r="B651" s="22"/>
      <c r="C651" s="22"/>
      <c r="D651" s="22"/>
      <c r="E651" s="22"/>
      <c r="F651" s="86" t="s">
        <v>392</v>
      </c>
      <c r="G651" s="80">
        <f>L227</f>
        <v>164662.68</v>
      </c>
      <c r="H651" s="80">
        <f>I599</f>
        <v>164662.68</v>
      </c>
      <c r="I651" s="87" t="s">
        <v>389</v>
      </c>
      <c r="J651" s="80">
        <f t="shared" si="50"/>
        <v>0</v>
      </c>
      <c r="K651" s="67"/>
      <c r="L651" s="69"/>
      <c r="M651" s="8"/>
    </row>
    <row r="652" spans="1:13" s="3" customFormat="1" ht="12.2" customHeight="1" x14ac:dyDescent="0.15">
      <c r="A652" s="21"/>
      <c r="B652" s="22"/>
      <c r="C652" s="22"/>
      <c r="D652" s="22"/>
      <c r="E652" s="22"/>
      <c r="F652" s="86" t="s">
        <v>393</v>
      </c>
      <c r="G652" s="80">
        <f>L245</f>
        <v>259023.3</v>
      </c>
      <c r="H652" s="80">
        <f>J599</f>
        <v>259023.30000000002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29337.360000000001</v>
      </c>
      <c r="H653" s="80">
        <f>K264+K346</f>
        <v>29337.360000000001</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13287948.239999998</v>
      </c>
      <c r="G661" s="13">
        <f>(L230+L310+L360)</f>
        <v>606272.93999999994</v>
      </c>
      <c r="H661" s="13">
        <f>(L248+L329+L361)</f>
        <v>930497.92999999993</v>
      </c>
      <c r="I661" s="13">
        <f>SUM(F661:H661)</f>
        <v>14824719.109999998</v>
      </c>
      <c r="J661" s="13"/>
      <c r="K661" s="13"/>
      <c r="L661" s="13"/>
      <c r="M661" s="9"/>
    </row>
    <row r="662" spans="1:13" s="3" customFormat="1" ht="12.2" customHeight="1" x14ac:dyDescent="0.2">
      <c r="A662" s="1" t="s">
        <v>127</v>
      </c>
      <c r="F662" s="13">
        <f>(L359/IF(SUM(L359:L361)=0,1,SUM(L359:L361))*(SUM(G97:G110)))</f>
        <v>139348</v>
      </c>
      <c r="G662" s="13">
        <f>(L360/IF(SUM(L359:L361)=0,1,SUM(L359:L361))*(SUM(G97:G110)))</f>
        <v>0</v>
      </c>
      <c r="H662" s="13">
        <f>(L361/IF(SUM(L359:L361)=0,1,SUM(L359:L361))*(SUM(G97:G110)))</f>
        <v>0</v>
      </c>
      <c r="I662" s="13">
        <f>SUM(F662:H662)</f>
        <v>139348</v>
      </c>
      <c r="J662"/>
      <c r="K662" s="13"/>
      <c r="L662" s="13"/>
      <c r="M662" s="8"/>
    </row>
    <row r="663" spans="1:13" s="3" customFormat="1" ht="12.2" customHeight="1" x14ac:dyDescent="0.2">
      <c r="A663" s="1" t="s">
        <v>128</v>
      </c>
      <c r="F663" s="13">
        <f>(L209+L288)-(J209+J288)</f>
        <v>295632.94</v>
      </c>
      <c r="G663" s="13">
        <f>(L227+L307)-(J227+J307)</f>
        <v>164662.68</v>
      </c>
      <c r="H663" s="13">
        <f>(L245+L326)-(J245+J326)</f>
        <v>259023.3</v>
      </c>
      <c r="I663" s="13">
        <f>SUM(F663:H663)</f>
        <v>719318.91999999993</v>
      </c>
      <c r="J663"/>
      <c r="K663" s="13"/>
      <c r="L663" s="13"/>
      <c r="M663" s="9"/>
    </row>
    <row r="664" spans="1:13" s="3" customFormat="1" ht="12.2" customHeight="1" x14ac:dyDescent="0.15">
      <c r="A664" s="142" t="s">
        <v>129</v>
      </c>
      <c r="B664" s="124"/>
      <c r="C664" s="124"/>
      <c r="D664" s="124"/>
      <c r="E664" s="124"/>
      <c r="F664" s="143">
        <f>SUM(F576:F588)+SUM(H603:H605)+SUM(L612)</f>
        <v>2523737.71</v>
      </c>
      <c r="G664" s="143">
        <f>SUM(G576:G588)+SUM(I603:I605)+L613</f>
        <v>12876</v>
      </c>
      <c r="H664" s="143">
        <f>SUM(H576:H588)+SUM(J603:J605)+L614</f>
        <v>671474.63</v>
      </c>
      <c r="I664" s="13">
        <f>SUM(F664:H664)</f>
        <v>3208088.34</v>
      </c>
      <c r="J664" s="13"/>
      <c r="K664" s="13"/>
      <c r="L664" s="13"/>
      <c r="M664" s="9"/>
    </row>
    <row r="665" spans="1:13" s="3" customFormat="1" ht="12.2" customHeight="1" x14ac:dyDescent="0.15">
      <c r="A665" s="1" t="s">
        <v>130</v>
      </c>
      <c r="F665" s="13">
        <f>F661-SUM(F662:F664)</f>
        <v>10329229.589999998</v>
      </c>
      <c r="G665" s="13">
        <f>G661-SUM(G662:G664)</f>
        <v>428734.25999999995</v>
      </c>
      <c r="H665" s="13">
        <f>H661-SUM(H662:H664)</f>
        <v>0</v>
      </c>
      <c r="I665" s="13">
        <f>I661-SUM(I662:I664)</f>
        <v>10757963.849999998</v>
      </c>
      <c r="J665" s="13"/>
      <c r="K665" s="13"/>
      <c r="L665" s="13"/>
      <c r="M665" s="8"/>
    </row>
    <row r="666" spans="1:13" s="3" customFormat="1" ht="12.2" customHeight="1" x14ac:dyDescent="0.2">
      <c r="A666" s="1" t="s">
        <v>131</v>
      </c>
      <c r="F666" s="183">
        <v>491.26</v>
      </c>
      <c r="G666" s="184"/>
      <c r="H666" s="184"/>
      <c r="I666" s="13">
        <f>SUM(F666:H666)</f>
        <v>491.26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21025.99</v>
      </c>
      <c r="G668" s="13" t="e">
        <f>ROUND(G665/G666,2)</f>
        <v>#DIV/0!</v>
      </c>
      <c r="H668" s="13" t="e">
        <f>ROUND(H665/H666,2)</f>
        <v>#DIV/0!</v>
      </c>
      <c r="I668" s="13">
        <f>ROUND(I665/I666,2)</f>
        <v>21898.720000000001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-428734.26</v>
      </c>
      <c r="H670" s="18"/>
      <c r="I670" s="13">
        <f>SUM(F670:H670)</f>
        <v>-428734.26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21025.99</v>
      </c>
      <c r="G673" s="13" t="e">
        <f>ROUND((G665+G670)/(G666+G671),2)</f>
        <v>#DIV/0!</v>
      </c>
      <c r="H673" s="13" t="e">
        <f>ROUND((H665+H670)/(H666+H671),2)</f>
        <v>#DIV/0!</v>
      </c>
      <c r="I673" s="13">
        <f>ROUND((I665+I670)/(I666+I671),2)</f>
        <v>21025.99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J618:J656 H657">
    <cfRule type="cellIs" dxfId="16" priority="3" stopIfTrue="1" operator="notEqual">
      <formula>0</formula>
    </cfRule>
  </conditionalFormatting>
  <conditionalFormatting sqref="J618:J656">
    <cfRule type="cellIs" dxfId="15" priority="1" operator="lessThan">
      <formula>0</formula>
    </cfRule>
    <cfRule type="cellIs" dxfId="14"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12279</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12279</v>
      </c>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1806</v>
      </c>
      <c r="C3" s="243"/>
      <c r="D3" s="243"/>
      <c r="E3" s="243"/>
      <c r="F3" s="243"/>
      <c r="G3" s="243"/>
      <c r="H3" s="243"/>
      <c r="I3" t="s">
        <v>1613</v>
      </c>
    </row>
    <row r="4" spans="1:9" x14ac:dyDescent="0.2">
      <c r="I4" t="s">
        <v>1614</v>
      </c>
    </row>
    <row r="5" spans="1:9" ht="15.75" x14ac:dyDescent="0.25">
      <c r="A5" s="239" t="s">
        <v>908</v>
      </c>
      <c r="B5" s="301" t="str">
        <f>'DOE25'!A2</f>
        <v>Hanover</v>
      </c>
      <c r="C5" s="302"/>
      <c r="D5" s="302"/>
      <c r="E5" s="302"/>
      <c r="F5" s="302"/>
    </row>
    <row r="8" spans="1:9" ht="18" x14ac:dyDescent="0.25">
      <c r="A8" s="240" t="s">
        <v>1568</v>
      </c>
      <c r="F8" s="247" t="s">
        <v>1586</v>
      </c>
    </row>
    <row r="9" spans="1:9" ht="15" x14ac:dyDescent="0.2">
      <c r="A9" s="238" t="s">
        <v>1569</v>
      </c>
      <c r="B9" s="241">
        <f>'DOE25'!G97</f>
        <v>139348</v>
      </c>
      <c r="F9" s="238" t="s">
        <v>1582</v>
      </c>
    </row>
    <row r="10" spans="1:9" ht="15" x14ac:dyDescent="0.2">
      <c r="A10" s="238" t="s">
        <v>1570</v>
      </c>
      <c r="B10" s="241">
        <f>'DOE25'!G112-'DOE25'!G97</f>
        <v>0</v>
      </c>
      <c r="F10" s="238" t="s">
        <v>1583</v>
      </c>
    </row>
    <row r="11" spans="1:9" ht="15" x14ac:dyDescent="0.2">
      <c r="A11" s="238" t="s">
        <v>1571</v>
      </c>
      <c r="B11" s="241">
        <f>'DOE25'!G140</f>
        <v>0</v>
      </c>
      <c r="F11" s="238" t="s">
        <v>1584</v>
      </c>
    </row>
    <row r="12" spans="1:9" ht="15" x14ac:dyDescent="0.2">
      <c r="A12" s="238" t="s">
        <v>1572</v>
      </c>
      <c r="B12" s="241">
        <f>'DOE25'!G170</f>
        <v>0</v>
      </c>
      <c r="F12" s="238" t="s">
        <v>1585</v>
      </c>
    </row>
    <row r="13" spans="1:9" ht="15" x14ac:dyDescent="0.2">
      <c r="A13" s="238" t="s">
        <v>1573</v>
      </c>
      <c r="B13" s="241">
        <f>'DOE25'!G193-'DOE25'!G180</f>
        <v>0</v>
      </c>
      <c r="F13" s="238" t="s">
        <v>1595</v>
      </c>
    </row>
    <row r="14" spans="1:9" ht="18" x14ac:dyDescent="0.25">
      <c r="A14" s="240" t="s">
        <v>732</v>
      </c>
      <c r="B14" s="242">
        <f>SUM(B9:B13)</f>
        <v>139348</v>
      </c>
    </row>
    <row r="16" spans="1:9" ht="18" x14ac:dyDescent="0.25">
      <c r="A16" s="240" t="s">
        <v>786</v>
      </c>
      <c r="F16" s="247" t="s">
        <v>1587</v>
      </c>
    </row>
    <row r="17" spans="1:6" ht="15" x14ac:dyDescent="0.2">
      <c r="A17" s="238" t="s">
        <v>1574</v>
      </c>
      <c r="B17" s="241">
        <f>'DOE25'!L363-'DOE25'!L362</f>
        <v>168685.36</v>
      </c>
      <c r="F17" s="238" t="s">
        <v>1588</v>
      </c>
    </row>
    <row r="18" spans="1:6" ht="15" x14ac:dyDescent="0.2">
      <c r="A18" s="238" t="s">
        <v>1575</v>
      </c>
      <c r="B18" s="251"/>
      <c r="F18" s="247" t="s">
        <v>1612</v>
      </c>
    </row>
    <row r="19" spans="1:6" ht="18" x14ac:dyDescent="0.25">
      <c r="A19" s="240" t="s">
        <v>725</v>
      </c>
      <c r="B19" s="242">
        <f>SUM(B17:B18)</f>
        <v>168685.36</v>
      </c>
    </row>
    <row r="21" spans="1:6" ht="18.75" thickBot="1" x14ac:dyDescent="0.3">
      <c r="A21" s="240" t="s">
        <v>1576</v>
      </c>
    </row>
    <row r="22" spans="1:6" ht="18.75" thickTop="1" x14ac:dyDescent="0.25">
      <c r="A22" s="240" t="s">
        <v>1577</v>
      </c>
      <c r="B22" s="246">
        <f>B14-B19</f>
        <v>-29337.359999999986</v>
      </c>
      <c r="F22" s="238" t="s">
        <v>1589</v>
      </c>
    </row>
    <row r="26" spans="1:6" ht="18" x14ac:dyDescent="0.25">
      <c r="A26" s="240" t="s">
        <v>186</v>
      </c>
    </row>
    <row r="27" spans="1:6" ht="15" x14ac:dyDescent="0.2">
      <c r="A27" s="238" t="s">
        <v>1578</v>
      </c>
      <c r="B27" s="241">
        <f>'DOE25'!G180</f>
        <v>29337.360000000001</v>
      </c>
      <c r="F27" s="238" t="s">
        <v>1590</v>
      </c>
    </row>
    <row r="28" spans="1:6" ht="15" x14ac:dyDescent="0.2">
      <c r="A28" s="238" t="s">
        <v>1580</v>
      </c>
      <c r="B28" s="241">
        <f>'DOE25'!L362</f>
        <v>0</v>
      </c>
      <c r="F28" s="238" t="s">
        <v>1591</v>
      </c>
    </row>
    <row r="31" spans="1:6" ht="15" x14ac:dyDescent="0.2">
      <c r="A31" s="238" t="s">
        <v>1634</v>
      </c>
      <c r="B31" s="241">
        <f>'DOE25'!G466</f>
        <v>0.55000000000000004</v>
      </c>
      <c r="F31" s="238" t="s">
        <v>1592</v>
      </c>
    </row>
    <row r="33" spans="1:6" ht="15" x14ac:dyDescent="0.2">
      <c r="A33" s="238" t="s">
        <v>1635</v>
      </c>
      <c r="B33" s="241">
        <f>'DOE25'!G477</f>
        <v>0.54999999998835847</v>
      </c>
      <c r="F33" s="238" t="s">
        <v>1593</v>
      </c>
    </row>
    <row r="36" spans="1:6" ht="15" x14ac:dyDescent="0.2">
      <c r="A36" s="238" t="s">
        <v>1579</v>
      </c>
      <c r="B36" s="252">
        <v>0</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Hanover</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3680241.13</v>
      </c>
      <c r="C9" s="167">
        <f>'DOE25'!G198+'DOE25'!G216+'DOE25'!G234+'DOE25'!G277+'DOE25'!G296+'DOE25'!G315</f>
        <v>1804553.17</v>
      </c>
    </row>
    <row r="10" spans="1:3" x14ac:dyDescent="0.2">
      <c r="A10" t="s">
        <v>775</v>
      </c>
      <c r="B10" s="177">
        <v>3231231.18</v>
      </c>
      <c r="C10" s="177">
        <f>1487432.1+39855</f>
        <v>1527287.1</v>
      </c>
    </row>
    <row r="11" spans="1:3" x14ac:dyDescent="0.2">
      <c r="A11" t="s">
        <v>776</v>
      </c>
      <c r="B11" s="177">
        <f>401613.98-73055.28</f>
        <v>328558.69999999995</v>
      </c>
      <c r="C11" s="177">
        <v>239306.55</v>
      </c>
    </row>
    <row r="12" spans="1:3" x14ac:dyDescent="0.2">
      <c r="A12" t="s">
        <v>777</v>
      </c>
      <c r="B12" s="177">
        <f>47395.97+73055.28</f>
        <v>120451.25</v>
      </c>
      <c r="C12" s="177">
        <f>26318+11641.52</f>
        <v>37959.520000000004</v>
      </c>
    </row>
    <row r="13" spans="1:3" x14ac:dyDescent="0.2">
      <c r="A13" t="str">
        <f>IF(B9=B13,IF(C9=C13,"Check Total OK","Check Total Error"),"Check Total Error")</f>
        <v>Check Total OK</v>
      </c>
      <c r="B13" s="169">
        <f>SUM(B10:B12)</f>
        <v>3680241.13</v>
      </c>
      <c r="C13" s="169">
        <f>SUM(C10:C12)</f>
        <v>1804553.1700000002</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1754939.47</v>
      </c>
      <c r="C18" s="167">
        <f>'DOE25'!G199+'DOE25'!G217+'DOE25'!G235+'DOE25'!G278+'DOE25'!G297+'DOE25'!G316</f>
        <v>895097.41</v>
      </c>
    </row>
    <row r="19" spans="1:3" x14ac:dyDescent="0.2">
      <c r="A19" t="s">
        <v>775</v>
      </c>
      <c r="B19" s="177">
        <v>1241857.97</v>
      </c>
      <c r="C19" s="177">
        <v>715634.57</v>
      </c>
    </row>
    <row r="20" spans="1:3" x14ac:dyDescent="0.2">
      <c r="A20" t="s">
        <v>776</v>
      </c>
      <c r="B20" s="177">
        <v>447647.48</v>
      </c>
      <c r="C20" s="177">
        <v>170192.84</v>
      </c>
    </row>
    <row r="21" spans="1:3" x14ac:dyDescent="0.2">
      <c r="A21" t="s">
        <v>777</v>
      </c>
      <c r="B21" s="177">
        <v>65434.02</v>
      </c>
      <c r="C21" s="177">
        <v>9270</v>
      </c>
    </row>
    <row r="22" spans="1:3" x14ac:dyDescent="0.2">
      <c r="A22" t="str">
        <f>IF(B18=B22,IF(C18=C22,"Check Total OK","Check Total Error"),"Check Total Error")</f>
        <v>Check Total OK</v>
      </c>
      <c r="B22" s="169">
        <f>SUM(B19:B21)</f>
        <v>1754939.47</v>
      </c>
      <c r="C22" s="169">
        <f>SUM(C19:C21)</f>
        <v>895097.40999999992</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3"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Hanover</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11290367.67</v>
      </c>
      <c r="D5" s="19">
        <f>SUM('DOE25'!L198:L201)+SUM('DOE25'!L216:L219)+SUM('DOE25'!L234:L237)-F5-G5-H5</f>
        <v>11238344.41</v>
      </c>
      <c r="E5" s="180"/>
      <c r="F5" s="181"/>
      <c r="G5" s="19">
        <f>SUM('DOE25'!J198:J201)+SUM('DOE25'!J216:J219)+SUM('DOE25'!J234:J237)</f>
        <v>51275.009999999995</v>
      </c>
      <c r="H5" s="19">
        <f>SUM('DOE25'!K198:K201)+SUM('DOE25'!K216:K219)+SUM('DOE25'!K234:K237)</f>
        <v>748.25</v>
      </c>
      <c r="I5" s="192"/>
    </row>
    <row r="6" spans="1:9" x14ac:dyDescent="0.2">
      <c r="A6" s="31">
        <v>2100</v>
      </c>
      <c r="B6" t="s">
        <v>796</v>
      </c>
      <c r="C6" s="206">
        <f t="shared" si="0"/>
        <v>361112.39000000007</v>
      </c>
      <c r="D6" s="19">
        <f>'DOE25'!L203+'DOE25'!L221+'DOE25'!L239-F6-G6-H6</f>
        <v>361112.39000000007</v>
      </c>
      <c r="E6" s="180"/>
      <c r="F6" s="181"/>
      <c r="G6" s="19">
        <f>'DOE25'!J203+'DOE25'!J221+'DOE25'!J239</f>
        <v>0</v>
      </c>
      <c r="H6" s="19">
        <f>'DOE25'!K203+'DOE25'!K221+'DOE25'!K239</f>
        <v>0</v>
      </c>
      <c r="I6" s="192"/>
    </row>
    <row r="7" spans="1:9" x14ac:dyDescent="0.2">
      <c r="A7" s="31">
        <v>2200</v>
      </c>
      <c r="B7" t="s">
        <v>821</v>
      </c>
      <c r="C7" s="206">
        <f t="shared" si="0"/>
        <v>272686.55</v>
      </c>
      <c r="D7" s="19">
        <f>'DOE25'!L204+'DOE25'!L222+'DOE25'!L240-F7-G7-H7</f>
        <v>272686.55</v>
      </c>
      <c r="E7" s="180"/>
      <c r="F7" s="181"/>
      <c r="G7" s="19">
        <f>'DOE25'!J204+'DOE25'!J222+'DOE25'!J240</f>
        <v>0</v>
      </c>
      <c r="H7" s="19">
        <f>'DOE25'!K204+'DOE25'!K222+'DOE25'!K240</f>
        <v>0</v>
      </c>
      <c r="I7" s="192"/>
    </row>
    <row r="8" spans="1:9" x14ac:dyDescent="0.2">
      <c r="A8" s="31">
        <v>2300</v>
      </c>
      <c r="B8" t="s">
        <v>797</v>
      </c>
      <c r="C8" s="206">
        <f t="shared" si="0"/>
        <v>566216.97</v>
      </c>
      <c r="D8" s="180"/>
      <c r="E8" s="19">
        <f>'DOE25'!L205+'DOE25'!L223+'DOE25'!L241-F8-G8-H8-D9-D11</f>
        <v>559232.14</v>
      </c>
      <c r="F8" s="181"/>
      <c r="G8" s="19">
        <f>'DOE25'!J205+'DOE25'!J223+'DOE25'!J241</f>
        <v>0</v>
      </c>
      <c r="H8" s="19">
        <f>'DOE25'!K205+'DOE25'!K223+'DOE25'!K241</f>
        <v>6984.83</v>
      </c>
      <c r="I8" s="192"/>
    </row>
    <row r="9" spans="1:9" ht="14.25" x14ac:dyDescent="0.2">
      <c r="A9" s="31">
        <v>2310</v>
      </c>
      <c r="B9" s="71" t="s">
        <v>888</v>
      </c>
      <c r="C9" s="206">
        <f t="shared" si="0"/>
        <v>0</v>
      </c>
      <c r="D9" s="181"/>
      <c r="E9" s="180"/>
      <c r="F9" s="180"/>
      <c r="G9" s="180"/>
      <c r="H9" s="180"/>
      <c r="I9" s="192"/>
    </row>
    <row r="10" spans="1:9" ht="14.25" x14ac:dyDescent="0.2">
      <c r="A10" s="31">
        <v>2317</v>
      </c>
      <c r="B10" s="71" t="s">
        <v>889</v>
      </c>
      <c r="C10" s="206">
        <f t="shared" si="0"/>
        <v>0</v>
      </c>
      <c r="D10" s="180"/>
      <c r="E10" s="181"/>
      <c r="F10" s="180"/>
      <c r="G10" s="180"/>
      <c r="H10" s="180"/>
      <c r="I10" s="192"/>
    </row>
    <row r="11" spans="1:9" ht="14.25" x14ac:dyDescent="0.2">
      <c r="A11" s="31">
        <v>2321</v>
      </c>
      <c r="B11" s="71" t="s">
        <v>890</v>
      </c>
      <c r="C11" s="206">
        <f t="shared" si="0"/>
        <v>0</v>
      </c>
      <c r="D11" s="181"/>
      <c r="E11" s="180"/>
      <c r="F11" s="180"/>
      <c r="G11" s="180"/>
      <c r="H11" s="180"/>
      <c r="I11" s="192"/>
    </row>
    <row r="12" spans="1:9" x14ac:dyDescent="0.2">
      <c r="A12" s="31">
        <v>2400</v>
      </c>
      <c r="B12" t="s">
        <v>711</v>
      </c>
      <c r="C12" s="206">
        <f t="shared" si="0"/>
        <v>565865.69000000006</v>
      </c>
      <c r="D12" s="19">
        <f>'DOE25'!L206+'DOE25'!L224+'DOE25'!L242-F12-G12-H12</f>
        <v>563865.71000000008</v>
      </c>
      <c r="E12" s="180"/>
      <c r="F12" s="181"/>
      <c r="G12" s="19">
        <f>'DOE25'!J206+'DOE25'!J224+'DOE25'!J242</f>
        <v>879.98</v>
      </c>
      <c r="H12" s="19">
        <f>'DOE25'!K206+'DOE25'!K224+'DOE25'!K242</f>
        <v>1120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637746.21</v>
      </c>
      <c r="D14" s="19">
        <f>'DOE25'!L208+'DOE25'!L226+'DOE25'!L244-F14-G14-H14</f>
        <v>635781.46</v>
      </c>
      <c r="E14" s="180"/>
      <c r="F14" s="181"/>
      <c r="G14" s="19">
        <f>'DOE25'!J208+'DOE25'!J226+'DOE25'!J244</f>
        <v>1964.75</v>
      </c>
      <c r="H14" s="19">
        <f>'DOE25'!K208+'DOE25'!K226+'DOE25'!K244</f>
        <v>0</v>
      </c>
      <c r="I14" s="192"/>
    </row>
    <row r="15" spans="1:9" x14ac:dyDescent="0.2">
      <c r="A15" s="31">
        <v>2700</v>
      </c>
      <c r="B15" t="s">
        <v>799</v>
      </c>
      <c r="C15" s="206">
        <f t="shared" si="0"/>
        <v>719318.91999999993</v>
      </c>
      <c r="D15" s="19">
        <f>'DOE25'!L209+'DOE25'!L227+'DOE25'!L245-F15-G15-H15</f>
        <v>719318.91999999993</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192983.84</v>
      </c>
      <c r="D22" s="180"/>
      <c r="E22" s="180"/>
      <c r="F22" s="180"/>
      <c r="G22" s="19">
        <f>'DOE25'!L256+'DOE25'!L337</f>
        <v>192983.84</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395663.76</v>
      </c>
      <c r="D25" s="180"/>
      <c r="E25" s="180"/>
      <c r="F25" s="191"/>
      <c r="G25" s="180"/>
      <c r="H25" s="180"/>
      <c r="I25" s="190">
        <f>'DOE25'!L261+'DOE25'!L262+'DOE25'!L342+'DOE25'!L343</f>
        <v>395663.76</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168685.36</v>
      </c>
      <c r="D29" s="212">
        <f>'DOE25'!L359+'DOE25'!L360+'DOE25'!L361-'DOE25'!I368-F29-G29-H29</f>
        <v>168685.36</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242719.35000000003</v>
      </c>
      <c r="D31" s="19">
        <f>'DOE25'!L291+'DOE25'!L310+'DOE25'!L329+'DOE25'!L334+'DOE25'!L335+'DOE25'!L336-F31-G31-H31</f>
        <v>224932.81000000003</v>
      </c>
      <c r="E31" s="180"/>
      <c r="F31" s="181"/>
      <c r="G31" s="19">
        <f>'DOE25'!J291+'DOE25'!J310+'DOE25'!J329+'DOE25'!J334+'DOE25'!J335+'DOE25'!J336</f>
        <v>17786.54</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14184727.610000003</v>
      </c>
      <c r="E33" s="182">
        <f t="shared" si="1"/>
        <v>559232.14</v>
      </c>
      <c r="F33" s="182">
        <f t="shared" si="1"/>
        <v>0</v>
      </c>
      <c r="G33" s="182">
        <f t="shared" si="1"/>
        <v>264890.12</v>
      </c>
      <c r="H33" s="182">
        <f t="shared" si="1"/>
        <v>8853.08</v>
      </c>
      <c r="I33" s="182">
        <f t="shared" si="1"/>
        <v>395663.76</v>
      </c>
    </row>
    <row r="35" spans="1:9" ht="12" thickBot="1" x14ac:dyDescent="0.25">
      <c r="B35" s="188" t="s">
        <v>831</v>
      </c>
      <c r="D35" s="189">
        <f>E33</f>
        <v>559232.14</v>
      </c>
      <c r="E35" s="185"/>
      <c r="F35" s="255" t="s">
        <v>1617</v>
      </c>
      <c r="G35" s="256"/>
      <c r="H35" s="256"/>
      <c r="I35" s="256"/>
    </row>
    <row r="36" spans="1:9" ht="12" thickTop="1" x14ac:dyDescent="0.2">
      <c r="B36" t="s">
        <v>810</v>
      </c>
      <c r="D36" s="19">
        <f>D33</f>
        <v>14184727.610000003</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N</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3"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Hanover</v>
      </c>
      <c r="B2">
        <f>'DOE25'!B2</f>
        <v>233</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13119262.879999999</v>
      </c>
      <c r="G4" s="229">
        <f>'DOE25'!L212+'DOE25'!L291</f>
        <v>13119262.879999999</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3067690.25</v>
      </c>
      <c r="E5" s="220"/>
      <c r="F5" s="232">
        <f>D5+E5</f>
        <v>3067690.25</v>
      </c>
      <c r="G5" s="223"/>
      <c r="H5" s="223"/>
      <c r="I5" s="311"/>
      <c r="N5"/>
    </row>
    <row r="6" spans="1:18" x14ac:dyDescent="0.2">
      <c r="A6" t="str" cm="1">
        <f t="array" ref="A6">IFERROR(INDEX('School Tables'!$A$4:$G$325,'School Tables'!$J4,3),"")</f>
        <v>Bernice A. Ray School</v>
      </c>
      <c r="B6" s="230">
        <f>IFERROR(VLOOKUP(A6,'School Tables'!$C$3:$D$365,2,FALSE),"")</f>
        <v>20830</v>
      </c>
      <c r="C6" s="223" t="str">
        <f>IFERROR(INDEX('School Tables'!$B$3:$B$365,MATCH('School Level Expenditures'!B6,'School Tables'!$D$3:$D$365,0)),"")</f>
        <v>Hanover</v>
      </c>
      <c r="D6" s="220">
        <v>9808853.2799999993</v>
      </c>
      <c r="E6" s="220">
        <v>242719.35</v>
      </c>
      <c r="F6" s="232">
        <f t="shared" ref="F6:F20" si="0">D6+E6</f>
        <v>10051572.629999999</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12876543.529999999</v>
      </c>
      <c r="E21" s="265">
        <f>SUM(E5:E20)</f>
        <v>242719.35</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606272.93999999994</v>
      </c>
      <c r="G24" s="229">
        <f>'DOE25'!L230+'DOE25'!L310</f>
        <v>606272.93999999994</v>
      </c>
      <c r="H24" s="267">
        <f>F24-G24</f>
        <v>0</v>
      </c>
      <c r="I24" s="310" t="str">
        <f>IF(H24=0,"","ISSUES!! Please review page 8 and 12 totals in comparison with total on this page")</f>
        <v/>
      </c>
      <c r="N24"/>
    </row>
    <row r="25" spans="1:14" x14ac:dyDescent="0.2">
      <c r="A25" t="s">
        <v>1548</v>
      </c>
      <c r="B25" s="230">
        <v>99999</v>
      </c>
      <c r="C25" s="223" t="s">
        <v>1548</v>
      </c>
      <c r="D25" s="220">
        <v>606272.93999999994</v>
      </c>
      <c r="E25" s="220"/>
      <c r="F25" s="232">
        <f>D25+E25</f>
        <v>606272.93999999994</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606272.93999999994</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930497.93</v>
      </c>
      <c r="G36" s="229">
        <f>'DOE25'!L248+'DOE25'!L329</f>
        <v>930497.92999999993</v>
      </c>
      <c r="H36" s="267">
        <f>F36-G36</f>
        <v>0</v>
      </c>
      <c r="I36" s="310" t="str">
        <f>IF(H36=0,"","ISSUES!! Please review page 9 and 13 totals in comparison with total on this page")</f>
        <v/>
      </c>
      <c r="N36"/>
    </row>
    <row r="37" spans="1:14" x14ac:dyDescent="0.2">
      <c r="A37" t="s">
        <v>1548</v>
      </c>
      <c r="B37" s="230">
        <v>99999</v>
      </c>
      <c r="C37" s="223" t="s">
        <v>1548</v>
      </c>
      <c r="D37" s="220">
        <v>930497.93</v>
      </c>
      <c r="E37" s="220"/>
      <c r="F37" s="232">
        <f t="shared" ref="F37:F42" si="2">D37+E37</f>
        <v>930497.93</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930497.93</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2" priority="19" operator="equal">
      <formula>0</formula>
    </cfRule>
    <cfRule type="cellIs" dxfId="11" priority="20" operator="notEqual">
      <formula>0</formula>
    </cfRule>
  </conditionalFormatting>
  <conditionalFormatting sqref="H24">
    <cfRule type="cellIs" dxfId="10" priority="5" operator="equal">
      <formula>0</formula>
    </cfRule>
    <cfRule type="cellIs" dxfId="9" priority="6" operator="notEqual">
      <formula>0</formula>
    </cfRule>
  </conditionalFormatting>
  <conditionalFormatting sqref="H36">
    <cfRule type="cellIs" dxfId="8" priority="1" operator="equal">
      <formula>0</formula>
    </cfRule>
    <cfRule type="cellIs" dxfId="7"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5"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Hanover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54734.28</v>
      </c>
      <c r="D8" s="73">
        <f>'DOE25'!G9</f>
        <v>0</v>
      </c>
      <c r="E8" s="73">
        <f>'DOE25'!H9</f>
        <v>0</v>
      </c>
      <c r="F8" s="73">
        <f>'DOE25'!I9</f>
        <v>0</v>
      </c>
      <c r="G8" s="73">
        <f>'DOE25'!J9</f>
        <v>2337490.9200000004</v>
      </c>
      <c r="H8" s="90">
        <f>SUM(C8:G8)</f>
        <v>2392225.2000000002</v>
      </c>
      <c r="I8" s="90"/>
    </row>
    <row r="9" spans="1:9" x14ac:dyDescent="0.2">
      <c r="A9" s="1" t="s">
        <v>140</v>
      </c>
      <c r="B9" s="6">
        <v>110</v>
      </c>
      <c r="C9" s="73">
        <f>'DOE25'!F10</f>
        <v>1452523.08</v>
      </c>
      <c r="D9" s="73">
        <f>'DOE25'!G10</f>
        <v>0</v>
      </c>
      <c r="E9" s="73">
        <f>'DOE25'!H10</f>
        <v>0</v>
      </c>
      <c r="F9" s="73">
        <f>'DOE25'!I10</f>
        <v>0</v>
      </c>
      <c r="G9" s="73">
        <f>'DOE25'!J10</f>
        <v>0</v>
      </c>
      <c r="H9" s="90">
        <f t="shared" ref="H9:H18" si="0">SUM(C9:G9)</f>
        <v>1452523.08</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29590.94</v>
      </c>
      <c r="D12" s="73">
        <f>'DOE25'!G13</f>
        <v>0</v>
      </c>
      <c r="E12" s="73">
        <f>'DOE25'!H13</f>
        <v>66190.39</v>
      </c>
      <c r="F12" s="73">
        <f>'DOE25'!I13</f>
        <v>0</v>
      </c>
      <c r="G12" s="73">
        <f>'DOE25'!J13</f>
        <v>0</v>
      </c>
      <c r="H12" s="90">
        <f t="shared" si="0"/>
        <v>95781.33</v>
      </c>
      <c r="I12" s="90"/>
    </row>
    <row r="13" spans="1:9" x14ac:dyDescent="0.2">
      <c r="A13" s="1" t="s">
        <v>144</v>
      </c>
      <c r="B13" s="6">
        <v>150</v>
      </c>
      <c r="C13" s="73">
        <f>'DOE25'!F14</f>
        <v>3858</v>
      </c>
      <c r="D13" s="73">
        <f>'DOE25'!G14</f>
        <v>0</v>
      </c>
      <c r="E13" s="73">
        <f>'DOE25'!H14</f>
        <v>0</v>
      </c>
      <c r="F13" s="73">
        <f>'DOE25'!I14</f>
        <v>0</v>
      </c>
      <c r="G13" s="73">
        <f>'DOE25'!J14</f>
        <v>0</v>
      </c>
      <c r="H13" s="90">
        <f t="shared" si="0"/>
        <v>3858</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12336.36</v>
      </c>
      <c r="D16" s="73">
        <f>'DOE25'!G17</f>
        <v>0</v>
      </c>
      <c r="E16" s="73">
        <f>'DOE25'!H17</f>
        <v>0</v>
      </c>
      <c r="F16" s="73">
        <f>'DOE25'!I17</f>
        <v>0</v>
      </c>
      <c r="G16" s="73">
        <f>'DOE25'!J17</f>
        <v>0</v>
      </c>
      <c r="H16" s="90">
        <f t="shared" si="0"/>
        <v>12336.36</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1553042.6600000001</v>
      </c>
      <c r="D18" s="38">
        <f>SUM(D8:D17)</f>
        <v>0</v>
      </c>
      <c r="E18" s="38">
        <f>SUM(E8:E17)</f>
        <v>66190.39</v>
      </c>
      <c r="F18" s="38">
        <f>SUM(F8:F17)</f>
        <v>0</v>
      </c>
      <c r="G18" s="38">
        <f>SUM(G8:G17)</f>
        <v>2337490.9200000004</v>
      </c>
      <c r="H18" s="38">
        <f t="shared" si="0"/>
        <v>3956723.9700000007</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-1380.9</v>
      </c>
      <c r="D21" s="73">
        <f>'DOE25'!G22</f>
        <v>-45347.6</v>
      </c>
      <c r="E21" s="73">
        <f>'DOE25'!H22</f>
        <v>16728.18</v>
      </c>
      <c r="F21" s="73">
        <f>'DOE25'!I22</f>
        <v>0</v>
      </c>
      <c r="G21" s="73">
        <f>'DOE25'!J22</f>
        <v>0</v>
      </c>
      <c r="H21" s="90">
        <f t="shared" ref="H21:H31" si="1">SUM(C21:G21)</f>
        <v>-30000.32</v>
      </c>
      <c r="I21" s="90"/>
    </row>
    <row r="22" spans="1:9" x14ac:dyDescent="0.2">
      <c r="A22" s="1" t="s">
        <v>151</v>
      </c>
      <c r="B22" s="6">
        <v>410</v>
      </c>
      <c r="C22" s="73">
        <f>'DOE25'!F23</f>
        <v>13222</v>
      </c>
      <c r="D22" s="73">
        <f>'DOE25'!G23</f>
        <v>0</v>
      </c>
      <c r="E22" s="73">
        <f>'DOE25'!H23</f>
        <v>0</v>
      </c>
      <c r="F22" s="73">
        <f>'DOE25'!I23</f>
        <v>0</v>
      </c>
      <c r="G22" s="73">
        <f>'DOE25'!J23</f>
        <v>0</v>
      </c>
      <c r="H22" s="90">
        <f t="shared" si="1"/>
        <v>13222</v>
      </c>
      <c r="I22" s="90"/>
    </row>
    <row r="23" spans="1:9" x14ac:dyDescent="0.2">
      <c r="A23" s="1" t="s">
        <v>152</v>
      </c>
      <c r="B23" s="6">
        <v>420</v>
      </c>
      <c r="C23" s="73">
        <f>'DOE25'!F24</f>
        <v>236189.09</v>
      </c>
      <c r="D23" s="73">
        <f>'DOE25'!G24</f>
        <v>32563.15</v>
      </c>
      <c r="E23" s="73">
        <f>'DOE25'!H24</f>
        <v>0.1</v>
      </c>
      <c r="F23" s="73">
        <f>'DOE25'!I24</f>
        <v>0</v>
      </c>
      <c r="G23" s="73">
        <f>'DOE25'!J24</f>
        <v>0</v>
      </c>
      <c r="H23" s="90">
        <f t="shared" si="1"/>
        <v>268752.33999999997</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19374.45</v>
      </c>
      <c r="D28" s="73">
        <f>'DOE25'!G29</f>
        <v>0</v>
      </c>
      <c r="E28" s="73">
        <f>'DOE25'!H29</f>
        <v>0</v>
      </c>
      <c r="F28" s="73">
        <f>'DOE25'!I29</f>
        <v>0</v>
      </c>
      <c r="G28" s="23" t="s">
        <v>288</v>
      </c>
      <c r="H28" s="90">
        <f t="shared" si="1"/>
        <v>19374.45</v>
      </c>
      <c r="I28" s="90"/>
    </row>
    <row r="29" spans="1:9" x14ac:dyDescent="0.2">
      <c r="A29" s="1" t="s">
        <v>158</v>
      </c>
      <c r="B29" s="6">
        <v>480</v>
      </c>
      <c r="C29" s="73">
        <f>'DOE25'!F30</f>
        <v>-3895.59</v>
      </c>
      <c r="D29" s="73">
        <f>'DOE25'!G30</f>
        <v>12784.4</v>
      </c>
      <c r="E29" s="73">
        <f>'DOE25'!H30</f>
        <v>0</v>
      </c>
      <c r="F29" s="73">
        <f>'DOE25'!I30</f>
        <v>0</v>
      </c>
      <c r="G29" s="23" t="s">
        <v>288</v>
      </c>
      <c r="H29" s="90">
        <f t="shared" si="1"/>
        <v>8888.81</v>
      </c>
      <c r="I29" s="90"/>
    </row>
    <row r="30" spans="1:9" ht="12" thickBot="1" x14ac:dyDescent="0.25">
      <c r="A30" s="1" t="s">
        <v>159</v>
      </c>
      <c r="B30" s="56">
        <v>490</v>
      </c>
      <c r="C30" s="73">
        <f>'DOE25'!F31</f>
        <v>5437.07</v>
      </c>
      <c r="D30" s="73">
        <f>'DOE25'!G31</f>
        <v>-0.5</v>
      </c>
      <c r="E30" s="73">
        <f>'DOE25'!H31</f>
        <v>0</v>
      </c>
      <c r="F30" s="73">
        <f>'DOE25'!I31</f>
        <v>0</v>
      </c>
      <c r="G30" s="73">
        <f>'DOE25'!J31</f>
        <v>0</v>
      </c>
      <c r="H30" s="90">
        <f t="shared" si="1"/>
        <v>5436.57</v>
      </c>
      <c r="I30" s="90"/>
    </row>
    <row r="31" spans="1:9" ht="12" thickTop="1" x14ac:dyDescent="0.2">
      <c r="A31" s="35" t="s">
        <v>160</v>
      </c>
      <c r="B31" s="2"/>
      <c r="C31" s="38">
        <f>SUM(C21:C30)</f>
        <v>268946.12</v>
      </c>
      <c r="D31" s="38">
        <f>SUM(D21:D30)</f>
        <v>-0.54999999999745341</v>
      </c>
      <c r="E31" s="38">
        <f>SUM(E21:E30)</f>
        <v>16728.28</v>
      </c>
      <c r="F31" s="38">
        <f>SUM(F21:F30)</f>
        <v>0</v>
      </c>
      <c r="G31" s="38">
        <f>SUM(G21:G30)</f>
        <v>0</v>
      </c>
      <c r="H31" s="38">
        <f t="shared" si="1"/>
        <v>285673.84999999998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12336.42</v>
      </c>
      <c r="D34" s="73">
        <f>'DOE25'!G35</f>
        <v>0</v>
      </c>
      <c r="E34" s="73">
        <f>'DOE25'!H35</f>
        <v>0</v>
      </c>
      <c r="F34" s="73">
        <f>'DOE25'!I35</f>
        <v>0</v>
      </c>
      <c r="G34" s="23" t="s">
        <v>288</v>
      </c>
      <c r="H34" s="90">
        <f t="shared" ref="H34:H51" si="2">SUM(C34:G34)</f>
        <v>12336.42</v>
      </c>
      <c r="I34" s="90"/>
    </row>
    <row r="35" spans="1:9" x14ac:dyDescent="0.2">
      <c r="A35" s="1" t="s">
        <v>850</v>
      </c>
      <c r="B35" s="6">
        <v>752</v>
      </c>
      <c r="C35" s="73">
        <f>'DOE25'!F36</f>
        <v>23295</v>
      </c>
      <c r="D35" s="73">
        <f>'DOE25'!G36</f>
        <v>0</v>
      </c>
      <c r="E35" s="73">
        <f>'DOE25'!H36</f>
        <v>0</v>
      </c>
      <c r="F35" s="73">
        <f>'DOE25'!I36</f>
        <v>0</v>
      </c>
      <c r="G35" s="23" t="s">
        <v>288</v>
      </c>
      <c r="H35" s="90">
        <f t="shared" si="2"/>
        <v>23295</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0.55000000000000004</v>
      </c>
      <c r="E39" s="23" t="s">
        <v>288</v>
      </c>
      <c r="F39" s="23" t="s">
        <v>288</v>
      </c>
      <c r="G39" s="23" t="s">
        <v>288</v>
      </c>
      <c r="H39" s="90">
        <f t="shared" si="2"/>
        <v>0.55000000000000004</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104620</v>
      </c>
      <c r="D44" s="73">
        <f>'DOE25'!G45</f>
        <v>0</v>
      </c>
      <c r="E44" s="73">
        <f>'DOE25'!H45</f>
        <v>0</v>
      </c>
      <c r="F44" s="73">
        <f>'DOE25'!I45</f>
        <v>0</v>
      </c>
      <c r="G44" s="73">
        <f>'DOE25'!J45</f>
        <v>0</v>
      </c>
      <c r="H44" s="90">
        <f t="shared" si="2"/>
        <v>104620</v>
      </c>
      <c r="I44" s="90"/>
    </row>
    <row r="45" spans="1:9" x14ac:dyDescent="0.2">
      <c r="A45" s="1" t="s">
        <v>880</v>
      </c>
      <c r="B45" s="6"/>
      <c r="C45" s="73">
        <f>'DOE25'!F46</f>
        <v>350669</v>
      </c>
      <c r="D45" s="23" t="s">
        <v>288</v>
      </c>
      <c r="E45" s="23" t="s">
        <v>288</v>
      </c>
      <c r="F45" s="23" t="s">
        <v>288</v>
      </c>
      <c r="G45" s="23" t="s">
        <v>288</v>
      </c>
      <c r="H45" s="90">
        <f t="shared" si="2"/>
        <v>350669</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49462.11</v>
      </c>
      <c r="F47" s="73">
        <f>'DOE25'!I48</f>
        <v>0</v>
      </c>
      <c r="G47" s="73">
        <f>'DOE25'!J48</f>
        <v>2337490.9200000004</v>
      </c>
      <c r="H47" s="90">
        <f t="shared" si="2"/>
        <v>2386953.0300000003</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793176.12</v>
      </c>
      <c r="D49" s="23" t="s">
        <v>288</v>
      </c>
      <c r="E49" s="23" t="s">
        <v>288</v>
      </c>
      <c r="F49" s="23" t="s">
        <v>288</v>
      </c>
      <c r="G49" s="23" t="s">
        <v>288</v>
      </c>
      <c r="H49" s="90">
        <f t="shared" si="2"/>
        <v>793176.12</v>
      </c>
      <c r="I49" s="90"/>
    </row>
    <row r="50" spans="1:9" ht="12.75" thickTop="1" thickBot="1" x14ac:dyDescent="0.25">
      <c r="A50" s="35" t="s">
        <v>884</v>
      </c>
      <c r="B50" s="44"/>
      <c r="C50" s="38">
        <f>SUM(C34:C49)</f>
        <v>1284096.54</v>
      </c>
      <c r="D50" s="38">
        <f>SUM(D34:D49)</f>
        <v>0.55000000000000004</v>
      </c>
      <c r="E50" s="38">
        <f>SUM(E34:E49)</f>
        <v>49462.11</v>
      </c>
      <c r="F50" s="38">
        <f>SUM(F34:F49)</f>
        <v>0</v>
      </c>
      <c r="G50" s="38">
        <f>SUM(G34:G49)</f>
        <v>2337490.9200000004</v>
      </c>
      <c r="H50" s="38">
        <f t="shared" si="2"/>
        <v>3671050.1200000006</v>
      </c>
      <c r="I50" s="90"/>
    </row>
    <row r="51" spans="1:9" ht="12" thickTop="1" x14ac:dyDescent="0.2">
      <c r="A51" s="35" t="s">
        <v>885</v>
      </c>
      <c r="B51" s="2"/>
      <c r="C51" s="38">
        <f>C50+C31</f>
        <v>1553042.6600000001</v>
      </c>
      <c r="D51" s="38">
        <f>D50+D31</f>
        <v>2.5466295738851841E-12</v>
      </c>
      <c r="E51" s="38">
        <f>E50+E31</f>
        <v>66190.39</v>
      </c>
      <c r="F51" s="38">
        <f>F50+F31</f>
        <v>0</v>
      </c>
      <c r="G51" s="38">
        <f>G50+G31</f>
        <v>2337490.9200000004</v>
      </c>
      <c r="H51" s="38">
        <f t="shared" si="2"/>
        <v>3956723.9700000007</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11856065</v>
      </c>
      <c r="D56" s="73">
        <f>'DOE25'!G60</f>
        <v>0</v>
      </c>
      <c r="E56" s="73">
        <f>'DOE25'!H60</f>
        <v>0</v>
      </c>
      <c r="F56" s="73">
        <f>'DOE25'!I60</f>
        <v>0</v>
      </c>
      <c r="G56" s="73">
        <f>'DOE25'!J60</f>
        <v>0</v>
      </c>
      <c r="H56" s="90">
        <f t="shared" ref="H56:H63" si="3">SUM(C56:G56)</f>
        <v>11856065</v>
      </c>
      <c r="I56"/>
    </row>
    <row r="57" spans="1:9" x14ac:dyDescent="0.2">
      <c r="A57" s="1" t="s">
        <v>164</v>
      </c>
      <c r="B57" s="6" t="s">
        <v>165</v>
      </c>
      <c r="C57" s="73">
        <f>'DOE25'!F79</f>
        <v>193113</v>
      </c>
      <c r="D57" s="23" t="s">
        <v>288</v>
      </c>
      <c r="E57" s="73">
        <f>'DOE25'!H79</f>
        <v>0</v>
      </c>
      <c r="F57" s="23" t="s">
        <v>288</v>
      </c>
      <c r="G57" s="23" t="s">
        <v>288</v>
      </c>
      <c r="H57" s="90">
        <f t="shared" si="3"/>
        <v>193113</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4899.7700000000004</v>
      </c>
      <c r="D59" s="73">
        <f>'DOE25'!G96</f>
        <v>0</v>
      </c>
      <c r="E59" s="73">
        <f>'DOE25'!H96</f>
        <v>0</v>
      </c>
      <c r="F59" s="73">
        <f>'DOE25'!I96</f>
        <v>0</v>
      </c>
      <c r="G59" s="73">
        <f>'DOE25'!J96</f>
        <v>28484</v>
      </c>
      <c r="H59" s="90">
        <f t="shared" si="3"/>
        <v>33383.770000000004</v>
      </c>
      <c r="I59"/>
    </row>
    <row r="60" spans="1:9" x14ac:dyDescent="0.2">
      <c r="A60" s="1" t="s">
        <v>170</v>
      </c>
      <c r="B60" s="22" t="s">
        <v>171</v>
      </c>
      <c r="C60" s="23" t="s">
        <v>288</v>
      </c>
      <c r="D60" s="73">
        <f>'DOE25'!G97</f>
        <v>139348</v>
      </c>
      <c r="E60" s="23" t="s">
        <v>288</v>
      </c>
      <c r="F60" s="23" t="s">
        <v>288</v>
      </c>
      <c r="G60" s="23" t="s">
        <v>288</v>
      </c>
      <c r="H60" s="90">
        <f t="shared" si="3"/>
        <v>139348</v>
      </c>
      <c r="I60"/>
    </row>
    <row r="61" spans="1:9" ht="12" thickBot="1" x14ac:dyDescent="0.25">
      <c r="A61" s="1" t="s">
        <v>172</v>
      </c>
      <c r="B61" s="22" t="s">
        <v>173</v>
      </c>
      <c r="C61" s="73">
        <f>SUM('DOE25'!F98:F110)</f>
        <v>24328.34</v>
      </c>
      <c r="D61" s="73">
        <f>SUM('DOE25'!G98:G110)</f>
        <v>0</v>
      </c>
      <c r="E61" s="73">
        <f>SUM('DOE25'!H98:H110)</f>
        <v>4539</v>
      </c>
      <c r="F61" s="73">
        <f>SUM('DOE25'!I98:I110)</f>
        <v>0</v>
      </c>
      <c r="G61" s="73">
        <f>SUM('DOE25'!J98:J110)</f>
        <v>0</v>
      </c>
      <c r="H61" s="90">
        <f t="shared" si="3"/>
        <v>28867.34</v>
      </c>
      <c r="I61"/>
    </row>
    <row r="62" spans="1:9" ht="12.75" thickTop="1" thickBot="1" x14ac:dyDescent="0.25">
      <c r="A62" s="28" t="s">
        <v>174</v>
      </c>
      <c r="B62" s="6"/>
      <c r="C62" s="93">
        <f>SUM(C57:C61)</f>
        <v>222341.11</v>
      </c>
      <c r="D62" s="93">
        <f>SUM(D57:D61)</f>
        <v>139348</v>
      </c>
      <c r="E62" s="93">
        <f>SUM(E57:E61)</f>
        <v>4539</v>
      </c>
      <c r="F62" s="93">
        <f>SUM(F57:F61)</f>
        <v>0</v>
      </c>
      <c r="G62" s="93">
        <f>SUM(G57:G61)</f>
        <v>28484</v>
      </c>
      <c r="H62" s="90">
        <f t="shared" si="3"/>
        <v>394712.11</v>
      </c>
      <c r="I62"/>
    </row>
    <row r="63" spans="1:9" ht="12" thickTop="1" x14ac:dyDescent="0.2">
      <c r="A63" s="28" t="s">
        <v>175</v>
      </c>
      <c r="B63" s="6"/>
      <c r="C63" s="21">
        <f>C56+C62</f>
        <v>12078406.109999999</v>
      </c>
      <c r="D63" s="21">
        <f>D56+D62</f>
        <v>139348</v>
      </c>
      <c r="E63" s="21">
        <f>E56+E62</f>
        <v>4539</v>
      </c>
      <c r="F63" s="21">
        <f>F56+F62</f>
        <v>0</v>
      </c>
      <c r="G63" s="21">
        <f>G56+G62</f>
        <v>28484</v>
      </c>
      <c r="H63" s="90">
        <f t="shared" si="3"/>
        <v>12250777.109999999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259289.95</v>
      </c>
      <c r="D66" s="23" t="s">
        <v>288</v>
      </c>
      <c r="E66" s="23" t="s">
        <v>288</v>
      </c>
      <c r="F66" s="23" t="s">
        <v>288</v>
      </c>
      <c r="G66" s="23" t="s">
        <v>288</v>
      </c>
      <c r="H66" s="90">
        <f t="shared" ref="H66:H81" si="4">SUM(C66:G66)</f>
        <v>259289.95</v>
      </c>
      <c r="I66"/>
    </row>
    <row r="67" spans="1:9" x14ac:dyDescent="0.2">
      <c r="A67" s="1" t="s">
        <v>770</v>
      </c>
      <c r="B67" s="6">
        <v>3112</v>
      </c>
      <c r="C67" s="73">
        <f>'DOE25'!F118</f>
        <v>2307332</v>
      </c>
      <c r="D67" s="23"/>
      <c r="E67" s="23"/>
      <c r="F67" s="23"/>
      <c r="G67" s="23"/>
      <c r="H67" s="90">
        <f t="shared" si="4"/>
        <v>2307332</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2566621.9500000002</v>
      </c>
      <c r="D70" s="97">
        <f>D69</f>
        <v>0</v>
      </c>
      <c r="E70" s="97">
        <f>E69</f>
        <v>0</v>
      </c>
      <c r="F70" s="97">
        <f>F69</f>
        <v>0</v>
      </c>
      <c r="G70" s="97">
        <f>G69</f>
        <v>0</v>
      </c>
      <c r="H70" s="90">
        <f t="shared" si="4"/>
        <v>2566621.9500000002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73653.2</v>
      </c>
      <c r="D72" s="23" t="s">
        <v>288</v>
      </c>
      <c r="E72" s="23" t="s">
        <v>288</v>
      </c>
      <c r="F72" s="73">
        <f>'DOE25'!I123</f>
        <v>0</v>
      </c>
      <c r="G72" s="23" t="s">
        <v>288</v>
      </c>
      <c r="H72" s="90">
        <f t="shared" si="4"/>
        <v>73653.2</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514502.30999999994</v>
      </c>
      <c r="D75" s="23" t="s">
        <v>288</v>
      </c>
      <c r="E75" s="23" t="s">
        <v>288</v>
      </c>
      <c r="F75" s="23" t="s">
        <v>288</v>
      </c>
      <c r="G75" s="23" t="s">
        <v>288</v>
      </c>
      <c r="H75" s="90">
        <f t="shared" si="4"/>
        <v>514502.30999999994</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90">
        <f t="shared" si="4"/>
        <v>0</v>
      </c>
      <c r="I77"/>
    </row>
    <row r="78" spans="1:9" ht="12.75" thickTop="1" thickBot="1" x14ac:dyDescent="0.25">
      <c r="A78" s="28" t="s">
        <v>259</v>
      </c>
      <c r="B78" s="6"/>
      <c r="C78" s="93">
        <f>SUM(C72:C77)</f>
        <v>588155.50999999989</v>
      </c>
      <c r="D78" s="93">
        <f>SUM(D72:D77)</f>
        <v>0</v>
      </c>
      <c r="E78" s="93">
        <f>SUM(E72:E77)</f>
        <v>0</v>
      </c>
      <c r="F78" s="93">
        <f>SUM(F72:F77)</f>
        <v>0</v>
      </c>
      <c r="G78" s="93">
        <f>SUM(G72:G77)</f>
        <v>0</v>
      </c>
      <c r="H78" s="90">
        <f t="shared" si="4"/>
        <v>588155.50999999989</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3154777.46</v>
      </c>
      <c r="D81" s="93">
        <f>SUM(D79:D80)+D78+D70</f>
        <v>0</v>
      </c>
      <c r="E81" s="93">
        <f>SUM(E79:E80)+E78+E70</f>
        <v>0</v>
      </c>
      <c r="F81" s="93">
        <f>SUM(F79:F80)+F78+F70</f>
        <v>0</v>
      </c>
      <c r="G81" s="93">
        <f>SUM(G79:G80)+G78+G70</f>
        <v>0</v>
      </c>
      <c r="H81" s="93">
        <f t="shared" si="4"/>
        <v>3154777.46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27433.599999999999</v>
      </c>
      <c r="F85" s="73">
        <f>'DOE25'!I147</f>
        <v>0</v>
      </c>
      <c r="G85" s="23" t="s">
        <v>288</v>
      </c>
      <c r="H85" s="90">
        <f t="shared" ref="H85:H104" si="5">SUM(C85:G85)</f>
        <v>27433.599999999999</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47382.27</v>
      </c>
      <c r="D88" s="253">
        <f>SUM('DOE25'!G153:G162)</f>
        <v>0</v>
      </c>
      <c r="E88" s="253">
        <f>SUM('DOE25'!H153:H162)</f>
        <v>157654.04999999999</v>
      </c>
      <c r="F88" s="253">
        <f>SUM('DOE25'!I153:I162)</f>
        <v>0</v>
      </c>
      <c r="G88" s="23" t="s">
        <v>288</v>
      </c>
      <c r="H88" s="90">
        <f t="shared" si="5"/>
        <v>205036.31999999998</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3464.14</v>
      </c>
      <c r="D90" s="23" t="s">
        <v>288</v>
      </c>
      <c r="E90" s="23" t="s">
        <v>288</v>
      </c>
      <c r="F90" s="23" t="s">
        <v>288</v>
      </c>
      <c r="G90" s="23" t="s">
        <v>288</v>
      </c>
      <c r="H90" s="90">
        <f t="shared" si="5"/>
        <v>3464.14</v>
      </c>
    </row>
    <row r="91" spans="1:9" ht="12.75" thickTop="1" thickBot="1" x14ac:dyDescent="0.25">
      <c r="A91" s="32" t="s">
        <v>750</v>
      </c>
      <c r="C91" s="94">
        <f>SUM(C85:C90)</f>
        <v>50846.409999999996</v>
      </c>
      <c r="D91" s="94">
        <f>SUM(D85:D90)</f>
        <v>0</v>
      </c>
      <c r="E91" s="94">
        <f>SUM(E85:E90)</f>
        <v>185087.65</v>
      </c>
      <c r="F91" s="94">
        <f>SUM(F85:F90)</f>
        <v>0</v>
      </c>
      <c r="G91" s="23" t="s">
        <v>288</v>
      </c>
      <c r="H91" s="90">
        <f t="shared" si="5"/>
        <v>235934.06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29337.360000000001</v>
      </c>
      <c r="E96" s="73">
        <f>'DOE25'!H180</f>
        <v>0</v>
      </c>
      <c r="F96" s="73">
        <f>'DOE25'!I180</f>
        <v>0</v>
      </c>
      <c r="G96" s="73">
        <f>'DOE25'!J180</f>
        <v>0</v>
      </c>
      <c r="H96" s="90">
        <f t="shared" si="5"/>
        <v>29337.360000000001</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150000</v>
      </c>
      <c r="D100" s="73">
        <f>SUM('DOE25'!G187:G188)</f>
        <v>0</v>
      </c>
      <c r="E100" s="73">
        <f>SUM('DOE25'!H187:H188)</f>
        <v>30000</v>
      </c>
      <c r="F100" s="73">
        <f>SUM('DOE25'!I187:I188)</f>
        <v>0</v>
      </c>
      <c r="G100" s="23" t="s">
        <v>288</v>
      </c>
      <c r="H100" s="90">
        <f t="shared" si="5"/>
        <v>180000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150000</v>
      </c>
      <c r="D103" s="68">
        <f>SUM(D93:D102)</f>
        <v>29337.360000000001</v>
      </c>
      <c r="E103" s="68">
        <f>SUM(E93:E102)</f>
        <v>30000</v>
      </c>
      <c r="F103" s="68">
        <f>SUM(F93:F102)</f>
        <v>0</v>
      </c>
      <c r="G103" s="68">
        <f>SUM(G93:G102)</f>
        <v>0</v>
      </c>
      <c r="H103" s="68">
        <f t="shared" si="5"/>
        <v>209337.36</v>
      </c>
    </row>
    <row r="104" spans="1:8" ht="12.75" thickTop="1" thickBot="1" x14ac:dyDescent="0.25">
      <c r="A104" s="32" t="s">
        <v>761</v>
      </c>
      <c r="C104" s="68">
        <f>C63+C81+C91+C103</f>
        <v>15434029.98</v>
      </c>
      <c r="D104" s="68">
        <f>D63+D81+D91+D103</f>
        <v>168685.36</v>
      </c>
      <c r="E104" s="68">
        <f>E63+E81+E91+E103</f>
        <v>219626.65</v>
      </c>
      <c r="F104" s="68">
        <f>F63+F81+F91+F103</f>
        <v>0</v>
      </c>
      <c r="G104" s="68">
        <f>G63+G81+G103</f>
        <v>28484</v>
      </c>
      <c r="H104" s="68">
        <f t="shared" si="5"/>
        <v>15850825.99</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7594740.419999999</v>
      </c>
      <c r="D109" s="23" t="s">
        <v>288</v>
      </c>
      <c r="E109" s="73">
        <f>('DOE25'!L277)+('DOE25'!L296)+('DOE25'!L315)</f>
        <v>41842.22</v>
      </c>
      <c r="F109" s="23" t="s">
        <v>288</v>
      </c>
      <c r="G109" s="23" t="s">
        <v>288</v>
      </c>
      <c r="H109" s="90">
        <f t="shared" ref="H109:H115" si="6">SUM(C109:G109)</f>
        <v>7636582.6399999987</v>
      </c>
    </row>
    <row r="110" spans="1:8" x14ac:dyDescent="0.2">
      <c r="A110" t="s">
        <v>198</v>
      </c>
      <c r="B110" s="31" t="s">
        <v>199</v>
      </c>
      <c r="C110" s="73">
        <f>('DOE25'!L199)+('DOE25'!L217)+('DOE25'!L235)</f>
        <v>3695627.25</v>
      </c>
      <c r="D110" s="23" t="s">
        <v>288</v>
      </c>
      <c r="E110" s="73">
        <f>('DOE25'!L278)+('DOE25'!L297)+('DOE25'!L316)</f>
        <v>122870.43000000001</v>
      </c>
      <c r="F110" s="23" t="s">
        <v>288</v>
      </c>
      <c r="G110" s="23" t="s">
        <v>288</v>
      </c>
      <c r="H110" s="90">
        <f t="shared" si="6"/>
        <v>3818497.68</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0</v>
      </c>
      <c r="F112" s="23" t="s">
        <v>288</v>
      </c>
      <c r="G112" s="23" t="s">
        <v>288</v>
      </c>
      <c r="H112" s="90">
        <f t="shared" si="6"/>
        <v>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11290367.669999998</v>
      </c>
      <c r="D115" s="68">
        <f>SUM(D109:D114)</f>
        <v>0</v>
      </c>
      <c r="E115" s="68">
        <f>SUM(E109:E114)</f>
        <v>164712.65000000002</v>
      </c>
      <c r="F115" s="68">
        <f>SUM(F109:F114)</f>
        <v>0</v>
      </c>
      <c r="G115" s="68">
        <f>SUM(G109:G114)</f>
        <v>0</v>
      </c>
      <c r="H115" s="68">
        <f t="shared" si="6"/>
        <v>11455080.319999998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361112.39000000007</v>
      </c>
      <c r="D118" s="23" t="s">
        <v>288</v>
      </c>
      <c r="E118" s="73">
        <f>+('DOE25'!L282)+('DOE25'!L301)+('DOE25'!L320)</f>
        <v>0</v>
      </c>
      <c r="F118" s="23" t="s">
        <v>288</v>
      </c>
      <c r="G118" s="23" t="s">
        <v>288</v>
      </c>
      <c r="H118" s="90">
        <f t="shared" ref="H118:H145" si="7">SUM(C118:G118)</f>
        <v>361112.39000000007</v>
      </c>
    </row>
    <row r="119" spans="1:8" x14ac:dyDescent="0.2">
      <c r="A119" t="s">
        <v>208</v>
      </c>
      <c r="B119" s="31" t="s">
        <v>209</v>
      </c>
      <c r="C119" s="73">
        <f>('DOE25'!L204)+('DOE25'!L222)+('DOE25'!L240)</f>
        <v>272686.55</v>
      </c>
      <c r="D119" s="23" t="s">
        <v>288</v>
      </c>
      <c r="E119" s="73">
        <f>+('DOE25'!L283)+('DOE25'!L302)+('DOE25'!L321)</f>
        <v>0</v>
      </c>
      <c r="F119" s="23" t="s">
        <v>288</v>
      </c>
      <c r="G119" s="23" t="s">
        <v>288</v>
      </c>
      <c r="H119" s="90">
        <f t="shared" si="7"/>
        <v>272686.55</v>
      </c>
    </row>
    <row r="120" spans="1:8" x14ac:dyDescent="0.2">
      <c r="A120" t="s">
        <v>210</v>
      </c>
      <c r="B120" s="31" t="s">
        <v>211</v>
      </c>
      <c r="C120" s="73">
        <f>('DOE25'!L205)+('DOE25'!L223)+('DOE25'!L241)</f>
        <v>566216.97</v>
      </c>
      <c r="D120" s="23" t="s">
        <v>288</v>
      </c>
      <c r="E120" s="73">
        <f>+('DOE25'!L284)+('DOE25'!L303)+('DOE25'!L322)</f>
        <v>0</v>
      </c>
      <c r="F120" s="23" t="s">
        <v>288</v>
      </c>
      <c r="G120" s="23" t="s">
        <v>288</v>
      </c>
      <c r="H120" s="90">
        <f t="shared" si="7"/>
        <v>566216.97</v>
      </c>
    </row>
    <row r="121" spans="1:8" x14ac:dyDescent="0.2">
      <c r="A121" t="s">
        <v>212</v>
      </c>
      <c r="B121" s="31" t="s">
        <v>213</v>
      </c>
      <c r="C121" s="73">
        <f>('DOE25'!L206)+('DOE25'!L224)+('DOE25'!L242)</f>
        <v>565865.69000000006</v>
      </c>
      <c r="D121" s="23" t="s">
        <v>288</v>
      </c>
      <c r="E121" s="73">
        <f>+('DOE25'!L285)+('DOE25'!L304)+('DOE25'!L323)</f>
        <v>0</v>
      </c>
      <c r="F121" s="23" t="s">
        <v>288</v>
      </c>
      <c r="G121" s="23" t="s">
        <v>288</v>
      </c>
      <c r="H121" s="90">
        <f t="shared" si="7"/>
        <v>565865.69000000006</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637746.21</v>
      </c>
      <c r="D123" s="23" t="s">
        <v>288</v>
      </c>
      <c r="E123" s="73">
        <f>+('DOE25'!L287)+('DOE25'!L306)+('DOE25'!L325)</f>
        <v>0</v>
      </c>
      <c r="F123" s="23" t="s">
        <v>288</v>
      </c>
      <c r="G123" s="23" t="s">
        <v>288</v>
      </c>
      <c r="H123" s="90">
        <f t="shared" si="7"/>
        <v>637746.21</v>
      </c>
    </row>
    <row r="124" spans="1:8" x14ac:dyDescent="0.2">
      <c r="A124" t="s">
        <v>218</v>
      </c>
      <c r="B124" s="31" t="s">
        <v>219</v>
      </c>
      <c r="C124" s="73">
        <f>('DOE25'!L209)+('DOE25'!L227)+('DOE25'!L245+'DOE25'!L255)</f>
        <v>719318.91999999993</v>
      </c>
      <c r="D124" s="23" t="s">
        <v>288</v>
      </c>
      <c r="E124" s="73">
        <f>+('DOE25'!L288)+('DOE25'!L307)+('DOE25'!L326)</f>
        <v>0</v>
      </c>
      <c r="F124" s="23" t="s">
        <v>288</v>
      </c>
      <c r="G124" s="23" t="s">
        <v>288</v>
      </c>
      <c r="H124" s="90">
        <f t="shared" si="7"/>
        <v>719318.91999999993</v>
      </c>
    </row>
    <row r="125" spans="1:8" x14ac:dyDescent="0.2">
      <c r="A125" t="s">
        <v>220</v>
      </c>
      <c r="B125" s="31" t="s">
        <v>221</v>
      </c>
      <c r="C125" s="73">
        <f>('DOE25'!L210)+('DOE25'!L228)+('DOE25'!L246)</f>
        <v>0</v>
      </c>
      <c r="D125" s="23" t="s">
        <v>288</v>
      </c>
      <c r="E125" s="73">
        <f>+('DOE25'!L289)+('DOE25'!L308)+('DOE25'!L327)</f>
        <v>78006.7</v>
      </c>
      <c r="F125" s="23" t="s">
        <v>288</v>
      </c>
      <c r="G125" s="23" t="s">
        <v>288</v>
      </c>
      <c r="H125" s="90">
        <f t="shared" si="7"/>
        <v>78006.7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168685.36</v>
      </c>
      <c r="E127" s="23" t="s">
        <v>288</v>
      </c>
      <c r="F127" s="23" t="s">
        <v>288</v>
      </c>
      <c r="G127" s="23" t="s">
        <v>288</v>
      </c>
      <c r="H127" s="90">
        <f t="shared" si="7"/>
        <v>168685.36</v>
      </c>
    </row>
    <row r="128" spans="1:8" ht="12.75" thickTop="1" thickBot="1" x14ac:dyDescent="0.25">
      <c r="A128" s="32" t="s">
        <v>226</v>
      </c>
      <c r="C128" s="68">
        <f>SUM(C118:C127)</f>
        <v>3122946.73</v>
      </c>
      <c r="D128" s="68">
        <f>SUM(D118:D127)</f>
        <v>168685.36</v>
      </c>
      <c r="E128" s="68">
        <f>SUM(E118:E127)</f>
        <v>78006.7</v>
      </c>
      <c r="F128" s="68">
        <f>SUM(F118:F127)</f>
        <v>0</v>
      </c>
      <c r="G128" s="68">
        <f>SUM(G118:G127)</f>
        <v>0</v>
      </c>
      <c r="H128" s="68">
        <f t="shared" si="7"/>
        <v>3369638.79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192983.84</v>
      </c>
      <c r="D130" s="23" t="s">
        <v>288</v>
      </c>
      <c r="E130" s="92">
        <f>'DOE25'!L337</f>
        <v>0</v>
      </c>
      <c r="F130" s="92">
        <f>SUM('DOE25'!L375:'DOE25'!L381)</f>
        <v>0</v>
      </c>
      <c r="G130" s="23" t="s">
        <v>288</v>
      </c>
      <c r="H130" s="90">
        <f t="shared" si="7"/>
        <v>192983.84</v>
      </c>
    </row>
    <row r="131" spans="1:8" x14ac:dyDescent="0.2">
      <c r="A131" t="s">
        <v>229</v>
      </c>
      <c r="B131" s="31">
        <v>5110</v>
      </c>
      <c r="C131" s="73">
        <f>'DOE25'!L261</f>
        <v>230000</v>
      </c>
      <c r="D131" s="23" t="s">
        <v>288</v>
      </c>
      <c r="E131" s="92">
        <f>'DOE25'!L342</f>
        <v>0</v>
      </c>
      <c r="F131" s="23" t="s">
        <v>288</v>
      </c>
      <c r="G131" s="23" t="s">
        <v>288</v>
      </c>
      <c r="H131" s="90">
        <f t="shared" si="7"/>
        <v>230000</v>
      </c>
    </row>
    <row r="132" spans="1:8" x14ac:dyDescent="0.2">
      <c r="A132" t="s">
        <v>230</v>
      </c>
      <c r="B132" s="31">
        <v>5120</v>
      </c>
      <c r="C132" s="73">
        <f>'DOE25'!L262</f>
        <v>165663.76</v>
      </c>
      <c r="D132" s="23" t="s">
        <v>288</v>
      </c>
      <c r="E132" s="92">
        <f>'DOE25'!L343</f>
        <v>0</v>
      </c>
      <c r="F132" s="23" t="s">
        <v>288</v>
      </c>
      <c r="G132" s="23" t="s">
        <v>288</v>
      </c>
      <c r="H132" s="90">
        <f t="shared" si="7"/>
        <v>165663.76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401900</v>
      </c>
      <c r="H134" s="90">
        <f t="shared" si="7"/>
        <v>401900</v>
      </c>
    </row>
    <row r="135" spans="1:8" x14ac:dyDescent="0.2">
      <c r="A135" t="s">
        <v>233</v>
      </c>
      <c r="B135" s="31" t="s">
        <v>234</v>
      </c>
      <c r="C135" s="73">
        <f>'DOE25'!L264</f>
        <v>29337.360000000001</v>
      </c>
      <c r="D135" s="23" t="s">
        <v>288</v>
      </c>
      <c r="E135" s="92">
        <f>'DOE25'!L346</f>
        <v>0</v>
      </c>
      <c r="F135" s="23" t="s">
        <v>288</v>
      </c>
      <c r="G135" s="23" t="s">
        <v>288</v>
      </c>
      <c r="H135" s="90">
        <f t="shared" si="7"/>
        <v>29337.360000000001</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28484</v>
      </c>
      <c r="D139" s="23" t="s">
        <v>288</v>
      </c>
      <c r="E139" s="23" t="s">
        <v>288</v>
      </c>
      <c r="F139" s="23" t="s">
        <v>288</v>
      </c>
      <c r="G139" s="23" t="s">
        <v>288</v>
      </c>
      <c r="H139" s="90">
        <f t="shared" si="7"/>
        <v>28484</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-28484</v>
      </c>
      <c r="D141" s="23" t="s">
        <v>288</v>
      </c>
      <c r="E141" s="23" t="s">
        <v>288</v>
      </c>
      <c r="F141" s="23" t="s">
        <v>288</v>
      </c>
      <c r="G141" s="23" t="s">
        <v>288</v>
      </c>
      <c r="H141" s="90">
        <f t="shared" si="7"/>
        <v>-28484</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617984.96</v>
      </c>
      <c r="D144" s="98">
        <f>SUM(D130:D143)</f>
        <v>0</v>
      </c>
      <c r="E144" s="98">
        <f>SUM(E130:E143)</f>
        <v>0</v>
      </c>
      <c r="F144" s="98">
        <f>SUM(F130:F143)</f>
        <v>0</v>
      </c>
      <c r="G144" s="98">
        <f>SUM(G130:G143)</f>
        <v>401900</v>
      </c>
      <c r="H144" s="98">
        <f t="shared" si="7"/>
        <v>1019884.96</v>
      </c>
    </row>
    <row r="145" spans="1:9" ht="12.75" thickTop="1" thickBot="1" x14ac:dyDescent="0.25">
      <c r="A145" s="32" t="s">
        <v>244</v>
      </c>
      <c r="C145" s="68">
        <f>(C115+C128+C144)</f>
        <v>15031299.359999999</v>
      </c>
      <c r="D145" s="68">
        <f>(D115+D128+D144)</f>
        <v>168685.36</v>
      </c>
      <c r="E145" s="68">
        <f>(E115+E128+E144)</f>
        <v>242719.35000000003</v>
      </c>
      <c r="F145" s="68">
        <f>(F115+F128+F144)</f>
        <v>0</v>
      </c>
      <c r="G145" s="68">
        <f>(G115+G128+G144)</f>
        <v>401900</v>
      </c>
      <c r="H145" s="68">
        <f t="shared" si="7"/>
        <v>15844604.069999998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02/15</v>
      </c>
      <c r="C152" s="109">
        <f>'DOE25'!G492</f>
        <v>0</v>
      </c>
      <c r="D152" s="109">
        <f>'DOE25'!H492</f>
        <v>0</v>
      </c>
      <c r="E152" s="109">
        <f>'DOE25'!I492</f>
        <v>0</v>
      </c>
      <c r="F152" s="109">
        <f>'DOE25'!J492</f>
        <v>0</v>
      </c>
      <c r="G152" s="23" t="s">
        <v>288</v>
      </c>
    </row>
    <row r="153" spans="1:9" x14ac:dyDescent="0.2">
      <c r="A153" s="21" t="s">
        <v>29</v>
      </c>
      <c r="B153" s="109" t="str">
        <f>'DOE25'!F493</f>
        <v>02/36</v>
      </c>
      <c r="C153" s="109">
        <f>'DOE25'!G493</f>
        <v>0</v>
      </c>
      <c r="D153" s="109">
        <f>'DOE25'!H493</f>
        <v>0</v>
      </c>
      <c r="E153" s="109">
        <f>'DOE25'!I493</f>
        <v>0</v>
      </c>
      <c r="F153" s="109">
        <f>'DOE25'!J493</f>
        <v>0</v>
      </c>
      <c r="G153" s="23" t="s">
        <v>288</v>
      </c>
    </row>
    <row r="154" spans="1:9" x14ac:dyDescent="0.2">
      <c r="A154" s="21" t="s">
        <v>30</v>
      </c>
      <c r="B154" s="19">
        <f>'DOE25'!F494</f>
        <v>5391000</v>
      </c>
      <c r="C154" s="19">
        <f>'DOE25'!G494</f>
        <v>0</v>
      </c>
      <c r="D154" s="19">
        <f>'DOE25'!H494</f>
        <v>0</v>
      </c>
      <c r="E154" s="19">
        <f>'DOE25'!I494</f>
        <v>0</v>
      </c>
      <c r="F154" s="19">
        <f>'DOE25'!J494</f>
        <v>0</v>
      </c>
      <c r="G154" s="23" t="s">
        <v>288</v>
      </c>
    </row>
    <row r="155" spans="1:9" x14ac:dyDescent="0.2">
      <c r="A155" s="21" t="s">
        <v>31</v>
      </c>
      <c r="B155" s="19">
        <f>'DOE25'!F495</f>
        <v>3.04</v>
      </c>
      <c r="C155" s="19">
        <f>'DOE25'!G495</f>
        <v>0</v>
      </c>
      <c r="D155" s="19">
        <f>'DOE25'!H495</f>
        <v>0</v>
      </c>
      <c r="E155" s="19">
        <f>'DOE25'!I495</f>
        <v>0</v>
      </c>
      <c r="F155" s="19">
        <f>'DOE25'!J495</f>
        <v>0</v>
      </c>
      <c r="G155" s="23" t="s">
        <v>288</v>
      </c>
    </row>
    <row r="156" spans="1:9" x14ac:dyDescent="0.2">
      <c r="A156" s="21" t="s">
        <v>32</v>
      </c>
      <c r="B156" s="19">
        <f>'DOE25'!F496</f>
        <v>4270000</v>
      </c>
      <c r="C156" s="19">
        <f>'DOE25'!G496</f>
        <v>0</v>
      </c>
      <c r="D156" s="19">
        <f>'DOE25'!H496</f>
        <v>0</v>
      </c>
      <c r="E156" s="19">
        <f>'DOE25'!I496</f>
        <v>0</v>
      </c>
      <c r="F156" s="19">
        <f>'DOE25'!J496</f>
        <v>0</v>
      </c>
      <c r="G156" s="96">
        <f>SUM(B156:F156)</f>
        <v>4270000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230000</v>
      </c>
      <c r="C158" s="19">
        <f>'DOE25'!G498</f>
        <v>0</v>
      </c>
      <c r="D158" s="19">
        <f>'DOE25'!H498</f>
        <v>0</v>
      </c>
      <c r="E158" s="19">
        <f>'DOE25'!I498</f>
        <v>0</v>
      </c>
      <c r="F158" s="19">
        <f>'DOE25'!J498</f>
        <v>0</v>
      </c>
      <c r="G158" s="96">
        <f t="shared" si="8"/>
        <v>230000</v>
      </c>
    </row>
    <row r="159" spans="1:9" x14ac:dyDescent="0.2">
      <c r="A159" s="21" t="s">
        <v>35</v>
      </c>
      <c r="B159" s="19">
        <f>'DOE25'!F499</f>
        <v>4040000</v>
      </c>
      <c r="C159" s="19">
        <f>'DOE25'!G499</f>
        <v>0</v>
      </c>
      <c r="D159" s="19">
        <f>'DOE25'!H499</f>
        <v>0</v>
      </c>
      <c r="E159" s="19">
        <f>'DOE25'!I499</f>
        <v>0</v>
      </c>
      <c r="F159" s="19">
        <f>'DOE25'!J499</f>
        <v>0</v>
      </c>
      <c r="G159" s="96">
        <f t="shared" si="8"/>
        <v>4040000</v>
      </c>
    </row>
    <row r="160" spans="1:9" x14ac:dyDescent="0.2">
      <c r="A160" s="21" t="s">
        <v>36</v>
      </c>
      <c r="B160" s="19">
        <f>'DOE25'!F500</f>
        <v>1050413.48</v>
      </c>
      <c r="C160" s="19">
        <f>'DOE25'!G500</f>
        <v>0</v>
      </c>
      <c r="D160" s="19">
        <f>'DOE25'!H500</f>
        <v>0</v>
      </c>
      <c r="E160" s="19">
        <f>'DOE25'!I500</f>
        <v>0</v>
      </c>
      <c r="F160" s="19">
        <f>'DOE25'!J500</f>
        <v>0</v>
      </c>
      <c r="G160" s="96">
        <f t="shared" si="8"/>
        <v>1050413.48</v>
      </c>
    </row>
    <row r="161" spans="1:7" x14ac:dyDescent="0.2">
      <c r="A161" s="21" t="s">
        <v>37</v>
      </c>
      <c r="B161" s="19">
        <f>'DOE25'!F501</f>
        <v>5090413.4800000004</v>
      </c>
      <c r="C161" s="19">
        <f>'DOE25'!G501</f>
        <v>0</v>
      </c>
      <c r="D161" s="19">
        <f>'DOE25'!H501</f>
        <v>0</v>
      </c>
      <c r="E161" s="19">
        <f>'DOE25'!I501</f>
        <v>0</v>
      </c>
      <c r="F161" s="19">
        <f>'DOE25'!J501</f>
        <v>0</v>
      </c>
      <c r="G161" s="96">
        <f t="shared" si="8"/>
        <v>5090413.4800000004</v>
      </c>
    </row>
    <row r="162" spans="1:7" x14ac:dyDescent="0.2">
      <c r="A162" s="21" t="s">
        <v>38</v>
      </c>
      <c r="B162" s="19">
        <f>'DOE25'!F502</f>
        <v>240000</v>
      </c>
      <c r="C162" s="19">
        <f>'DOE25'!G502</f>
        <v>0</v>
      </c>
      <c r="D162" s="19">
        <f>'DOE25'!H502</f>
        <v>0</v>
      </c>
      <c r="E162" s="19">
        <f>'DOE25'!I502</f>
        <v>0</v>
      </c>
      <c r="F162" s="19">
        <f>'DOE25'!J502</f>
        <v>0</v>
      </c>
      <c r="G162" s="96">
        <f t="shared" si="8"/>
        <v>240000</v>
      </c>
    </row>
    <row r="163" spans="1:7" x14ac:dyDescent="0.2">
      <c r="A163" s="21" t="s">
        <v>39</v>
      </c>
      <c r="B163" s="19">
        <f>'DOE25'!F503</f>
        <v>153934</v>
      </c>
      <c r="C163" s="19">
        <f>'DOE25'!G503</f>
        <v>0</v>
      </c>
      <c r="D163" s="19">
        <f>'DOE25'!H503</f>
        <v>0</v>
      </c>
      <c r="E163" s="19">
        <f>'DOE25'!I503</f>
        <v>0</v>
      </c>
      <c r="F163" s="19">
        <f>'DOE25'!J503</f>
        <v>0</v>
      </c>
      <c r="G163" s="96">
        <f t="shared" si="8"/>
        <v>153934</v>
      </c>
    </row>
    <row r="164" spans="1:7" x14ac:dyDescent="0.2">
      <c r="A164" s="21" t="s">
        <v>246</v>
      </c>
      <c r="B164" s="19">
        <f>'DOE25'!F504</f>
        <v>393934</v>
      </c>
      <c r="C164" s="19">
        <f>'DOE25'!G504</f>
        <v>0</v>
      </c>
      <c r="D164" s="19">
        <f>'DOE25'!H504</f>
        <v>0</v>
      </c>
      <c r="E164" s="19">
        <f>'DOE25'!I504</f>
        <v>0</v>
      </c>
      <c r="F164" s="19">
        <f>'DOE25'!J504</f>
        <v>0</v>
      </c>
      <c r="G164" s="96">
        <f t="shared" si="8"/>
        <v>393934</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Hanover</v>
      </c>
    </row>
    <row r="3" spans="1:4" x14ac:dyDescent="0.2">
      <c r="B3" s="137" t="s">
        <v>1799</v>
      </c>
    </row>
    <row r="4" spans="1:4" x14ac:dyDescent="0.2">
      <c r="B4" t="s">
        <v>61</v>
      </c>
      <c r="C4" s="129">
        <f>IF('DOE25'!F666+'DOE25'!F671=0,0,ROUND('DOE25'!F673,0))</f>
        <v>21026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21026</v>
      </c>
    </row>
    <row r="9" spans="1:4" x14ac:dyDescent="0.2">
      <c r="A9" s="136" t="s">
        <v>94</v>
      </c>
      <c r="B9" s="137" t="s">
        <v>1800</v>
      </c>
      <c r="C9" s="131" t="s">
        <v>720</v>
      </c>
      <c r="D9" s="131" t="s">
        <v>721</v>
      </c>
    </row>
    <row r="10" spans="1:4" x14ac:dyDescent="0.2">
      <c r="A10">
        <v>1100</v>
      </c>
      <c r="B10" t="s">
        <v>702</v>
      </c>
      <c r="C10" s="129">
        <f>ROUND('DOE25'!L198+'DOE25'!L216+'DOE25'!L234+'DOE25'!L277+'DOE25'!L296+'DOE25'!L315,0)</f>
        <v>7636583</v>
      </c>
      <c r="D10" s="132">
        <f>ROUND((C10/$C$28)*100,1)</f>
        <v>51.4</v>
      </c>
    </row>
    <row r="11" spans="1:4" x14ac:dyDescent="0.2">
      <c r="A11">
        <v>1200</v>
      </c>
      <c r="B11" t="s">
        <v>703</v>
      </c>
      <c r="C11" s="129">
        <f>ROUND('DOE25'!L199+'DOE25'!L217+'DOE25'!L235+'DOE25'!L278+'DOE25'!L297+'DOE25'!L316,0)</f>
        <v>3818498</v>
      </c>
      <c r="D11" s="132">
        <f>ROUND((C11/$C$28)*100,1)</f>
        <v>25.7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361112</v>
      </c>
      <c r="D15" s="132">
        <f t="shared" ref="D15:D27" si="0">ROUND((C15/$C$28)*100,1)</f>
        <v>2.4</v>
      </c>
    </row>
    <row r="16" spans="1:4" x14ac:dyDescent="0.2">
      <c r="A16">
        <v>2200</v>
      </c>
      <c r="B16" t="s">
        <v>707</v>
      </c>
      <c r="C16" s="129">
        <f>ROUND('DOE25'!L204+'DOE25'!L222+'DOE25'!L240+'DOE25'!L283+'DOE25'!L302+'DOE25'!L321,0)</f>
        <v>272687</v>
      </c>
      <c r="D16" s="132">
        <f t="shared" si="0"/>
        <v>1.8</v>
      </c>
    </row>
    <row r="17" spans="1:4" x14ac:dyDescent="0.2">
      <c r="A17" s="133" t="s">
        <v>723</v>
      </c>
      <c r="B17" t="s">
        <v>738</v>
      </c>
      <c r="C17" s="129">
        <f>ROUND('DOE25'!L205+'DOE25'!L210+'DOE25'!L223+'DOE25'!L228+'DOE25'!L241+'DOE25'!L246+'DOE25'!L284+'DOE25'!L289+'DOE25'!L303+'DOE25'!L308+'DOE25'!L322+'DOE25'!L327,0)</f>
        <v>644224</v>
      </c>
      <c r="D17" s="132">
        <f t="shared" si="0"/>
        <v>4.3</v>
      </c>
    </row>
    <row r="18" spans="1:4" x14ac:dyDescent="0.2">
      <c r="A18">
        <v>2400</v>
      </c>
      <c r="B18" t="s">
        <v>711</v>
      </c>
      <c r="C18" s="129">
        <f>ROUND('DOE25'!L206+'DOE25'!L224+'DOE25'!L242+'DOE25'!L285+'DOE25'!L304+'DOE25'!L323,0)</f>
        <v>565866</v>
      </c>
      <c r="D18" s="132">
        <f t="shared" si="0"/>
        <v>3.8</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637746</v>
      </c>
      <c r="D20" s="132">
        <f t="shared" si="0"/>
        <v>4.3</v>
      </c>
    </row>
    <row r="21" spans="1:4" x14ac:dyDescent="0.2">
      <c r="A21">
        <v>2700</v>
      </c>
      <c r="B21" t="s">
        <v>710</v>
      </c>
      <c r="C21" s="129">
        <f>ROUND('DOE25'!L209+'DOE25'!L227+'DOE25'!L245+'DOE25'!L288+'DOE25'!L307+'DOE25'!L326,0)</f>
        <v>719319</v>
      </c>
      <c r="D21" s="132">
        <f t="shared" si="0"/>
        <v>4.8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165664</v>
      </c>
      <c r="D25" s="132">
        <f t="shared" si="0"/>
        <v>1.1000000000000001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29337</v>
      </c>
      <c r="D27" s="132">
        <f t="shared" si="0"/>
        <v>0.2</v>
      </c>
    </row>
    <row r="28" spans="1:4" x14ac:dyDescent="0.2">
      <c r="B28" s="136" t="s">
        <v>719</v>
      </c>
      <c r="C28" s="130">
        <f>SUM(C10:C27)</f>
        <v>14851036</v>
      </c>
      <c r="D28" s="134">
        <f>ROUND(SUM(D10:D27),0)</f>
        <v>100</v>
      </c>
    </row>
    <row r="29" spans="1:4" x14ac:dyDescent="0.2">
      <c r="A29">
        <v>4000</v>
      </c>
      <c r="B29" t="s">
        <v>724</v>
      </c>
      <c r="C29" s="129">
        <f>ROUND('DOE25'!L256+'DOE25'!L337+'DOE25'!L375+'DOE25'!L376+'DOE25'!L377+'DOE25'!L378+'DOE25'!L379+'DOE25'!L380+'DOE25'!L381,0)</f>
        <v>192984</v>
      </c>
    </row>
    <row r="30" spans="1:4" x14ac:dyDescent="0.2">
      <c r="B30" s="136" t="s">
        <v>725</v>
      </c>
      <c r="C30" s="130">
        <f>SUM(C28:C29)</f>
        <v>15044020</v>
      </c>
    </row>
    <row r="31" spans="1:4" x14ac:dyDescent="0.2">
      <c r="B31" s="32"/>
      <c r="C31" s="130"/>
    </row>
    <row r="32" spans="1:4" x14ac:dyDescent="0.2">
      <c r="A32">
        <v>5100</v>
      </c>
      <c r="B32" s="32" t="s">
        <v>726</v>
      </c>
      <c r="C32" s="130">
        <f>ROUND('DOE25'!L261+'DOE25'!L342,0)</f>
        <v>230000</v>
      </c>
    </row>
    <row r="34" spans="1:4" x14ac:dyDescent="0.2">
      <c r="A34" s="136" t="s">
        <v>94</v>
      </c>
      <c r="B34" s="137" t="s">
        <v>1801</v>
      </c>
      <c r="C34" s="131" t="s">
        <v>720</v>
      </c>
      <c r="D34" s="131" t="s">
        <v>721</v>
      </c>
    </row>
    <row r="35" spans="1:4" x14ac:dyDescent="0.2">
      <c r="A35">
        <v>1100</v>
      </c>
      <c r="B35" s="71" t="s">
        <v>727</v>
      </c>
      <c r="C35" s="129">
        <f>ROUND('DOE25'!F60+'DOE25'!G60+'DOE25'!H60+'DOE25'!I60+'DOE25'!J60,0)</f>
        <v>11856065</v>
      </c>
      <c r="D35" s="132">
        <f t="shared" ref="D35:D40" si="1">ROUND((C35/$C$41)*100,1)</f>
        <v>76.5</v>
      </c>
    </row>
    <row r="36" spans="1:4" x14ac:dyDescent="0.2">
      <c r="B36" s="71" t="s">
        <v>739</v>
      </c>
      <c r="C36" s="129">
        <f>SUM('DOE25'!F112:J112)-SUM('DOE25'!G97:G110)+('DOE25'!F175+'DOE25'!F176+'DOE25'!I175+'DOE25'!I176)-C35</f>
        <v>255364.1099999994</v>
      </c>
      <c r="D36" s="132">
        <f t="shared" si="1"/>
        <v>1.6</v>
      </c>
    </row>
    <row r="37" spans="1:4" x14ac:dyDescent="0.2">
      <c r="A37" s="133" t="s">
        <v>835</v>
      </c>
      <c r="B37" s="71" t="s">
        <v>728</v>
      </c>
      <c r="C37" s="129">
        <f>ROUND('DOE25'!F117+'DOE25'!F118,0)</f>
        <v>2566622</v>
      </c>
      <c r="D37" s="132">
        <f t="shared" si="1"/>
        <v>16.600000000000001</v>
      </c>
    </row>
    <row r="38" spans="1:4" x14ac:dyDescent="0.2">
      <c r="A38" s="133" t="s">
        <v>734</v>
      </c>
      <c r="B38" s="71" t="s">
        <v>729</v>
      </c>
      <c r="C38" s="129">
        <f>ROUND(SUM('DOE25'!F140:J140)-SUM('DOE25'!F117:F119),0)</f>
        <v>588156</v>
      </c>
      <c r="D38" s="132">
        <f t="shared" si="1"/>
        <v>3.8</v>
      </c>
    </row>
    <row r="39" spans="1:4" x14ac:dyDescent="0.2">
      <c r="A39">
        <v>4000</v>
      </c>
      <c r="B39" s="71" t="s">
        <v>730</v>
      </c>
      <c r="C39" s="129">
        <f>ROUND('DOE25'!F170+'DOE25'!G170+'DOE25'!H170+'DOE25'!I170,0)</f>
        <v>235934</v>
      </c>
      <c r="D39" s="132">
        <f t="shared" si="1"/>
        <v>1.5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15502141.109999999</v>
      </c>
      <c r="D41" s="134">
        <f>SUM(D35:D40)</f>
        <v>99.999999999999986</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Hanover</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23</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f>IF('School Level Expenditures'!$B$2=A26,'School Tables'!H26,"")</f>
        <v>23</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2022-10-03T18:32:11Z</cp:lastPrinted>
  <dcterms:created xsi:type="dcterms:W3CDTF">1997-12-04T19:04:30Z</dcterms:created>
  <dcterms:modified xsi:type="dcterms:W3CDTF">2024-03-22T17:52:44Z</dcterms:modified>
</cp:coreProperties>
</file>