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C1E79D6-CC65-4531-B29E-4CFF6AF9167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8" i="1" l="1"/>
  <c r="F31" i="13" l="1"/>
  <c r="F15" i="13"/>
  <c r="G532" i="1"/>
  <c r="F532" i="1"/>
  <c r="H22"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46" i="1"/>
  <c r="G651" i="1"/>
  <c r="G652" i="1"/>
  <c r="J652" i="1" s="1"/>
  <c r="H653" i="1"/>
  <c r="G654" i="1"/>
  <c r="H654" i="1"/>
  <c r="H655" i="1"/>
  <c r="H656" i="1"/>
  <c r="I112" i="1" l="1"/>
  <c r="F409" i="1"/>
  <c r="H644" i="1" s="1"/>
  <c r="C112" i="2"/>
  <c r="C13" i="10"/>
  <c r="C32" i="10"/>
  <c r="D18" i="13"/>
  <c r="C18" i="13" s="1"/>
  <c r="C120" i="2"/>
  <c r="H132" i="2"/>
  <c r="J112" i="1"/>
  <c r="J194" i="1" s="1"/>
  <c r="G409" i="1"/>
  <c r="H646" i="1" s="1"/>
  <c r="J646" i="1" s="1"/>
  <c r="E112" i="2"/>
  <c r="H112" i="2" s="1"/>
  <c r="D6" i="13"/>
  <c r="C6" i="13" s="1"/>
  <c r="E13" i="13"/>
  <c r="C13" i="13" s="1"/>
  <c r="C119" i="2"/>
  <c r="G662" i="1"/>
  <c r="C125" i="2"/>
  <c r="H125" i="2" s="1"/>
  <c r="C121" i="2"/>
  <c r="I409" i="1"/>
  <c r="D144" i="2"/>
  <c r="F85" i="2"/>
  <c r="H72" i="2"/>
  <c r="C110" i="2"/>
  <c r="H44" i="2"/>
  <c r="H48" i="2"/>
  <c r="H137" i="2"/>
  <c r="H94" i="2"/>
  <c r="H113" i="2"/>
  <c r="E121" i="2"/>
  <c r="H143" i="2"/>
  <c r="C12" i="10"/>
  <c r="H120" i="2"/>
  <c r="D15" i="13"/>
  <c r="C15" i="13" s="1"/>
  <c r="A40" i="12"/>
  <c r="G62" i="2"/>
  <c r="G63" i="2" s="1"/>
  <c r="H93" i="2"/>
  <c r="H73" i="2"/>
  <c r="H101" i="2"/>
  <c r="H96" i="2"/>
  <c r="H89" i="2"/>
  <c r="H87" i="2"/>
  <c r="H80" i="2"/>
  <c r="H76" i="2"/>
  <c r="H140" i="1"/>
  <c r="H58" i="2"/>
  <c r="H102" i="2"/>
  <c r="H100" i="2"/>
  <c r="H99" i="2"/>
  <c r="H98" i="2"/>
  <c r="H97" i="2"/>
  <c r="H79" i="2"/>
  <c r="H77" i="2"/>
  <c r="H69" i="2"/>
  <c r="H61" i="2"/>
  <c r="H59" i="2"/>
  <c r="H43" i="2"/>
  <c r="H26" i="2"/>
  <c r="H25" i="2"/>
  <c r="H15" i="2"/>
  <c r="H30" i="2"/>
  <c r="H11" i="2"/>
  <c r="H9" i="2"/>
  <c r="H47" i="2"/>
  <c r="H38" i="2"/>
  <c r="H36" i="2"/>
  <c r="H35" i="2"/>
  <c r="H34" i="2"/>
  <c r="H29" i="2"/>
  <c r="H28" i="2"/>
  <c r="H27" i="2"/>
  <c r="H24" i="2"/>
  <c r="H23" i="2"/>
  <c r="H22" i="2"/>
  <c r="H17" i="2"/>
  <c r="H13" i="2"/>
  <c r="H12" i="2"/>
  <c r="H8" i="2"/>
  <c r="E119" i="2"/>
  <c r="H409" i="1"/>
  <c r="H645" i="1" s="1"/>
  <c r="J645" i="1" s="1"/>
  <c r="G339" i="1"/>
  <c r="G353" i="1" s="1"/>
  <c r="J258" i="1"/>
  <c r="J272" i="1" s="1"/>
  <c r="E123" i="2"/>
  <c r="E110" i="2"/>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G24" i="14" l="1"/>
  <c r="H24" i="14" s="1"/>
  <c r="I24" i="14" s="1"/>
  <c r="G647" i="1"/>
  <c r="H42" i="2"/>
  <c r="E144" i="2"/>
  <c r="B17" i="16"/>
  <c r="B19" i="16" s="1"/>
  <c r="G473" i="1"/>
  <c r="G637" i="1"/>
  <c r="I473" i="1"/>
  <c r="I663" i="1"/>
  <c r="H119" i="2"/>
  <c r="H134" i="2"/>
  <c r="L572" i="1"/>
  <c r="E115" i="2"/>
  <c r="H121" i="2"/>
  <c r="H110" i="2"/>
  <c r="H122" i="2"/>
  <c r="H114" i="2"/>
  <c r="H16" i="2"/>
  <c r="H21" i="2"/>
  <c r="D128" i="2"/>
  <c r="D145" i="2" s="1"/>
  <c r="H127" i="2"/>
  <c r="F661" i="1"/>
  <c r="F665" i="1" s="1"/>
  <c r="F668" i="1" s="1"/>
  <c r="E128" i="2"/>
  <c r="H123" i="2"/>
  <c r="H109" i="2"/>
  <c r="H91" i="2"/>
  <c r="H85" i="2"/>
  <c r="H57" i="2"/>
  <c r="H103" i="2"/>
  <c r="H62" i="2"/>
  <c r="C81" i="2"/>
  <c r="H81" i="2" s="1"/>
  <c r="H78" i="2"/>
  <c r="F194" i="1"/>
  <c r="H50" i="2"/>
  <c r="E51" i="2"/>
  <c r="H31" i="2"/>
  <c r="D51" i="2"/>
  <c r="H18"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J469" i="1" s="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E145" i="2" l="1"/>
  <c r="G629" i="1"/>
  <c r="G469" i="1"/>
  <c r="H637" i="1"/>
  <c r="J637" i="1" s="1"/>
  <c r="I475" i="1"/>
  <c r="G631" i="1"/>
  <c r="I469" i="1"/>
  <c r="G475" i="1"/>
  <c r="H636" i="1"/>
  <c r="J636" i="1" s="1"/>
  <c r="G628" i="1"/>
  <c r="F469" i="1"/>
  <c r="H638" i="1"/>
  <c r="J471" i="1"/>
  <c r="H632" i="1"/>
  <c r="J632" i="1" s="1"/>
  <c r="G639" i="1"/>
  <c r="J473" i="1"/>
  <c r="G630" i="1"/>
  <c r="H469" i="1"/>
  <c r="G634" i="1"/>
  <c r="H473" i="1"/>
  <c r="H115" i="2"/>
  <c r="G633" i="1"/>
  <c r="F473" i="1"/>
  <c r="H128" i="2"/>
  <c r="C144" i="2"/>
  <c r="H144" i="2" s="1"/>
  <c r="H141" i="2"/>
  <c r="H673" i="1"/>
  <c r="C6" i="10" s="1"/>
  <c r="C104" i="2"/>
  <c r="H104" i="2" s="1"/>
  <c r="H63" i="2"/>
  <c r="H51" i="2"/>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H628" i="1"/>
  <c r="F471" i="1"/>
  <c r="J628" i="1"/>
  <c r="G471" i="1"/>
  <c r="G477" i="1" s="1"/>
  <c r="H629" i="1"/>
  <c r="J629" i="1" s="1"/>
  <c r="H631" i="1"/>
  <c r="J631" i="1" s="1"/>
  <c r="I471" i="1"/>
  <c r="I477" i="1" s="1"/>
  <c r="H626" i="1" s="1"/>
  <c r="J626" i="1" s="1"/>
  <c r="H639" i="1"/>
  <c r="J475" i="1"/>
  <c r="J477" i="1" s="1"/>
  <c r="H627" i="1" s="1"/>
  <c r="J627" i="1" s="1"/>
  <c r="J639" i="1"/>
  <c r="H630" i="1"/>
  <c r="J630" i="1" s="1"/>
  <c r="H471" i="1"/>
  <c r="H475" i="1"/>
  <c r="H477" i="1" s="1"/>
  <c r="H625" i="1" s="1"/>
  <c r="J625" i="1" s="1"/>
  <c r="H634" i="1"/>
  <c r="J634" i="1" s="1"/>
  <c r="F475" i="1"/>
  <c r="H633" i="1"/>
  <c r="J633" i="1" s="1"/>
  <c r="C145" i="2"/>
  <c r="H145" i="2" s="1"/>
  <c r="I668" i="1"/>
  <c r="D28" i="10"/>
  <c r="D37" i="10"/>
  <c r="D36" i="10"/>
  <c r="D35" i="10"/>
  <c r="D40" i="10"/>
  <c r="D39" i="10"/>
  <c r="H624" i="1" l="1"/>
  <c r="J624" i="1" s="1"/>
  <c r="B33" i="16"/>
  <c r="F477" i="1"/>
  <c r="H623" i="1" s="1"/>
  <c r="J623"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<sst xmlns="http://schemas.openxmlformats.org/spreadsheetml/2006/main" count="6531" uniqueCount="1803">
  <si>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</si>
  <si>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</si>
  <si>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</si>
  <si>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</si>
  <si>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</si>
  <si>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</si>
  <si>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</si>
  <si>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</si>
  <si>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</si>
  <si>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</si>
  <si>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</si>
  <si>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</si>
  <si>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</si>
  <si>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</si>
  <si>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</si>
  <si>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</si>
  <si>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</si>
  <si>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</si>
  <si>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</si>
  <si>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</si>
  <si>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</si>
  <si>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</si>
  <si>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</si>
  <si>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</si>
  <si>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</si>
  <si>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</si>
  <si>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</si>
  <si>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</si>
  <si>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</si>
  <si>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</si>
  <si>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</si>
  <si>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</si>
  <si>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</si>
  <si>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</si>
  <si>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</si>
  <si>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</si>
  <si>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</si>
  <si>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</si>
  <si>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</si>
  <si>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</si>
  <si>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</si>
  <si>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</si>
  <si>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</si>
  <si>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</si>
  <si>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</si>
  <si>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</si>
  <si>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</si>
  <si>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</si>
  <si>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</si>
  <si>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</si>
  <si>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</si>
  <si>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</si>
  <si>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</si>
  <si>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</si>
  <si>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</si>
  <si>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</si>
  <si>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</si>
  <si>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</si>
  <si>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</si>
  <si>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</si>
  <si>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</si>
  <si>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</si>
  <si>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</si>
  <si>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</si>
  <si>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</si>
  <si>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</si>
  <si>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</si>
  <si>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</si>
  <si>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</si>
  <si>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</si>
  <si>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</si>
  <si>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</si>
  <si>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</si>
  <si>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</si>
  <si>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</si>
  <si>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</si>
  <si>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</si>
  <si>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</si>
  <si>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</si>
  <si>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</si>
  <si>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</si>
  <si>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</si>
  <si>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</si>
  <si>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</si>
  <si>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</si>
  <si>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</si>
  <si>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</si>
  <si>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</si>
  <si>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</si>
  <si>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</si>
  <si>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</si>
  <si>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</si>
  <si>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</si>
  <si>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</si>
  <si>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</si>
  <si>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</si>
  <si>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</si>
  <si>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</si>
  <si>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</si>
  <si>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</si>
  <si>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</si>
  <si>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</si>
  <si>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</si>
  <si>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</si>
  <si>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</si>
  <si>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</si>
  <si>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</si>
  <si>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</si>
  <si>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</si>
  <si>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</si>
  <si>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</si>
  <si>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</si>
  <si>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</si>
  <si>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</si>
  <si>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</si>
  <si>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</si>
  <si>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</si>
  <si>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</si>
  <si>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</si>
  <si>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</si>
  <si>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</si>
  <si>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</si>
  <si>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</si>
  <si>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</si>
  <si>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</si>
  <si>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</si>
  <si>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</si>
  <si>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</si>
  <si>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</si>
  <si>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</si>
  <si>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</si>
  <si>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</si>
  <si>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</si>
  <si>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</si>
  <si>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</si>
  <si>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</si>
  <si>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</si>
  <si>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</si>
  <si>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</si>
  <si>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</si>
  <si>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</si>
  <si>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</si>
  <si>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</si>
  <si>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</si>
  <si>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</si>
  <si>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</si>
  <si>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</si>
  <si>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</si>
  <si>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</si>
  <si>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</si>
  <si>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</si>
  <si>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</si>
  <si>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</si>
  <si>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</si>
  <si>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</si>
  <si>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</si>
  <si>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</si>
  <si>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</si>
  <si>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</si>
  <si>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</si>
  <si>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</si>
  <si>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</si>
  <si>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</si>
  <si>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</si>
  <si>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</si>
  <si>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</si>
  <si>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</si>
  <si>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</si>
  <si>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</si>
  <si>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</si>
  <si>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</si>
  <si>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</si>
  <si>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</si>
  <si>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</si>
  <si>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</si>
  <si>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</si>
  <si>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</si>
  <si>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</si>
  <si>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</si>
  <si>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</si>
  <si>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</si>
  <si>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</si>
  <si>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</si>
  <si>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</si>
  <si>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</si>
  <si>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</si>
  <si>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</si>
  <si>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</si>
  <si>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</si>
  <si>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</si>
  <si>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</si>
  <si>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</si>
  <si>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</si>
  <si>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</si>
  <si>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</si>
  <si>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</si>
  <si>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</si>
  <si>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</si>
  <si>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</si>
  <si>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</si>
  <si>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</si>
  <si>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</si>
  <si>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</si>
  <si>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</si>
  <si>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</si>
  <si>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</si>
  <si>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</si>
  <si>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</si>
  <si>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</si>
  <si>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</si>
  <si>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</si>
  <si>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</si>
  <si>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</si>
  <si>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</si>
  <si>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</si>
  <si>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</si>
  <si>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</si>
  <si>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</si>
  <si>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</si>
  <si>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</si>
  <si>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</si>
  <si>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</si>
  <si>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</si>
  <si>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</si>
  <si>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</si>
  <si>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</si>
  <si>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</si>
  <si>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</si>
  <si>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</si>
  <si>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</si>
  <si>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</si>
  <si>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</si>
  <si>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</si>
  <si>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</si>
  <si>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</si>
  <si>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</si>
  <si>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</si>
  <si>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</si>
  <si>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</si>
  <si>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</si>
  <si>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</si>
  <si>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</si>
  <si>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</si>
  <si>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</si>
  <si>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</si>
  <si>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</si>
  <si>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</si>
  <si>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</si>
  <si>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</si>
  <si>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</si>
  <si>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</si>
  <si>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</si>
  <si>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</si>
  <si>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</si>
  <si>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</si>
  <si>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</si>
  <si>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</si>
  <si>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</si>
  <si>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</si>
  <si>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</si>
  <si>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</si>
  <si>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</si>
  <si>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</si>
  <si>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</si>
  <si>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</si>
  <si>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</si>
  <si>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</si>
  <si>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</si>
  <si>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</si>
  <si>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</si>
  <si>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</si>
  <si>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</si>
  <si>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</si>
  <si>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</si>
  <si>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</si>
  <si>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</si>
  <si>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</si>
  <si>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</si>
  <si>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</si>
  <si>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</si>
  <si>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</si>
  <si>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</si>
  <si>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</si>
  <si>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</si>
  <si>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</si>
  <si>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</si>
  <si>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</si>
  <si>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</si>
  <si>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</si>
  <si>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</si>
  <si>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</si>
  <si>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</si>
  <si>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</si>
  <si>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</si>
  <si>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</si>
  <si>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</si>
  <si>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</si>
  <si>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</si>
  <si>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</si>
  <si>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</si>
  <si>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</si>
  <si>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</si>
  <si>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</si>
  <si>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</si>
  <si>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</si>
  <si>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</si>
  <si>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</si>
  <si>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</si>
  <si>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</si>
  <si>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</si>
  <si>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</si>
  <si>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</si>
  <si>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</si>
  <si>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</si>
  <si>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</si>
  <si>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</si>
  <si>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</si>
  <si>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</si>
  <si>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</si>
  <si>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</si>
  <si>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</si>
  <si>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</si>
  <si>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</si>
  <si>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</si>
  <si>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</si>
  <si>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</si>
  <si>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</si>
  <si>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</si>
  <si>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</si>
  <si>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</si>
  <si>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</si>
  <si>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</si>
  <si>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</si>
  <si>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</si>
  <si>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</si>
  <si>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</si>
  <si>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</si>
  <si>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</si>
  <si>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</si>
  <si>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</si>
  <si>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</si>
  <si>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</si>
  <si>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</si>
  <si>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</si>
  <si>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</si>
  <si>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</si>
  <si>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</si>
  <si>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</si>
  <si>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</si>
  <si>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</si>
  <si>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</si>
  <si>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</si>
  <si>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</si>
  <si>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</si>
  <si>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</si>
  <si>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</si>
  <si>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</si>
  <si>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</si>
  <si>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</si>
  <si>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</si>
  <si>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</si>
  <si>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</si>
  <si>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</si>
  <si>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</si>
  <si>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</si>
  <si>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</si>
  <si>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</si>
  <si>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</si>
  <si>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</si>
  <si>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</si>
  <si>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</si>
  <si>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</si>
  <si>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</si>
  <si>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</si>
  <si>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</si>
  <si>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</si>
  <si>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</si>
  <si>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</si>
  <si>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</si>
  <si>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</si>
  <si>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</si>
  <si>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</si>
  <si>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</si>
  <si>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</si>
  <si>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</si>
  <si>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</si>
  <si>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</si>
  <si>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</si>
  <si>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</si>
  <si>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</si>
  <si>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</si>
  <si>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</si>
  <si>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</si>
  <si>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</si>
  <si>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</si>
  <si>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</si>
  <si>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</si>
  <si>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</si>
  <si>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</si>
  <si>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</si>
  <si>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</si>
  <si>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</si>
  <si>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</si>
  <si>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</si>
  <si>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</si>
  <si>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</si>
  <si>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</si>
  <si>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</si>
  <si>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</si>
  <si>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</si>
  <si>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</si>
  <si>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</si>
  <si>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</si>
  <si>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</si>
  <si>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</si>
  <si>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</si>
  <si>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</si>
  <si>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</si>
  <si>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</si>
  <si>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</si>
  <si>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</si>
  <si>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</si>
  <si>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</si>
  <si>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</si>
  <si>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</si>
  <si>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</si>
  <si>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</si>
  <si>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</si>
  <si>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</si>
  <si>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</si>
  <si>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</si>
  <si>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</si>
  <si>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</si>
  <si>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</si>
  <si>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</si>
  <si>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</si>
  <si>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</si>
  <si>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</si>
  <si>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</si>
  <si>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</si>
  <si>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</si>
  <si>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</si>
  <si>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</si>
  <si>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</si>
  <si>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</si>
  <si>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</si>
  <si>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</si>
  <si>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</si>
  <si>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</si>
  <si>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</si>
  <si>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</si>
  <si>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</si>
  <si>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</si>
  <si>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</si>
  <si>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</si>
  <si>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</si>
  <si>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</si>
  <si>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</si>
  <si>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</si>
  <si>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</si>
  <si>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</si>
  <si>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</si>
  <si>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</si>
  <si>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</si>
  <si>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</si>
  <si>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</si>
  <si>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</si>
  <si>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</si>
  <si>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</si>
  <si>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</si>
  <si>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</si>
  <si>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</si>
  <si>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</si>
  <si>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</si>
  <si>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</si>
  <si>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</si>
  <si>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</si>
  <si>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</si>
  <si>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</si>
  <si>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</si>
  <si>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</si>
  <si>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</si>
  <si>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</si>
  <si>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</si>
  <si>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</si>
  <si>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</si>
  <si>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</si>
  <si>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</si>
  <si>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</si>
  <si>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</si>
  <si>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</si>
  <si>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</si>
  <si>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</si>
  <si>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</si>
  <si>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</si>
  <si>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</si>
  <si>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</si>
  <si>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</si>
  <si>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</si>
  <si>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</si>
  <si>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</si>
  <si>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</si>
  <si>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</si>
  <si>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</si>
  <si>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</si>
  <si>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</si>
  <si>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</si>
  <si>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</si>
  <si>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</si>
  <si>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</si>
  <si>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</si>
  <si>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</si>
  <si>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</si>
  <si>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</si>
  <si>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</si>
  <si>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</si>
  <si>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</si>
  <si>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</si>
  <si>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</si>
  <si>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</si>
  <si>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</si>
  <si>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</si>
  <si>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</si>
  <si>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</si>
  <si>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</si>
  <si>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</si>
  <si>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</si>
  <si>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</si>
  <si>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</si>
  <si>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</si>
  <si>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</si>
  <si>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</si>
  <si>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</si>
  <si>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</si>
  <si>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</si>
  <si>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</si>
  <si>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</si>
  <si>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</si>
  <si>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</si>
  <si>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</si>
  <si>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</si>
  <si>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</si>
  <si>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</si>
  <si>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</si>
  <si>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</si>
  <si>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</si>
  <si>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</si>
  <si>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</si>
  <si>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</si>
  <si>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</si>
  <si>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</si>
  <si>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</si>
  <si>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</si>
  <si>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</si>
  <si>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</si>
  <si>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</si>
  <si>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</si>
  <si>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</si>
  <si>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</si>
  <si>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</si>
  <si>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</si>
  <si>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</si>
  <si>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</si>
  <si>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</si>
  <si>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</si>
  <si>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</si>
  <si>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</si>
  <si>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</si>
  <si>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</si>
  <si>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</si>
  <si>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</si>
  <si>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</si>
  <si>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</si>
  <si>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</si>
  <si>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</si>
  <si>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</si>
  <si>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</si>
  <si>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</si>
  <si>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</si>
  <si>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</si>
  <si>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</si>
  <si>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</si>
  <si>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</si>
  <si>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</si>
  <si>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</si>
  <si>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</si>
  <si>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</si>
  <si>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</si>
  <si>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</si>
  <si>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</si>
  <si>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</si>
  <si>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</si>
  <si>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</si>
  <si>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</si>
  <si>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</si>
  <si>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</si>
  <si>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</si>
  <si>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</si>
  <si>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</si>
  <si>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</si>
  <si>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</si>
  <si>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</si>
  <si>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</si>
  <si>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</si>
  <si>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</si>
  <si>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</si>
  <si>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</si>
  <si>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</si>
  <si>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</si>
  <si>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</si>
  <si>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</si>
  <si>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</si>
  <si>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</si>
  <si>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</si>
  <si>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</si>
  <si>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</si>
  <si>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</si>
  <si>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</si>
  <si>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</si>
  <si>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</si>
  <si>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</si>
  <si>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</si>
  <si>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</si>
  <si>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</si>
  <si>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</si>
  <si>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</si>
  <si>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</si>
  <si>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</si>
  <si>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</si>
  <si>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</si>
  <si>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</si>
  <si>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</si>
  <si>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</si>
  <si>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</si>
  <si>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</si>
  <si>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</si>
  <si>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</si>
  <si>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</si>
  <si>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</si>
  <si>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</si>
  <si>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</si>
  <si>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</si>
  <si>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</si>
  <si>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</si>
  <si>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</si>
  <si>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</si>
  <si>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</si>
  <si>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</si>
  <si>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</si>
  <si>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</si>
  <si>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</si>
  <si>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</si>
  <si>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</si>
  <si>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</si>
  <si>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</si>
  <si>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</si>
  <si>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</si>
  <si>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</si>
  <si>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</si>
  <si>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</si>
  <si>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</si>
  <si>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</si>
  <si>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</si>
  <si>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</si>
  <si>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</si>
  <si>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</si>
  <si>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</si>
  <si>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</si>
  <si>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</si>
  <si>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</si>
  <si>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</si>
  <si>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</si>
  <si>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</si>
  <si>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</si>
  <si>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</si>
  <si>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</si>
  <si>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</si>
  <si>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</si>
  <si>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</si>
  <si>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</si>
  <si>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</si>
  <si>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</si>
  <si>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</si>
  <si>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</si>
  <si>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</si>
  <si>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</si>
  <si>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</si>
  <si>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</si>
  <si>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</si>
  <si>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</si>
  <si>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</si>
  <si>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</si>
  <si>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</si>
  <si>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</si>
  <si>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</si>
  <si>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</si>
  <si>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</si>
  <si>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</si>
  <si>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</si>
  <si>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</si>
  <si>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</si>
  <si>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</si>
  <si>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</si>
  <si>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</si>
  <si>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</si>
  <si>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</si>
  <si>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</si>
  <si>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</si>
  <si>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</si>
  <si>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</si>
  <si>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</si>
  <si>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</si>
  <si>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</si>
  <si>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</si>
  <si>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</si>
  <si>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</si>
  <si>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</si>
  <si>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</si>
  <si>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</si>
  <si>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</si>
  <si>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</si>
  <si>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</si>
  <si>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</si>
  <si>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</si>
  <si>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</si>
  <si>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</si>
  <si>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</si>
  <si>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</si>
  <si>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</si>
  <si>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</si>
  <si>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</si>
  <si>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</si>
  <si>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</si>
  <si>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</si>
  <si>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</si>
  <si>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</si>
  <si>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</si>
  <si>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</si>
  <si>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</si>
  <si>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</si>
  <si>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</si>
  <si>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</si>
  <si>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</si>
  <si>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</si>
  <si>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</si>
  <si>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</si>
  <si>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</si>
  <si>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</si>
  <si>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</si>
  <si>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</si>
  <si>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</si>
  <si>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</si>
  <si>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</si>
  <si>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</si>
  <si>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</si>
  <si>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</si>
  <si>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</si>
  <si>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</si>
  <si>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</si>
  <si>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</si>
  <si>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</si>
  <si>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</si>
  <si>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</si>
  <si>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</si>
  <si>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</si>
  <si>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</si>
  <si>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</si>
  <si>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</si>
  <si>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</si>
  <si>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</si>
  <si>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</si>
  <si>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</si>
  <si>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</si>
  <si>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</si>
  <si>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</si>
  <si>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</si>
  <si>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</si>
  <si>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</si>
  <si>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</si>
  <si>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</si>
  <si>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</si>
  <si>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</si>
  <si>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</si>
  <si>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</si>
  <si>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</si>
  <si>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</si>
  <si>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</si>
  <si>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</si>
  <si>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</si>
  <si>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</si>
  <si>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</si>
  <si>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</si>
  <si>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</si>
  <si>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</si>
  <si>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</si>
  <si>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</si>
  <si>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</si>
  <si>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</si>
  <si>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</si>
  <si>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</si>
  <si>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</si>
  <si>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</si>
  <si>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</si>
  <si>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</si>
  <si>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</si>
  <si>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</si>
  <si>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</si>
  <si>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</si>
  <si>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</si>
  <si>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</si>
  <si>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</si>
  <si>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</si>
  <si>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</si>
  <si>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</si>
  <si>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</si>
  <si>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</si>
  <si>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</si>
  <si>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</si>
  <si>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</si>
  <si>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</si>
  <si>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</si>
  <si>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</si>
  <si>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</si>
  <si>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</si>
  <si>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</si>
  <si>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</si>
  <si>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</si>
  <si>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</si>
  <si>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</si>
  <si>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</si>
  <si>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</si>
  <si>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</si>
  <si>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</si>
  <si>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</si>
  <si>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</si>
  <si>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</si>
  <si>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</si>
  <si>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</si>
  <si>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</si>
  <si>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</si>
  <si>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</si>
  <si>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</si>
  <si>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</si>
  <si>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</si>
  <si>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</si>
  <si>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</si>
  <si>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</si>
  <si>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</si>
  <si>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</si>
  <si>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</si>
  <si>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</si>
  <si>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</si>
  <si>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</si>
  <si>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</si>
  <si>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</si>
  <si>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</si>
  <si>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</si>
  <si>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</si>
  <si>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</si>
  <si>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</si>
  <si>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</si>
  <si>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</si>
  <si>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</si>
  <si>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</si>
  <si>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</si>
  <si>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</si>
  <si>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</si>
  <si>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</si>
  <si>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</si>
  <si>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</si>
  <si>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</si>
  <si>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</si>
  <si>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</si>
  <si>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</si>
  <si>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</si>
  <si>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</si>
  <si>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</si>
  <si>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</si>
  <si>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</si>
  <si>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</si>
  <si>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</si>
  <si>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</si>
  <si>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</si>
  <si>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</si>
  <si>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</si>
  <si>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</si>
  <si>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</si>
  <si>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</si>
  <si>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</si>
  <si>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</si>
  <si>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</si>
  <si>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</si>
  <si>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</si>
  <si>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</si>
  <si>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</si>
  <si>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</si>
  <si>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</si>
  <si>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</si>
  <si>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</si>
  <si>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</si>
  <si>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</si>
  <si>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</si>
  <si>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</si>
  <si>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</si>
  <si>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</si>
  <si>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</si>
  <si>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</si>
  <si>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</si>
  <si>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</si>
  <si>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</si>
  <si>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</si>
  <si>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</si>
  <si>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</si>
  <si>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</si>
  <si>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</si>
  <si>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</si>
  <si>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</si>
  <si>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</si>
  <si>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</si>
  <si>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</si>
  <si>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</si>
  <si>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</si>
  <si>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</si>
  <si>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</si>
  <si>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</si>
  <si>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</si>
  <si>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</si>
  <si>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</si>
  <si>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</si>
  <si>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</si>
  <si>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</si>
  <si>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</si>
  <si>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</si>
  <si>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</si>
  <si>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</si>
  <si>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</si>
  <si>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</si>
  <si>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</si>
  <si>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</si>
  <si>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</si>
  <si>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</si>
  <si>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</si>
  <si>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</si>
  <si>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</si>
  <si>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</si>
  <si>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</si>
  <si>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</si>
  <si>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</si>
  <si>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</si>
  <si>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</si>
  <si>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</si>
  <si>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</si>
  <si>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</si>
  <si>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</si>
  <si>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</si>
  <si>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</si>
  <si>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</si>
  <si>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</si>
  <si>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</si>
  <si>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</si>
  <si>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</si>
  <si>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</si>
  <si>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</si>
  <si>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</si>
  <si>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</si>
  <si>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</si>
  <si>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</si>
  <si>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</si>
  <si>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</si>
  <si>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</si>
  <si>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</si>
  <si>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</si>
  <si>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</si>
  <si>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</si>
  <si>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</si>
  <si>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</si>
  <si>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</si>
  <si>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</si>
  <si>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</si>
  <si>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</si>
  <si>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</si>
  <si>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</si>
  <si>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</si>
  <si>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</si>
  <si>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</si>
  <si>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</si>
  <si>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</si>
  <si>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</si>
  <si>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</si>
  <si>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</si>
  <si>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</si>
  <si>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</si>
  <si>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</si>
  <si>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</si>
  <si>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</si>
  <si>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</si>
  <si>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</si>
  <si>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</si>
  <si>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</si>
  <si>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</si>
  <si>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</si>
  <si>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</si>
  <si>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</si>
  <si>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</si>
  <si>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</si>
  <si>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</si>
  <si>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</si>
  <si>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</si>
  <si>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</si>
  <si>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</si>
  <si>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</si>
  <si>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</si>
  <si>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</si>
  <si>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</si>
  <si>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</si>
  <si>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</si>
  <si>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</si>
  <si>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</si>
  <si>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</si>
  <si>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</si>
  <si>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</si>
  <si>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</si>
  <si>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</si>
  <si>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</si>
  <si>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</si>
  <si>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</si>
  <si>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</si>
  <si>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</si>
  <si>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</si>
  <si>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</si>
  <si>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</si>
  <si>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</si>
  <si>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</si>
  <si>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</si>
  <si>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</si>
  <si>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</si>
  <si>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</si>
  <si>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</si>
  <si>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</si>
  <si>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</si>
  <si>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</si>
  <si>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</si>
  <si>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</si>
  <si>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</si>
  <si>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</si>
  <si>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</si>
  <si>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</si>
  <si>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</si>
  <si>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</si>
  <si>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</si>
  <si>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</si>
  <si>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</si>
  <si>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</si>
  <si>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</si>
  <si>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</si>
  <si>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</si>
  <si>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</si>
  <si>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</si>
  <si>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</si>
  <si>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</si>
  <si>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</si>
  <si>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</si>
  <si>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</si>
  <si>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</si>
  <si>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</si>
  <si>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</si>
  <si>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</si>
  <si>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</si>
  <si>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</si>
  <si>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</si>
  <si>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</si>
  <si>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</si>
  <si>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</si>
  <si>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</si>
  <si>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</si>
  <si>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</si>
  <si>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</si>
  <si>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</si>
  <si>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</si>
  <si>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</si>
  <si>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</si>
  <si>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</si>
  <si>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</si>
  <si>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</si>
  <si>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</si>
  <si>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</si>
  <si>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</si>
  <si>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</si>
  <si>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</si>
  <si>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</si>
  <si>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</si>
  <si>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</si>
  <si>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</si>
  <si>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</si>
  <si>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</si>
  <si>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</si>
  <si>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</si>
  <si>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</si>
  <si>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</si>
  <si>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</si>
  <si>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</si>
  <si>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</si>
  <si>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</si>
  <si>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</si>
  <si>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</si>
  <si>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</si>
  <si>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</si>
  <si>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</si>
  <si>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</si>
  <si>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</si>
  <si>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</si>
  <si>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</si>
  <si>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</si>
  <si>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</si>
  <si>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</si>
  <si>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</si>
  <si>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</si>
  <si>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</si>
  <si>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</si>
  <si>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</si>
  <si>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</si>
  <si>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</si>
  <si>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</si>
  <si>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</si>
  <si>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</si>
  <si>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</si>
  <si>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</si>
  <si>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</si>
  <si>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</si>
  <si>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</si>
  <si>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</si>
  <si>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</si>
  <si>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</si>
  <si>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</si>
  <si>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</si>
  <si>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</si>
  <si>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</si>
  <si>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</si>
  <si>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</si>
  <si>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</si>
  <si>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</si>
  <si>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</si>
  <si>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</si>
  <si>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</si>
  <si>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</si>
  <si>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</si>
  <si>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</si>
  <si>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</si>
  <si>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</si>
  <si>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</si>
  <si>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</si>
  <si>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</si>
  <si>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</si>
  <si>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</si>
  <si>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</si>
  <si>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</si>
  <si>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</si>
  <si>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</si>
  <si>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</si>
  <si>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</si>
  <si>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</si>
  <si>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</si>
  <si>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</si>
  <si>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</si>
  <si>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</si>
  <si>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</si>
  <si>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</si>
  <si>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</si>
  <si>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</si>
  <si>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</si>
  <si>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</si>
  <si>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</si>
  <si>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</si>
  <si>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</si>
  <si>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</si>
  <si>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</si>
  <si>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</si>
  <si>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</si>
  <si>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</si>
  <si>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</si>
  <si>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</si>
  <si>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</si>
  <si>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</si>
  <si>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</si>
  <si>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</si>
  <si>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</si>
  <si>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</si>
  <si>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</si>
  <si>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</si>
  <si>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</si>
  <si>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</si>
  <si>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</si>
  <si>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</si>
  <si>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</si>
  <si>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</si>
  <si>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</si>
  <si>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</si>
  <si>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</si>
  <si>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</si>
  <si>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</si>
  <si>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</si>
  <si>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</si>
  <si>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</si>
  <si>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</si>
  <si>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</si>
  <si>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</si>
  <si>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</si>
  <si>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</si>
  <si>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</si>
  <si>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</si>
  <si>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</si>
  <si>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</si>
  <si>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</si>
  <si>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</si>
  <si>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</si>
  <si>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</si>
  <si>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</si>
  <si>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</si>
  <si>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</si>
  <si>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</si>
  <si>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</si>
  <si>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</si>
  <si>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</si>
  <si>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</si>
  <si>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</si>
  <si>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</si>
  <si>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</si>
  <si>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</si>
  <si>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</si>
  <si>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</si>
  <si>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</si>
  <si>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</si>
  <si>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</si>
  <si>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</si>
  <si>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</si>
  <si>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</si>
  <si>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</si>
  <si>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</si>
  <si>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</si>
  <si>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</si>
  <si>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</si>
  <si>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</si>
  <si>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</si>
  <si>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</si>
  <si>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</si>
  <si>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</si>
  <si>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</si>
  <si>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</si>
  <si>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</si>
  <si>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</si>
  <si>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</si>
  <si>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</si>
  <si>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</si>
  <si>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</si>
  <si>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</si>
  <si>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</si>
  <si>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</si>
  <si>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</si>
  <si>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</si>
  <si>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</si>
  <si>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</si>
  <si>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</si>
  <si>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</si>
  <si>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</si>
  <si>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</si>
  <si>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</si>
  <si>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</si>
  <si>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</si>
  <si>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</si>
  <si>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</si>
  <si>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</si>
  <si>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</si>
  <si>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</si>
  <si>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</si>
  <si>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</si>
  <si>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</si>
  <si>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</si>
  <si>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</si>
  <si>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</si>
  <si>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</si>
  <si>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</si>
  <si>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</si>
  <si>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</si>
  <si>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</si>
  <si>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</si>
  <si>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</si>
  <si>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</si>
  <si>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</si>
  <si>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</si>
  <si>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</si>
  <si>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</si>
  <si>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</si>
  <si>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</si>
  <si>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</si>
  <si>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</si>
  <si>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</si>
  <si>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</si>
  <si>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</si>
  <si>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</si>
  <si>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</si>
  <si>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</si>
  <si>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</si>
  <si>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</si>
  <si>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</si>
  <si>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</si>
  <si>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</si>
  <si>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</si>
  <si>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</si>
  <si>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</si>
  <si>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</si>
  <si>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</si>
  <si>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</si>
  <si>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</si>
  <si>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</si>
  <si>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</si>
  <si>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</si>
  <si>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</si>
  <si>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</si>
  <si>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</si>
  <si>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</si>
  <si>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</si>
  <si>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</si>
  <si>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</si>
  <si>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</si>
  <si>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</si>
  <si>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</si>
  <si>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</si>
  <si>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</si>
  <si>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</si>
  <si>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</si>
  <si>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</si>
  <si>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</si>
  <si>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</si>
  <si>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</si>
  <si>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</si>
  <si>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</si>
  <si>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</si>
  <si>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</si>
  <si>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</si>
  <si>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</si>
  <si>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</si>
  <si>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</si>
  <si>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</si>
  <si>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</si>
  <si>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</si>
  <si>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</si>
  <si>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</si>
  <si>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</si>
  <si>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</si>
  <si>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</si>
  <si>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</si>
  <si>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</si>
  <si>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</si>
  <si>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</si>
  <si>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</si>
  <si>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</si>
  <si>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</si>
  <si>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</si>
  <si>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</si>
  <si>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</si>
  <si>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</si>
  <si>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</si>
  <si>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</si>
  <si>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</si>
  <si>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</si>
  <si>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</si>
  <si>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</si>
  <si>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</si>
  <si>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</si>
  <si>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</si>
  <si>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</si>
  <si>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</si>
  <si>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</si>
  <si>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</si>
  <si>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</si>
  <si>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</si>
  <si>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</si>
  <si>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</si>
  <si>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</si>
  <si>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</si>
  <si>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</si>
  <si>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</si>
  <si>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</si>
  <si>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</si>
  <si>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</si>
  <si>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</si>
  <si>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</si>
  <si>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</si>
  <si>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</si>
  <si>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</si>
  <si>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</si>
  <si>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</si>
  <si>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</si>
  <si>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</si>
  <si>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</si>
  <si>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</si>
  <si>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</si>
  <si>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</si>
  <si>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</si>
  <si>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</si>
  <si>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</si>
  <si>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</si>
  <si>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</si>
  <si>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</si>
  <si>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</si>
  <si>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</si>
  <si>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</si>
  <si>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</si>
  <si>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</si>
  <si>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</si>
  <si>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</si>
  <si>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</si>
  <si>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</si>
  <si>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</si>
  <si>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</si>
  <si>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</si>
  <si>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</si>
  <si>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</si>
  <si>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</si>
  <si>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</si>
  <si>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</si>
  <si>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</si>
  <si>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</si>
  <si>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</si>
  <si>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</si>
  <si>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</si>
  <si>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</si>
  <si>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</si>
  <si>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</si>
  <si>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</si>
  <si>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</si>
  <si>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</si>
  <si>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</si>
  <si>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</si>
  <si>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</si>
  <si>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</si>
  <si>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</si>
  <si>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</si>
  <si>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</si>
  <si>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</si>
  <si>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</si>
  <si>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</si>
  <si>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</si>
  <si>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</si>
  <si>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</si>
  <si>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</si>
  <si>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</si>
  <si>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</si>
  <si>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</si>
  <si>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</si>
  <si>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</si>
  <si>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</si>
  <si>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</si>
  <si>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</si>
  <si>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</si>
  <si>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</si>
  <si>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</si>
  <si>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</si>
  <si>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</si>
  <si>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</si>
  <si>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</si>
  <si>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</si>
  <si>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</si>
  <si>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</si>
  <si>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</si>
  <si>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</si>
  <si>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</si>
  <si>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</si>
  <si>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</si>
  <si>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</si>
  <si>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</si>
  <si>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</si>
  <si>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</si>
  <si>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</si>
  <si>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</si>
  <si>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</si>
  <si>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</si>
  <si>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</si>
  <si>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</si>
  <si>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</si>
  <si>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</si>
  <si>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</si>
  <si>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</si>
  <si>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</si>
  <si>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</si>
  <si>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</si>
  <si>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</si>
  <si>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</si>
  <si>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</si>
  <si>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</si>
  <si>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</si>
  <si>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</si>
  <si>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</si>
  <si>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</si>
  <si>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</si>
  <si>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</si>
  <si>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</si>
  <si>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</si>
  <si>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</si>
  <si>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</si>
  <si>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</si>
  <si>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</si>
  <si>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</si>
  <si>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</si>
  <si>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</si>
  <si>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</si>
  <si>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</si>
  <si>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</si>
  <si>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</si>
  <si>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</si>
  <si>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</si>
  <si>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</si>
  <si>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</si>
  <si>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</si>
  <si>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</si>
  <si>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</si>
  <si>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</si>
  <si>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</si>
  <si>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</si>
  <si>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</si>
  <si>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</si>
  <si>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</si>
  <si>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</si>
  <si>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</si>
  <si>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</si>
  <si>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</si>
  <si>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</si>
  <si>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</si>
  <si>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</si>
  <si>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</si>
  <si>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</si>
  <si>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</si>
  <si>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</si>
  <si>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</si>
  <si>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</si>
  <si>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</si>
  <si>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</si>
  <si>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</si>
  <si>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</si>
  <si>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</si>
  <si>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</si>
  <si>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</si>
  <si>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</si>
  <si>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</si>
  <si>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</si>
  <si>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</si>
  <si>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</si>
  <si>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</si>
  <si>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</si>
  <si>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</si>
  <si>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</si>
  <si>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</si>
  <si>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</si>
  <si>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</si>
  <si>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</si>
  <si>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</si>
  <si>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</si>
  <si>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</si>
  <si>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</si>
  <si>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</si>
  <si>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</si>
  <si>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</si>
  <si>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</si>
  <si>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</si>
  <si>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</si>
  <si>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</si>
  <si>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</si>
  <si>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</si>
  <si>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</si>
  <si>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</si>
  <si>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</si>
  <si>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</si>
  <si>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</si>
  <si>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</si>
  <si>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</si>
  <si>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</si>
  <si>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</si>
  <si>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</si>
  <si>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</si>
  <si>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</si>
  <si>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</si>
  <si>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</si>
  <si>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</si>
  <si>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</si>
  <si>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</si>
  <si>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</si>
  <si>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</si>
  <si>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</si>
  <si>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</si>
  <si>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</si>
  <si>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</si>
  <si>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</si>
  <si>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</si>
  <si>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</si>
  <si>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</si>
  <si>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</si>
  <si>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</si>
  <si>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</si>
  <si>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</si>
  <si>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</si>
  <si>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</si>
  <si>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</si>
  <si>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</si>
  <si>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</si>
  <si>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</si>
  <si>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</si>
  <si>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</si>
  <si>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</si>
  <si>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</si>
  <si>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</si>
  <si>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</si>
  <si>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</si>
  <si>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</si>
  <si>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</si>
  <si>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</si>
  <si>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</si>
  <si>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</si>
  <si>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</si>
  <si>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</si>
  <si>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</si>
  <si>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</si>
  <si>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</si>
  <si>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</si>
  <si>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</si>
  <si>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</si>
  <si>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</si>
  <si>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</si>
  <si>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</si>
  <si>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</si>
  <si>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</si>
  <si>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</si>
  <si>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</si>
  <si>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</si>
  <si>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</si>
  <si>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</si>
  <si>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</si>
  <si>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</si>
  <si>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</si>
  <si>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</si>
  <si>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</si>
  <si>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</si>
  <si>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</si>
  <si>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</si>
  <si>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</si>
  <si>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</si>
  <si>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</si>
  <si>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</si>
  <si>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</si>
  <si>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</si>
  <si>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</si>
  <si>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</si>
  <si>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</si>
  <si>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</si>
  <si>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</si>
  <si>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</si>
  <si>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</si>
  <si>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</si>
  <si>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</si>
  <si>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</si>
  <si>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</si>
  <si>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</si>
  <si>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</si>
  <si>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</si>
  <si>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</si>
  <si>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</si>
  <si>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</si>
  <si>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</si>
  <si>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</si>
  <si>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</si>
  <si>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</si>
  <si>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</si>
  <si>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</si>
  <si>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</si>
  <si>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</si>
  <si>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</si>
  <si>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</si>
  <si>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</si>
  <si>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</si>
  <si>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</si>
  <si>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</si>
  <si>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</si>
  <si>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</si>
  <si>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</si>
  <si>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</si>
  <si>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</si>
  <si>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</si>
  <si>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</si>
  <si>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</si>
  <si>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</si>
  <si>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</si>
  <si>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</si>
  <si>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</si>
  <si>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</si>
  <si>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</si>
  <si>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</si>
  <si>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</si>
  <si>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</si>
  <si>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</si>
  <si>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</si>
  <si>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</si>
  <si>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</si>
  <si>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</si>
  <si>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</si>
  <si>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</si>
  <si>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</si>
  <si>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</si>
  <si>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</si>
  <si>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</si>
  <si>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</si>
  <si>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</si>
  <si>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</si>
  <si>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</si>
  <si>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</si>
  <si>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</si>
  <si>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</si>
  <si>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</si>
  <si>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</si>
  <si>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</si>
  <si>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</si>
  <si>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</si>
  <si>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</si>
  <si>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</si>
  <si>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</si>
  <si>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</si>
  <si>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</si>
  <si>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</si>
  <si>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</si>
  <si>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</si>
  <si>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</si>
  <si>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</si>
  <si>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</si>
  <si>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</si>
  <si>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</si>
  <si>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</si>
  <si>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</si>
  <si>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</si>
  <si>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</si>
  <si>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</si>
  <si>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</si>
  <si>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</si>
  <si>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</si>
  <si>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</si>
  <si>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</si>
  <si>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</si>
  <si>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</si>
  <si>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</si>
  <si>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</si>
  <si>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</si>
  <si>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</si>
  <si>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</si>
  <si>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</si>
  <si>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</si>
  <si>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</si>
  <si>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</si>
  <si>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</si>
  <si>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</si>
  <si>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</si>
  <si>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</si>
  <si>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</si>
  <si>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</si>
  <si>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</si>
  <si>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</si>
  <si>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</si>
  <si>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</si>
  <si>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</si>
  <si>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</si>
  <si>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</si>
  <si>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</si>
  <si>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</si>
  <si>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</si>
  <si>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</si>
  <si>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</si>
  <si>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</si>
  <si>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</si>
  <si>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</si>
  <si>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</si>
  <si>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</si>
  <si>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</si>
  <si>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</si>
  <si>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</si>
  <si>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</si>
  <si>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</si>
  <si>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</si>
  <si>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</si>
  <si>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</si>
  <si>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</si>
  <si>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</si>
  <si>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</si>
  <si>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</si>
  <si>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</si>
  <si>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</si>
  <si>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</si>
  <si>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</si>
  <si>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</si>
  <si>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</si>
  <si>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</si>
  <si>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</si>
  <si>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</si>
  <si>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</si>
  <si>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</si>
  <si>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</si>
  <si>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</si>
  <si>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This line will be voted on 9/7/22 and will change on that date. I will resubmit.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</si>
</sst>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38"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1101</v>
      </c>
      <c r="B2" s="126">
        <f>INDEX('School Tables'!$AH$3:$AH$208,MATCH('DOE25'!A2,'School Tables'!$AJ$3:$AJ$208,0))</f>
        <v>245</v>
      </c>
      <c r="C2" s="126">
        <f>INDEX('School Tables'!$AI$3:$AI$208,MATCH('DOE25'!A2,'School Tables'!$AJ$3:$AJ$208,0))</f>
        <v>245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688306.61</v>
      </c>
      <c r="G9" s="18">
        <v>17889.18</v>
      </c>
      <c r="H9" s="18">
        <v>-20373.37</v>
      </c>
      <c r="I9" s="18">
        <v>0</v>
      </c>
      <c r="J9" s="67">
        <f>SUM(I440)</f>
        <v>346447.1</v>
      </c>
      <c r="K9" s="24" t="s">
        <v>288</v>
      </c>
      <c r="L9" s="24" t="s">
        <v>288</v>
      </c>
      <c r="M9" s="8"/>
      <c r="N9" s="265"/>
    </row>
    <row r="10" spans="1:14" s="3" customFormat="1" ht="12.2" customHeight="1" x14ac:dyDescent="0.15">
      <c r="A10" s="1" t="s">
        <v>562</v>
      </c>
      <c r="B10" s="2" t="s">
        <v>289</v>
      </c>
      <c r="C10" s="6">
        <v>2</v>
      </c>
      <c r="D10" s="2" t="s">
        <v>428</v>
      </c>
      <c r="E10" s="6">
        <v>110</v>
      </c>
      <c r="F10" s="18"/>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12810.23</v>
      </c>
      <c r="G13" s="18">
        <v>93945.81</v>
      </c>
      <c r="H13" s="18">
        <v>142798.01999999999</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701116.84</v>
      </c>
      <c r="G19" s="41">
        <f>SUM(G9:G18)</f>
        <v>111834.98999999999</v>
      </c>
      <c r="H19" s="41">
        <f>SUM(H9:H18)</f>
        <v>122424.65</v>
      </c>
      <c r="I19" s="41">
        <f>SUM(I9:I18)</f>
        <v>0</v>
      </c>
      <c r="J19" s="41">
        <f>SUM(J9:J18)</f>
        <v>346447.1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-549.04</v>
      </c>
      <c r="G22" s="18">
        <v>-105056.6</v>
      </c>
      <c r="H22" s="18">
        <f>22263.04+7187.3+76155.3</f>
        <v>105605.64</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2881.69</v>
      </c>
      <c r="G23" s="18">
        <v>0</v>
      </c>
      <c r="H23" s="18">
        <v>4055.47</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15913.72</v>
      </c>
      <c r="G24" s="18">
        <v>60490.75</v>
      </c>
      <c r="H24" s="18">
        <v>12226.8</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10106.870000000001</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11843.46</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13572.74</v>
      </c>
      <c r="H30" s="18">
        <v>446.66</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40196.699999999997</v>
      </c>
      <c r="G32" s="41">
        <f>SUM(G22:G31)</f>
        <v>-30993.110000000008</v>
      </c>
      <c r="H32" s="41">
        <f>SUM(H22:H31)</f>
        <v>122334.57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32983.71</v>
      </c>
      <c r="G45" s="18">
        <v>62331.11</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308471.02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f>37716.86+83862.55-41082.42</f>
        <v>80496.990000000005</v>
      </c>
      <c r="H48" s="18">
        <v>90.08</v>
      </c>
      <c r="I48" s="18">
        <v>0</v>
      </c>
      <c r="J48" s="13">
        <f>SUM(I460)</f>
        <v>346447.1</v>
      </c>
      <c r="K48" s="24" t="s">
        <v>288</v>
      </c>
      <c r="L48" s="24" t="s">
        <v>288</v>
      </c>
      <c r="M48" s="8"/>
      <c r="N48" s="265"/>
    </row>
    <row r="49" spans="1:14" s="3" customFormat="1" ht="12.2" customHeight="1" x14ac:dyDescent="0.15">
      <c r="A49" s="1" t="s">
        <v>859</v>
      </c>
      <c r="B49" s="2" t="s">
        <v>289</v>
      </c>
      <c r="C49" s="6">
        <v>34</v>
      </c>
      <c r="D49" s="2"/>
      <c r="E49" s="6">
        <v>753</v>
      </c>
      <c r="F49" s="18">
        <v>0</v>
      </c>
      <c r="G49" s="18"/>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319465.40999999997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660920.14</v>
      </c>
      <c r="G51" s="41">
        <f>SUM(G35:G50)</f>
        <v>142828.1</v>
      </c>
      <c r="H51" s="41">
        <f>SUM(H35:H50)</f>
        <v>90.08</v>
      </c>
      <c r="I51" s="41">
        <f>SUM(I35:I50)</f>
        <v>0</v>
      </c>
      <c r="J51" s="41">
        <f>SUM(J35:J50)</f>
        <v>346447.1</v>
      </c>
      <c r="K51" s="45" t="s">
        <v>288</v>
      </c>
      <c r="L51" s="45" t="s">
        <v>288</v>
      </c>
      <c r="N51" s="263"/>
    </row>
    <row r="52" spans="1:14" s="3" customFormat="1" ht="12.2" customHeight="1" thickTop="1" x14ac:dyDescent="0.15">
      <c r="A52" s="38" t="s">
        <v>455</v>
      </c>
      <c r="B52" s="39" t="s">
        <v>289</v>
      </c>
      <c r="C52" s="6">
        <v>37</v>
      </c>
      <c r="D52" s="39" t="s">
        <v>653</v>
      </c>
      <c r="E52" s="39"/>
      <c r="F52" s="41">
        <f>F51+F32</f>
        <v>701116.84</v>
      </c>
      <c r="G52" s="41">
        <f>G51+G32</f>
        <v>111834.98999999999</v>
      </c>
      <c r="H52" s="41">
        <f>H51+H32</f>
        <v>122424.65000000001</v>
      </c>
      <c r="I52" s="41">
        <f>I51+I32</f>
        <v>0</v>
      </c>
      <c r="J52" s="41">
        <f>J51+J32</f>
        <v>346447.1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5527091</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5527091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19200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19200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50457</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50457</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1704.49</v>
      </c>
      <c r="G96" s="18">
        <v>0</v>
      </c>
      <c r="H96" s="18">
        <v>0</v>
      </c>
      <c r="I96" s="18">
        <v>0</v>
      </c>
      <c r="J96" s="18">
        <v>334.02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3729.49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7169.68</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1098.76</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79751.78</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82555.03</v>
      </c>
      <c r="G111" s="41">
        <f>SUM(G96:G110)</f>
        <v>3729.49</v>
      </c>
      <c r="H111" s="41">
        <f>SUM(H96:H110)</f>
        <v>7169.68</v>
      </c>
      <c r="I111" s="41">
        <f>SUM(I96:I110)</f>
        <v>0</v>
      </c>
      <c r="J111" s="41">
        <f>SUM(J96:J110)</f>
        <v>334.02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5679303.0300000003</v>
      </c>
      <c r="G112" s="41">
        <f>G60+G111</f>
        <v>3729.49</v>
      </c>
      <c r="H112" s="41">
        <f>H60+H79+H94+H111</f>
        <v>7169.68</v>
      </c>
      <c r="I112" s="41">
        <f>I60+I111</f>
        <v>0</v>
      </c>
      <c r="J112" s="41">
        <f>J60+J111</f>
        <v>334.02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1870289.54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642329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2512618.54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56393.5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4925.43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56393.5</v>
      </c>
      <c r="G136" s="41">
        <f>SUM(G123:G135)</f>
        <v>4925.43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2569012.04</v>
      </c>
      <c r="G140" s="41">
        <f>G121+SUM(G136:G137)</f>
        <v>4925.43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21327.31</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21327.31</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63518.22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17999.22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307678.06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83849.919999999998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25146.91</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109260.55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25146.91</v>
      </c>
      <c r="G163" s="41">
        <f>SUM(G150:G162)</f>
        <v>307678.06</v>
      </c>
      <c r="H163" s="41">
        <f>SUM(H150:H162)</f>
        <v>274627.90999999997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25146.91</v>
      </c>
      <c r="G170" s="41">
        <f>G147+G163+SUM(G164:G169)</f>
        <v>307678.06</v>
      </c>
      <c r="H170" s="41">
        <f>H147+H163+SUM(H164:H169)</f>
        <v>295955.21999999997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8273461.9800000004</v>
      </c>
      <c r="G194" s="47">
        <f>G112+G140+G170+G193</f>
        <v>316332.98</v>
      </c>
      <c r="H194" s="47">
        <f>H112+H140+H170+H193</f>
        <v>303124.89999999997</v>
      </c>
      <c r="I194" s="47">
        <f>I112+I140+I170+I193</f>
        <v>0</v>
      </c>
      <c r="J194" s="47">
        <f>J112+J140+J193</f>
        <v>334.02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2088342.89</v>
      </c>
      <c r="G198" s="18">
        <v>1232452.6399999999</v>
      </c>
      <c r="H198" s="18">
        <v>74270.27</v>
      </c>
      <c r="I198" s="18">
        <v>77824.06</v>
      </c>
      <c r="J198" s="18">
        <v>18466.330000000002</v>
      </c>
      <c r="K198" s="18">
        <v>6356.93</v>
      </c>
      <c r="L198" s="19">
        <f>SUM(F198:K198)</f>
        <v>3497713.12</v>
      </c>
      <c r="M198" s="8"/>
      <c r="N198" s="265"/>
    </row>
    <row r="199" spans="1:14" s="3" customFormat="1" ht="12.2" customHeight="1" x14ac:dyDescent="0.15">
      <c r="A199" s="1" t="s">
        <v>439</v>
      </c>
      <c r="B199" s="2" t="s">
        <v>341</v>
      </c>
      <c r="C199" s="2" t="s">
        <v>291</v>
      </c>
      <c r="D199" s="2" t="s">
        <v>431</v>
      </c>
      <c r="E199" s="6">
        <v>1200</v>
      </c>
      <c r="F199" s="18">
        <v>636478.25</v>
      </c>
      <c r="G199" s="18">
        <v>273535.75</v>
      </c>
      <c r="H199" s="18">
        <v>479524.97</v>
      </c>
      <c r="I199" s="18">
        <v>7402.71</v>
      </c>
      <c r="J199" s="18">
        <v>2430.1799999999998</v>
      </c>
      <c r="K199" s="18">
        <v>13872.32</v>
      </c>
      <c r="L199" s="19">
        <f>SUM(F199:K199)</f>
        <v>1413244.18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16482.439999999999</v>
      </c>
      <c r="G201" s="18">
        <v>3723.13</v>
      </c>
      <c r="H201" s="18">
        <v>0</v>
      </c>
      <c r="I201" s="18">
        <v>11353.79</v>
      </c>
      <c r="J201" s="18">
        <v>0</v>
      </c>
      <c r="K201" s="18">
        <v>0</v>
      </c>
      <c r="L201" s="19">
        <f>SUM(F201:K201)</f>
        <v>31559.360000000001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370418.7</v>
      </c>
      <c r="G203" s="18">
        <v>213772.79999999999</v>
      </c>
      <c r="H203" s="18">
        <v>9453.1200000000008</v>
      </c>
      <c r="I203" s="18">
        <v>3315.56</v>
      </c>
      <c r="J203" s="18">
        <v>2891.22</v>
      </c>
      <c r="K203" s="18">
        <v>930.62</v>
      </c>
      <c r="L203" s="19">
        <f t="shared" ref="L203:L209" si="0">SUM(F203:K203)</f>
        <v>600782.02</v>
      </c>
      <c r="M203" s="8"/>
      <c r="N203" s="265"/>
    </row>
    <row r="204" spans="1:14" s="3" customFormat="1" ht="12.2" customHeight="1" x14ac:dyDescent="0.15">
      <c r="A204" s="1" t="s">
        <v>443</v>
      </c>
      <c r="B204" s="2" t="s">
        <v>341</v>
      </c>
      <c r="C204" s="2" t="s">
        <v>295</v>
      </c>
      <c r="D204" s="2" t="s">
        <v>431</v>
      </c>
      <c r="E204" s="6">
        <v>2200</v>
      </c>
      <c r="F204" s="18">
        <v>132755.9</v>
      </c>
      <c r="G204" s="18">
        <v>72439.11</v>
      </c>
      <c r="H204" s="18">
        <v>7039.93</v>
      </c>
      <c r="I204" s="18">
        <v>13004.77</v>
      </c>
      <c r="J204" s="18">
        <v>97992</v>
      </c>
      <c r="K204" s="18">
        <v>48851.73</v>
      </c>
      <c r="L204" s="19">
        <f t="shared" si="0"/>
        <v>372083.43999999994</v>
      </c>
      <c r="M204" s="8"/>
      <c r="N204" s="265"/>
    </row>
    <row r="205" spans="1:14" s="3" customFormat="1" ht="12.2" customHeight="1" x14ac:dyDescent="0.15">
      <c r="A205" s="1" t="s">
        <v>444</v>
      </c>
      <c r="B205" s="2" t="s">
        <v>341</v>
      </c>
      <c r="C205" s="2" t="s">
        <v>296</v>
      </c>
      <c r="D205" s="2" t="s">
        <v>431</v>
      </c>
      <c r="E205" s="6">
        <v>2300</v>
      </c>
      <c r="F205" s="18">
        <v>8100</v>
      </c>
      <c r="G205" s="18">
        <v>647.4</v>
      </c>
      <c r="H205" s="18">
        <v>345905.21</v>
      </c>
      <c r="I205" s="18">
        <v>391.22</v>
      </c>
      <c r="J205" s="18">
        <v>0</v>
      </c>
      <c r="K205" s="18">
        <v>9152.93</v>
      </c>
      <c r="L205" s="19">
        <f t="shared" si="0"/>
        <v>364196.76</v>
      </c>
      <c r="M205" s="8"/>
      <c r="N205" s="265"/>
    </row>
    <row r="206" spans="1:14" s="3" customFormat="1" ht="12.2" customHeight="1" x14ac:dyDescent="0.15">
      <c r="A206" s="1" t="s">
        <v>445</v>
      </c>
      <c r="B206" s="2" t="s">
        <v>341</v>
      </c>
      <c r="C206" s="2" t="s">
        <v>297</v>
      </c>
      <c r="D206" s="2" t="s">
        <v>431</v>
      </c>
      <c r="E206" s="6">
        <v>2400</v>
      </c>
      <c r="F206" s="18">
        <v>335731.75</v>
      </c>
      <c r="G206" s="18">
        <v>185199.32</v>
      </c>
      <c r="H206" s="18">
        <v>20689.72</v>
      </c>
      <c r="I206" s="18">
        <v>3758.49</v>
      </c>
      <c r="J206" s="18">
        <v>0</v>
      </c>
      <c r="K206" s="18">
        <v>1727.28</v>
      </c>
      <c r="L206" s="19">
        <f t="shared" si="0"/>
        <v>547106.56000000006</v>
      </c>
      <c r="M206" s="8"/>
      <c r="N206" s="265"/>
    </row>
    <row r="207" spans="1:14" s="3" customFormat="1" ht="12.2" customHeight="1" x14ac:dyDescent="0.15">
      <c r="A207" s="1" t="s">
        <v>446</v>
      </c>
      <c r="B207" s="2" t="s">
        <v>341</v>
      </c>
      <c r="C207" s="2" t="s">
        <v>298</v>
      </c>
      <c r="D207" s="2" t="s">
        <v>431</v>
      </c>
      <c r="E207" s="6">
        <v>2500</v>
      </c>
      <c r="F207" s="18">
        <v>0</v>
      </c>
      <c r="G207" s="18">
        <v>0</v>
      </c>
      <c r="H207" s="18">
        <v>0</v>
      </c>
      <c r="I207" s="18"/>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172034.26</v>
      </c>
      <c r="G208" s="18">
        <v>99474.76</v>
      </c>
      <c r="H208" s="18">
        <v>350323.83</v>
      </c>
      <c r="I208" s="18">
        <v>161690.29999999999</v>
      </c>
      <c r="J208" s="18">
        <v>3657.09</v>
      </c>
      <c r="K208" s="18">
        <v>0</v>
      </c>
      <c r="L208" s="19">
        <f t="shared" si="0"/>
        <v>787180.24000000011</v>
      </c>
      <c r="M208" s="8"/>
      <c r="N208" s="265"/>
    </row>
    <row r="209" spans="1:14" s="3" customFormat="1" ht="12.2" customHeight="1" x14ac:dyDescent="0.15">
      <c r="A209" s="1" t="s">
        <v>448</v>
      </c>
      <c r="B209" s="2" t="s">
        <v>341</v>
      </c>
      <c r="C209" s="2" t="s">
        <v>300</v>
      </c>
      <c r="D209" s="2" t="s">
        <v>431</v>
      </c>
      <c r="E209" s="6">
        <v>2700</v>
      </c>
      <c r="F209" s="18">
        <v>0</v>
      </c>
      <c r="G209" s="18">
        <v>0</v>
      </c>
      <c r="H209" s="18">
        <v>323949.05</v>
      </c>
      <c r="I209" s="18">
        <v>0</v>
      </c>
      <c r="J209" s="18">
        <v>0</v>
      </c>
      <c r="K209" s="18">
        <v>0</v>
      </c>
      <c r="L209" s="19">
        <f t="shared" si="0"/>
        <v>323949.05</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3760344.1899999995</v>
      </c>
      <c r="G212" s="41">
        <f t="shared" si="1"/>
        <v>2081244.91</v>
      </c>
      <c r="H212" s="41">
        <f t="shared" si="1"/>
        <v>1611156.1</v>
      </c>
      <c r="I212" s="41">
        <f t="shared" si="1"/>
        <v>278740.90000000002</v>
      </c>
      <c r="J212" s="41">
        <f t="shared" si="1"/>
        <v>125436.82</v>
      </c>
      <c r="K212" s="41">
        <f t="shared" si="1"/>
        <v>80891.81</v>
      </c>
      <c r="L212" s="41">
        <f t="shared" si="1"/>
        <v>7937814.7299999995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3760344.1899999995</v>
      </c>
      <c r="G258" s="41">
        <f t="shared" si="8"/>
        <v>2081244.91</v>
      </c>
      <c r="H258" s="41">
        <f t="shared" si="8"/>
        <v>1611156.1</v>
      </c>
      <c r="I258" s="41">
        <f t="shared" si="8"/>
        <v>278740.90000000002</v>
      </c>
      <c r="J258" s="41">
        <f t="shared" si="8"/>
        <v>125436.82</v>
      </c>
      <c r="K258" s="41">
        <f t="shared" si="8"/>
        <v>80891.81</v>
      </c>
      <c r="L258" s="41">
        <f t="shared" si="8"/>
        <v>7937814.7299999995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124892.29</v>
      </c>
      <c r="L261" s="19">
        <f>SUM(F261:K261)</f>
        <v>124892.29</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69402.649999999994</v>
      </c>
      <c r="L262" s="19">
        <f>SUM(F262:K262)</f>
        <v>69402.649999999994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194294.94</v>
      </c>
      <c r="L271" s="41">
        <f t="shared" si="9"/>
        <v>194294.94</v>
      </c>
      <c r="M271" s="8"/>
      <c r="N271" s="265"/>
    </row>
    <row r="272" spans="1:14" s="34" customFormat="1" ht="12.2" customHeight="1" thickTop="1" x14ac:dyDescent="0.2">
      <c r="A272" s="43" t="s">
        <v>464</v>
      </c>
      <c r="B272" s="40">
        <v>10</v>
      </c>
      <c r="C272" s="40">
        <v>18</v>
      </c>
      <c r="D272" s="39" t="s">
        <v>431</v>
      </c>
      <c r="E272" s="40"/>
      <c r="F272" s="42">
        <f t="shared" ref="F272:L272" si="11">F258+F271</f>
        <v>3760344.1899999995</v>
      </c>
      <c r="G272" s="42">
        <f t="shared" si="11"/>
        <v>2081244.91</v>
      </c>
      <c r="H272" s="42">
        <f t="shared" si="11"/>
        <v>1611156.1</v>
      </c>
      <c r="I272" s="42">
        <f t="shared" si="11"/>
        <v>278740.90000000002</v>
      </c>
      <c r="J272" s="42">
        <f t="shared" si="11"/>
        <v>125436.82</v>
      </c>
      <c r="K272" s="42">
        <f t="shared" si="11"/>
        <v>275186.75</v>
      </c>
      <c r="L272" s="42">
        <f t="shared" si="11"/>
        <v>8132109.6699999999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89219.81</v>
      </c>
      <c r="G277" s="18">
        <v>35273.019999999997</v>
      </c>
      <c r="H277" s="18">
        <v>0</v>
      </c>
      <c r="I277" s="18">
        <v>0</v>
      </c>
      <c r="J277" s="18">
        <v>0</v>
      </c>
      <c r="K277" s="18">
        <v>8152.33</v>
      </c>
      <c r="L277" s="19">
        <f>SUM(F277:K277)</f>
        <v>132645.15999999997</v>
      </c>
      <c r="M277" s="8"/>
      <c r="N277" s="265"/>
    </row>
    <row r="278" spans="1:14" s="3" customFormat="1" ht="12.2" customHeight="1" x14ac:dyDescent="0.15">
      <c r="A278" s="1" t="s">
        <v>439</v>
      </c>
      <c r="B278" s="2" t="s">
        <v>357</v>
      </c>
      <c r="C278" s="2" t="s">
        <v>291</v>
      </c>
      <c r="D278" s="2" t="s">
        <v>431</v>
      </c>
      <c r="E278" s="6">
        <v>1200</v>
      </c>
      <c r="F278" s="18">
        <v>7042.18</v>
      </c>
      <c r="G278" s="18">
        <v>1669.03</v>
      </c>
      <c r="H278" s="18">
        <v>60828.91</v>
      </c>
      <c r="I278" s="18">
        <v>2528.83</v>
      </c>
      <c r="J278" s="18">
        <v>5085.25</v>
      </c>
      <c r="K278" s="18">
        <v>0</v>
      </c>
      <c r="L278" s="19">
        <f>SUM(F278:K278)</f>
        <v>77154.200000000012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15120.48</v>
      </c>
      <c r="G283" s="18">
        <v>3469.88</v>
      </c>
      <c r="H283" s="18">
        <v>29375.95</v>
      </c>
      <c r="I283" s="18">
        <v>0</v>
      </c>
      <c r="J283" s="18">
        <v>6600</v>
      </c>
      <c r="K283" s="18">
        <v>0</v>
      </c>
      <c r="L283" s="19">
        <f t="shared" si="12"/>
        <v>54566.31</v>
      </c>
      <c r="M283" s="8"/>
      <c r="N283" s="265"/>
    </row>
    <row r="284" spans="1:14" s="3" customFormat="1" ht="12.2" customHeight="1" x14ac:dyDescent="0.15">
      <c r="A284" s="1" t="s">
        <v>444</v>
      </c>
      <c r="B284" s="2" t="s">
        <v>357</v>
      </c>
      <c r="C284" s="2" t="s">
        <v>296</v>
      </c>
      <c r="D284" s="2" t="s">
        <v>431</v>
      </c>
      <c r="E284" s="6">
        <v>2300</v>
      </c>
      <c r="F284" s="18">
        <v>0</v>
      </c>
      <c r="G284" s="18">
        <v>0</v>
      </c>
      <c r="H284" s="18">
        <v>2425.65</v>
      </c>
      <c r="I284" s="18">
        <v>0</v>
      </c>
      <c r="J284" s="18">
        <v>1223</v>
      </c>
      <c r="K284" s="18">
        <v>5499.96</v>
      </c>
      <c r="L284" s="19">
        <f t="shared" si="12"/>
        <v>9148.61</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7169.68</v>
      </c>
      <c r="I287" s="18">
        <v>0</v>
      </c>
      <c r="J287" s="18">
        <v>0</v>
      </c>
      <c r="K287" s="18">
        <v>0</v>
      </c>
      <c r="L287" s="19">
        <f t="shared" si="12"/>
        <v>7169.68</v>
      </c>
      <c r="M287" s="8"/>
      <c r="N287" s="265"/>
    </row>
    <row r="288" spans="1:14" s="3" customFormat="1" ht="12.2" customHeight="1" x14ac:dyDescent="0.15">
      <c r="A288" s="1" t="s">
        <v>448</v>
      </c>
      <c r="B288" s="2" t="s">
        <v>357</v>
      </c>
      <c r="C288" s="2" t="s">
        <v>300</v>
      </c>
      <c r="D288" s="2" t="s">
        <v>431</v>
      </c>
      <c r="E288" s="6">
        <v>2700</v>
      </c>
      <c r="F288" s="18">
        <v>0</v>
      </c>
      <c r="G288" s="18">
        <v>0</v>
      </c>
      <c r="H288" s="18">
        <v>22440.94</v>
      </c>
      <c r="I288" s="18">
        <v>0</v>
      </c>
      <c r="J288" s="18">
        <v>0</v>
      </c>
      <c r="K288" s="18">
        <v>0</v>
      </c>
      <c r="L288" s="19">
        <f t="shared" si="12"/>
        <v>22440.94</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111382.46999999999</v>
      </c>
      <c r="G291" s="42">
        <f t="shared" si="13"/>
        <v>40411.929999999993</v>
      </c>
      <c r="H291" s="42">
        <f t="shared" si="13"/>
        <v>122241.13</v>
      </c>
      <c r="I291" s="42">
        <f t="shared" si="13"/>
        <v>2528.83</v>
      </c>
      <c r="J291" s="42">
        <f t="shared" si="13"/>
        <v>12908.25</v>
      </c>
      <c r="K291" s="42">
        <f t="shared" si="13"/>
        <v>13652.29</v>
      </c>
      <c r="L291" s="41">
        <f t="shared" si="13"/>
        <v>303124.89999999997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111382.46999999999</v>
      </c>
      <c r="G339" s="41">
        <f t="shared" si="20"/>
        <v>40411.929999999993</v>
      </c>
      <c r="H339" s="41">
        <f t="shared" si="20"/>
        <v>122241.13</v>
      </c>
      <c r="I339" s="41">
        <f t="shared" si="20"/>
        <v>2528.83</v>
      </c>
      <c r="J339" s="41">
        <f t="shared" si="20"/>
        <v>12908.25</v>
      </c>
      <c r="K339" s="41">
        <f t="shared" si="20"/>
        <v>13652.29</v>
      </c>
      <c r="L339" s="41">
        <f t="shared" si="20"/>
        <v>303124.89999999997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111382.46999999999</v>
      </c>
      <c r="G353" s="41">
        <f>G339</f>
        <v>40411.929999999993</v>
      </c>
      <c r="H353" s="41">
        <f>H339</f>
        <v>122241.13</v>
      </c>
      <c r="I353" s="41">
        <f>I339</f>
        <v>2528.83</v>
      </c>
      <c r="J353" s="41">
        <f>J339</f>
        <v>12908.25</v>
      </c>
      <c r="K353" s="47">
        <f>K339+K352</f>
        <v>13652.29</v>
      </c>
      <c r="L353" s="41">
        <f>L339+L352</f>
        <v>303124.89999999997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231559</v>
      </c>
      <c r="I359" s="18">
        <v>0</v>
      </c>
      <c r="J359" s="18">
        <v>0</v>
      </c>
      <c r="K359" s="18">
        <v>911.43</v>
      </c>
      <c r="L359" s="13">
        <f>SUM(F359:K359)</f>
        <v>232470.43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231559</v>
      </c>
      <c r="I363" s="47">
        <f t="shared" si="22"/>
        <v>0</v>
      </c>
      <c r="J363" s="47">
        <f t="shared" si="22"/>
        <v>0</v>
      </c>
      <c r="K363" s="47">
        <f t="shared" si="22"/>
        <v>911.43</v>
      </c>
      <c r="L363" s="47">
        <f t="shared" si="22"/>
        <v>232470.43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0</v>
      </c>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0</v>
      </c>
      <c r="H397" s="18">
        <v>122.06</v>
      </c>
      <c r="I397" s="18"/>
      <c r="J397" s="24" t="s">
        <v>288</v>
      </c>
      <c r="K397" s="24" t="s">
        <v>288</v>
      </c>
      <c r="L397" s="56">
        <f t="shared" si="26"/>
        <v>122.06</v>
      </c>
      <c r="M397" s="8"/>
      <c r="N397" s="265"/>
    </row>
    <row r="398" spans="1:14" s="3" customFormat="1" ht="12.2" customHeight="1" x14ac:dyDescent="0.15">
      <c r="A398" s="79" t="s">
        <v>515</v>
      </c>
      <c r="B398" s="2" t="s">
        <v>381</v>
      </c>
      <c r="C398" s="6">
        <v>10</v>
      </c>
      <c r="D398" s="2" t="s">
        <v>432</v>
      </c>
      <c r="E398" s="6"/>
      <c r="F398" s="18"/>
      <c r="G398" s="18">
        <v>0</v>
      </c>
      <c r="H398" s="18">
        <v>171.3</v>
      </c>
      <c r="I398" s="18"/>
      <c r="J398" s="24" t="s">
        <v>288</v>
      </c>
      <c r="K398" s="24" t="s">
        <v>288</v>
      </c>
      <c r="L398" s="56">
        <f t="shared" si="26"/>
        <v>171.3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0</v>
      </c>
      <c r="H400" s="18">
        <v>40.659999999999997</v>
      </c>
      <c r="I400" s="18"/>
      <c r="J400" s="24" t="s">
        <v>288</v>
      </c>
      <c r="K400" s="24" t="s">
        <v>288</v>
      </c>
      <c r="L400" s="56">
        <f t="shared" si="26"/>
        <v>40.659999999999997</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334.02</v>
      </c>
      <c r="I402" s="47">
        <f>SUM(I396:I401)</f>
        <v>0</v>
      </c>
      <c r="J402" s="45" t="s">
        <v>288</v>
      </c>
      <c r="K402" s="45" t="s">
        <v>288</v>
      </c>
      <c r="L402" s="47">
        <f>SUM(L396:L401)</f>
        <v>334.02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334.02</v>
      </c>
      <c r="I409" s="47">
        <f>I394+I402+I408</f>
        <v>0</v>
      </c>
      <c r="J409" s="24" t="s">
        <v>288</v>
      </c>
      <c r="K409" s="24" t="s">
        <v>288</v>
      </c>
      <c r="L409" s="47">
        <f>L394+L402+L408</f>
        <v>334.02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v>89876.4</v>
      </c>
      <c r="K423" s="18"/>
      <c r="L423" s="56">
        <f t="shared" si="29"/>
        <v>89876.4</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89876.4</v>
      </c>
      <c r="K428" s="47">
        <f t="shared" si="30"/>
        <v>0</v>
      </c>
      <c r="L428" s="47">
        <f t="shared" si="30"/>
        <v>89876.4</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89876.4</v>
      </c>
      <c r="K435" s="47">
        <f t="shared" si="32"/>
        <v>0</v>
      </c>
      <c r="L435" s="47">
        <f t="shared" si="32"/>
        <v>89876.4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346447.1</v>
      </c>
      <c r="H440" s="18"/>
      <c r="I440" s="56">
        <f t="shared" ref="I440:I446" si="33">SUM(F440:H440)</f>
        <v>346447.1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346447.1</v>
      </c>
      <c r="H447" s="13">
        <f>SUM(H440:H446)</f>
        <v>0</v>
      </c>
      <c r="I447" s="13">
        <f>SUM(I440:I446)</f>
        <v>346447.1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0</v>
      </c>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v>0</v>
      </c>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v>0</v>
      </c>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346447.1</v>
      </c>
      <c r="H460" s="18"/>
      <c r="I460" s="56">
        <f t="shared" si="34"/>
        <v>346447.1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346447.1</v>
      </c>
      <c r="H461" s="83">
        <f>SUM(H455:H460)</f>
        <v>0</v>
      </c>
      <c r="I461" s="83">
        <f>SUM(I455:I460)</f>
        <v>346447.1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346447.1</v>
      </c>
      <c r="H462" s="42">
        <f>H453+H461</f>
        <v>0</v>
      </c>
      <c r="I462" s="42">
        <f>I453+I461</f>
        <v>346447.1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519567.82999999914</v>
      </c>
      <c r="G466" s="18">
        <v>58965.549999999988</v>
      </c>
      <c r="H466" s="18">
        <v>90.080000000016298</v>
      </c>
      <c r="I466" s="18">
        <v>0</v>
      </c>
      <c r="J466" s="18">
        <v>435989.48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8273461.9800000004</v>
      </c>
      <c r="G469" s="18">
        <f t="shared" ref="G469:I469" si="35">G194</f>
        <v>316332.98</v>
      </c>
      <c r="H469" s="18">
        <f t="shared" si="35"/>
        <v>303124.89999999997</v>
      </c>
      <c r="I469" s="18">
        <f t="shared" si="35"/>
        <v>0</v>
      </c>
      <c r="J469" s="18">
        <f>L409</f>
        <v>334.02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8273461.9800000004</v>
      </c>
      <c r="G471" s="53">
        <f>SUM(G469:G470)</f>
        <v>316332.98</v>
      </c>
      <c r="H471" s="53">
        <f>SUM(H469:H470)</f>
        <v>303124.89999999997</v>
      </c>
      <c r="I471" s="53">
        <f>SUM(I469:I470)</f>
        <v>0</v>
      </c>
      <c r="J471" s="53">
        <f>SUM(J469:J470)</f>
        <v>334.02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8132109.6699999999</v>
      </c>
      <c r="G473" s="18">
        <f>L363</f>
        <v>232470.43</v>
      </c>
      <c r="H473" s="18">
        <f>L353</f>
        <v>303124.89999999997</v>
      </c>
      <c r="I473" s="18">
        <f>L383</f>
        <v>0</v>
      </c>
      <c r="J473" s="18">
        <f>L435</f>
        <v>89876.4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8132109.6699999999</v>
      </c>
      <c r="G475" s="53">
        <f>SUM(G473:G474)</f>
        <v>232470.43</v>
      </c>
      <c r="H475" s="53">
        <f>SUM(H473:H474)</f>
        <v>303124.89999999997</v>
      </c>
      <c r="I475" s="53">
        <f>SUM(I473:I474)</f>
        <v>0</v>
      </c>
      <c r="J475" s="53">
        <f>SUM(J473:J474)</f>
        <v>89876.4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660920.13999999873</v>
      </c>
      <c r="G477" s="53">
        <f>(G466+G471)- G475</f>
        <v>142828.09999999998</v>
      </c>
      <c r="H477" s="53">
        <f>(H466+H471)- H475</f>
        <v>90.080000000016298</v>
      </c>
      <c r="I477" s="53">
        <f>(I466+I471)- I475</f>
        <v>0</v>
      </c>
      <c r="J477" s="53">
        <f>(J466+J471)- J475</f>
        <v>346447.1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124892.29</v>
      </c>
      <c r="G498" s="18"/>
      <c r="H498" s="18"/>
      <c r="I498" s="18"/>
      <c r="J498" s="18"/>
      <c r="K498" s="53">
        <f t="shared" si="36"/>
        <v>124892.29</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636478.25</v>
      </c>
      <c r="G522" s="18">
        <v>273535.75</v>
      </c>
      <c r="H522" s="18">
        <v>447425.9</v>
      </c>
      <c r="I522" s="18">
        <v>7199.03</v>
      </c>
      <c r="J522" s="18">
        <v>0</v>
      </c>
      <c r="K522" s="18">
        <v>13445.82</v>
      </c>
      <c r="L522" s="88">
        <f>SUM(F522:K522)</f>
        <v>1378084.75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636478.25</v>
      </c>
      <c r="G525" s="108">
        <f t="shared" ref="G525:L525" si="37">SUM(G522:G524)</f>
        <v>273535.75</v>
      </c>
      <c r="H525" s="108">
        <f t="shared" si="37"/>
        <v>447425.9</v>
      </c>
      <c r="I525" s="108">
        <f t="shared" si="37"/>
        <v>7199.03</v>
      </c>
      <c r="J525" s="108">
        <f t="shared" si="37"/>
        <v>0</v>
      </c>
      <c r="K525" s="108">
        <f t="shared" si="37"/>
        <v>13445.82</v>
      </c>
      <c r="L525" s="89">
        <f t="shared" si="37"/>
        <v>1378084.75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206656.95</v>
      </c>
      <c r="G527" s="18">
        <v>134984.01</v>
      </c>
      <c r="H527" s="18">
        <v>8980.92</v>
      </c>
      <c r="I527" s="18">
        <v>847.31</v>
      </c>
      <c r="J527" s="18">
        <v>363.3</v>
      </c>
      <c r="K527" s="18">
        <v>0</v>
      </c>
      <c r="L527" s="88">
        <f>SUM(F527:K527)</f>
        <v>351832.49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206656.95</v>
      </c>
      <c r="G530" s="89">
        <f t="shared" ref="G530:L530" si="38">SUM(G527:G529)</f>
        <v>134984.01</v>
      </c>
      <c r="H530" s="89">
        <f t="shared" si="38"/>
        <v>8980.92</v>
      </c>
      <c r="I530" s="89">
        <f t="shared" si="38"/>
        <v>847.31</v>
      </c>
      <c r="J530" s="89">
        <f t="shared" si="38"/>
        <v>363.3</v>
      </c>
      <c r="K530" s="89">
        <f t="shared" si="38"/>
        <v>0</v>
      </c>
      <c r="L530" s="89">
        <f t="shared" si="38"/>
        <v>351832.49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(124936.09*0.2006)+75250</f>
        <v>100312.17965400001</v>
      </c>
      <c r="G532" s="18">
        <f>(71140.7*0.2006)+45174.51</f>
        <v>59445.334419999999</v>
      </c>
      <c r="H532" s="18"/>
      <c r="I532" s="18"/>
      <c r="J532" s="18"/>
      <c r="K532" s="18"/>
      <c r="L532" s="88">
        <f>SUM(F532:K532)</f>
        <v>159757.51407400001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100312.17965400001</v>
      </c>
      <c r="G535" s="89">
        <f t="shared" ref="G535:L535" si="39">SUM(G532:G534)</f>
        <v>59445.334419999999</v>
      </c>
      <c r="H535" s="89">
        <f t="shared" si="39"/>
        <v>0</v>
      </c>
      <c r="I535" s="89">
        <f t="shared" si="39"/>
        <v>0</v>
      </c>
      <c r="J535" s="89">
        <f t="shared" si="39"/>
        <v>0</v>
      </c>
      <c r="K535" s="89">
        <f t="shared" si="39"/>
        <v>0</v>
      </c>
      <c r="L535" s="89">
        <f t="shared" si="39"/>
        <v>159757.51407400001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928.27</v>
      </c>
      <c r="I537" s="18"/>
      <c r="J537" s="18"/>
      <c r="K537" s="18"/>
      <c r="L537" s="88">
        <f>SUM(F537:K537)</f>
        <v>928.27</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928.27</v>
      </c>
      <c r="I540" s="89">
        <f t="shared" si="40"/>
        <v>0</v>
      </c>
      <c r="J540" s="89">
        <f t="shared" si="40"/>
        <v>0</v>
      </c>
      <c r="K540" s="89">
        <f t="shared" si="40"/>
        <v>0</v>
      </c>
      <c r="L540" s="89">
        <f t="shared" si="40"/>
        <v>928.27</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131715.5</v>
      </c>
      <c r="I542" s="18"/>
      <c r="J542" s="18"/>
      <c r="K542" s="18"/>
      <c r="L542" s="88">
        <f>SUM(F542:K542)</f>
        <v>131715.5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131715.5</v>
      </c>
      <c r="I545" s="192">
        <f t="shared" si="41"/>
        <v>0</v>
      </c>
      <c r="J545" s="192">
        <f t="shared" si="41"/>
        <v>0</v>
      </c>
      <c r="K545" s="192">
        <f t="shared" si="41"/>
        <v>0</v>
      </c>
      <c r="L545" s="192">
        <f t="shared" si="41"/>
        <v>131715.5</v>
      </c>
      <c r="M545" s="8"/>
      <c r="N545" s="265"/>
    </row>
    <row r="546" spans="1:14" s="3" customFormat="1" ht="12.2" customHeight="1" thickTop="1" x14ac:dyDescent="0.15">
      <c r="A546" s="98" t="s">
        <v>72</v>
      </c>
      <c r="B546" s="107">
        <v>21</v>
      </c>
      <c r="C546" s="107">
        <v>21</v>
      </c>
      <c r="D546" s="158" t="s">
        <v>432</v>
      </c>
      <c r="E546" s="107"/>
      <c r="F546" s="89">
        <f>F525+F530+F535+F540+F545</f>
        <v>943447.37965399993</v>
      </c>
      <c r="G546" s="89">
        <f t="shared" ref="G546:L546" si="42">G525+G530+G535+G540+G545</f>
        <v>467965.09441999998</v>
      </c>
      <c r="H546" s="89">
        <f t="shared" si="42"/>
        <v>589050.59000000008</v>
      </c>
      <c r="I546" s="89">
        <f t="shared" si="42"/>
        <v>8046.34</v>
      </c>
      <c r="J546" s="89">
        <f t="shared" si="42"/>
        <v>363.3</v>
      </c>
      <c r="K546" s="89">
        <f t="shared" si="42"/>
        <v>13445.82</v>
      </c>
      <c r="L546" s="89">
        <f t="shared" si="42"/>
        <v>2022318.5240740001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1378084.75</v>
      </c>
      <c r="G550" s="87">
        <f>L527</f>
        <v>351832.49</v>
      </c>
      <c r="H550" s="87">
        <f>L532</f>
        <v>159757.51407400001</v>
      </c>
      <c r="I550" s="87">
        <f>L537</f>
        <v>928.27</v>
      </c>
      <c r="J550" s="87">
        <f>L542</f>
        <v>131715.5</v>
      </c>
      <c r="K550" s="87">
        <f>SUM(F550:J550)</f>
        <v>2022318.5240740001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1378084.75</v>
      </c>
      <c r="G553" s="89">
        <f t="shared" si="43"/>
        <v>351832.49</v>
      </c>
      <c r="H553" s="89">
        <f t="shared" si="43"/>
        <v>159757.51407400001</v>
      </c>
      <c r="I553" s="89">
        <f t="shared" si="43"/>
        <v>928.27</v>
      </c>
      <c r="J553" s="89">
        <f t="shared" si="43"/>
        <v>131715.5</v>
      </c>
      <c r="K553" s="89">
        <f t="shared" si="43"/>
        <v>2022318.5240740001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6929.07</v>
      </c>
      <c r="G568" s="18">
        <v>1838.89</v>
      </c>
      <c r="H568" s="18">
        <v>0</v>
      </c>
      <c r="I568" s="18">
        <v>680.2</v>
      </c>
      <c r="J568" s="18">
        <v>0</v>
      </c>
      <c r="K568" s="18">
        <v>8903.6200000000008</v>
      </c>
      <c r="L568" s="88">
        <f>SUM(F568:K568)</f>
        <v>18351.78</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6929.07</v>
      </c>
      <c r="G571" s="192">
        <f t="shared" ref="G571:L571" si="46">SUM(G568:G570)</f>
        <v>1838.89</v>
      </c>
      <c r="H571" s="192">
        <f t="shared" si="46"/>
        <v>0</v>
      </c>
      <c r="I571" s="192">
        <f t="shared" si="46"/>
        <v>680.2</v>
      </c>
      <c r="J571" s="192">
        <f t="shared" si="46"/>
        <v>0</v>
      </c>
      <c r="K571" s="192">
        <f t="shared" si="46"/>
        <v>8903.6200000000008</v>
      </c>
      <c r="L571" s="192">
        <f t="shared" si="46"/>
        <v>18351.78</v>
      </c>
      <c r="M571" s="8"/>
      <c r="N571" s="265"/>
    </row>
    <row r="572" spans="1:14" s="3" customFormat="1" ht="12.2" customHeight="1" thickTop="1" x14ac:dyDescent="0.15">
      <c r="A572" s="98" t="s">
        <v>88</v>
      </c>
      <c r="B572" s="107">
        <v>22</v>
      </c>
      <c r="C572" s="107">
        <v>13</v>
      </c>
      <c r="D572" s="158" t="s">
        <v>432</v>
      </c>
      <c r="E572" s="107"/>
      <c r="F572" s="89">
        <f>F561+F566+F571</f>
        <v>6929.07</v>
      </c>
      <c r="G572" s="89">
        <f t="shared" ref="G572:L572" si="47">G561+G566+G571</f>
        <v>1838.89</v>
      </c>
      <c r="H572" s="89">
        <f t="shared" si="47"/>
        <v>0</v>
      </c>
      <c r="I572" s="89">
        <f t="shared" si="47"/>
        <v>680.2</v>
      </c>
      <c r="J572" s="89">
        <f t="shared" si="47"/>
        <v>0</v>
      </c>
      <c r="K572" s="89">
        <f t="shared" si="47"/>
        <v>8903.6200000000008</v>
      </c>
      <c r="L572" s="89">
        <f t="shared" si="47"/>
        <v>18351.78</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12299.88</v>
      </c>
      <c r="G580" s="18"/>
      <c r="H580" s="18"/>
      <c r="I580" s="87">
        <f t="shared" si="48"/>
        <v>12299.88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203692.98</v>
      </c>
      <c r="G583" s="18"/>
      <c r="H583" s="18"/>
      <c r="I583" s="87">
        <f t="shared" si="48"/>
        <v>203692.98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177566.62</v>
      </c>
      <c r="I592" s="18"/>
      <c r="J592" s="18"/>
      <c r="K592" s="104">
        <f t="shared" ref="K592:K598" si="49">SUM(H592:J592)</f>
        <v>177566.62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131715.5</v>
      </c>
      <c r="I593" s="18"/>
      <c r="J593" s="18"/>
      <c r="K593" s="104">
        <f t="shared" si="49"/>
        <v>131715.5</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669.8</v>
      </c>
      <c r="I595" s="18"/>
      <c r="J595" s="18"/>
      <c r="K595" s="104">
        <f t="shared" si="49"/>
        <v>669.8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1630</v>
      </c>
      <c r="I596" s="18"/>
      <c r="J596" s="18"/>
      <c r="K596" s="104">
        <f t="shared" si="49"/>
        <v>1630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12367.13</v>
      </c>
      <c r="I598" s="18"/>
      <c r="J598" s="18"/>
      <c r="K598" s="104">
        <f t="shared" si="49"/>
        <v>12367.13</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323949.05</v>
      </c>
      <c r="I599" s="108">
        <f>SUM(I592:I598)</f>
        <v>0</v>
      </c>
      <c r="J599" s="108">
        <f>SUM(J592:J598)</f>
        <v>0</v>
      </c>
      <c r="K599" s="108">
        <f>SUM(K592:K598)</f>
        <v>323949.05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138345.07</v>
      </c>
      <c r="I605" s="18"/>
      <c r="J605" s="18"/>
      <c r="K605" s="104">
        <f>SUM(H605:J605)</f>
        <v>138345.07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138345.07</v>
      </c>
      <c r="I606" s="108">
        <f>SUM(I603:I605)</f>
        <v>0</v>
      </c>
      <c r="J606" s="108">
        <f>SUM(J603:J605)</f>
        <v>0</v>
      </c>
      <c r="K606" s="108">
        <f>SUM(K603:K605)</f>
        <v>138345.07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20632.5</v>
      </c>
      <c r="G612" s="18">
        <v>4516.25</v>
      </c>
      <c r="H612" s="18">
        <v>3954.57</v>
      </c>
      <c r="I612" s="18">
        <v>54.11</v>
      </c>
      <c r="J612" s="18">
        <v>0</v>
      </c>
      <c r="K612" s="18">
        <v>0</v>
      </c>
      <c r="L612" s="88">
        <f>SUM(F612:K612)</f>
        <v>29157.43</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20632.5</v>
      </c>
      <c r="G615" s="108">
        <f t="shared" si="50"/>
        <v>4516.25</v>
      </c>
      <c r="H615" s="108">
        <f t="shared" si="50"/>
        <v>3954.57</v>
      </c>
      <c r="I615" s="108">
        <f t="shared" si="50"/>
        <v>54.11</v>
      </c>
      <c r="J615" s="108">
        <f t="shared" si="50"/>
        <v>0</v>
      </c>
      <c r="K615" s="108">
        <f t="shared" si="50"/>
        <v>0</v>
      </c>
      <c r="L615" s="89">
        <f t="shared" si="50"/>
        <v>29157.43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701116.84</v>
      </c>
      <c r="H618" s="109">
        <f>SUM(F52)</f>
        <v>701116.84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111834.98999999999</v>
      </c>
      <c r="H619" s="109">
        <f>SUM(G52)</f>
        <v>111834.98999999999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122424.65</v>
      </c>
      <c r="H620" s="109">
        <f>SUM(H52)</f>
        <v>122424.65000000001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346447.1</v>
      </c>
      <c r="H622" s="109">
        <f>SUM(J52)</f>
        <v>346447.1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660920.14</v>
      </c>
      <c r="H623" s="109">
        <f>F477</f>
        <v>660920.13999999873</v>
      </c>
      <c r="I623" s="121" t="s">
        <v>101</v>
      </c>
      <c r="J623" s="109">
        <f t="shared" ref="J623:J656" si="51">G623-H623</f>
        <v>1.280568540096283E-9</v>
      </c>
      <c r="K623" s="109"/>
      <c r="L623" s="109"/>
      <c r="M623" s="8"/>
    </row>
    <row r="624" spans="1:14" s="3" customFormat="1" ht="12.2" customHeight="1" x14ac:dyDescent="0.15">
      <c r="A624" s="97"/>
      <c r="B624" s="105"/>
      <c r="C624" s="119"/>
      <c r="D624" s="119"/>
      <c r="E624" s="119"/>
      <c r="F624" s="119" t="s">
        <v>866</v>
      </c>
      <c r="G624" s="109">
        <f>G51</f>
        <v>142828.1</v>
      </c>
      <c r="H624" s="109">
        <f>G477</f>
        <v>142828.09999999998</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90.08</v>
      </c>
      <c r="H625" s="109">
        <f>H477</f>
        <v>90.080000000016298</v>
      </c>
      <c r="I625" s="121" t="s">
        <v>103</v>
      </c>
      <c r="J625" s="109">
        <f t="shared" si="51"/>
        <v>-1.6299850358336698E-11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346447.1</v>
      </c>
      <c r="H627" s="109">
        <f>J477</f>
        <v>346447.1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8273461.9800000004</v>
      </c>
      <c r="H628" s="104">
        <f>SUM(F469)</f>
        <v>8273461.9800000004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316332.98</v>
      </c>
      <c r="H629" s="104">
        <f>SUM(G469)</f>
        <v>316332.98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303124.89999999997</v>
      </c>
      <c r="H630" s="104">
        <f>SUM(H469)</f>
        <v>303124.89999999997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334.02</v>
      </c>
      <c r="H632" s="104">
        <f>SUM(J469)</f>
        <v>334.02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8132109.6699999999</v>
      </c>
      <c r="H633" s="104">
        <f>SUM(F473)</f>
        <v>8132109.6699999999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303124.89999999997</v>
      </c>
      <c r="H634" s="104">
        <f>SUM(H473)</f>
        <v>303124.89999999997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232470.43</v>
      </c>
      <c r="H636" s="104">
        <f>SUM(G473)</f>
        <v>232470.43</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334.02</v>
      </c>
      <c r="H638" s="164">
        <f>SUM(J469)</f>
        <v>334.02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89876.4</v>
      </c>
      <c r="H639" s="164">
        <f>SUM(J473)</f>
        <v>89876.4</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346447.1</v>
      </c>
      <c r="H641" s="104">
        <f>SUM(G462)</f>
        <v>346447.1</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346447.1</v>
      </c>
      <c r="H643" s="104">
        <f>SUM(I462)</f>
        <v>346447.1</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334.02</v>
      </c>
      <c r="H645" s="104">
        <f>H409</f>
        <v>334.02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334.02</v>
      </c>
      <c r="H647" s="104">
        <f>L409</f>
        <v>334.02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323949.05</v>
      </c>
      <c r="H648" s="104">
        <f>L209+L227+L245</f>
        <v>323949.05</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138345.07</v>
      </c>
      <c r="H649" s="104">
        <f>(J258+J339)-(J256+J337)</f>
        <v>138345.07</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323949.05</v>
      </c>
      <c r="H650" s="104">
        <f>H599</f>
        <v>323949.05</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8473410.0600000005</v>
      </c>
      <c r="G661" s="19">
        <f>(L230+L310+L360)</f>
        <v>0</v>
      </c>
      <c r="H661" s="19">
        <f>(L248+L329+L361)</f>
        <v>0</v>
      </c>
      <c r="I661" s="19">
        <f>SUM(F661:H661)</f>
        <v>8473410.0600000005</v>
      </c>
      <c r="J661" s="13"/>
      <c r="K661" s="13"/>
      <c r="L661" s="13"/>
      <c r="M661" s="9"/>
    </row>
    <row r="662" spans="1:13" s="3" customFormat="1" ht="12.2" customHeight="1" x14ac:dyDescent="0.2">
      <c r="A662" s="1" t="s">
        <v>127</v>
      </c>
      <c r="F662" s="19">
        <f>(L359/IF(SUM(L359:L361)=0,1,SUM(L359:L361))*(SUM(G97:G110)))</f>
        <v>3729.49</v>
      </c>
      <c r="G662" s="19">
        <f>(L360/IF(SUM(L359:L361)=0,1,SUM(L359:L361))*(SUM(G97:G110)))</f>
        <v>0</v>
      </c>
      <c r="H662" s="19">
        <f>(L361/IF(SUM(L359:L361)=0,1,SUM(L359:L361))*(SUM(G97:G110)))</f>
        <v>0</v>
      </c>
      <c r="I662" s="19">
        <f>SUM(F662:H662)</f>
        <v>3729.49</v>
      </c>
      <c r="J662"/>
      <c r="K662" s="13"/>
      <c r="L662" s="13"/>
      <c r="M662" s="8"/>
    </row>
    <row r="663" spans="1:13" s="3" customFormat="1" ht="12.2" customHeight="1" x14ac:dyDescent="0.2">
      <c r="A663" s="1" t="s">
        <v>128</v>
      </c>
      <c r="F663" s="19">
        <f>(L209+L288)-(J209+J288)</f>
        <v>346389.99</v>
      </c>
      <c r="G663" s="19">
        <f>(L227+L307)-(J227+J307)</f>
        <v>0</v>
      </c>
      <c r="H663" s="19">
        <f>(L245+L326)-(J245+J326)</f>
        <v>0</v>
      </c>
      <c r="I663" s="19">
        <f>SUM(F663:H663)</f>
        <v>346389.99</v>
      </c>
      <c r="J663"/>
      <c r="K663" s="13"/>
      <c r="L663" s="13"/>
      <c r="M663" s="9"/>
    </row>
    <row r="664" spans="1:13" s="3" customFormat="1" ht="12.2" customHeight="1" x14ac:dyDescent="0.15">
      <c r="A664" s="197" t="s">
        <v>129</v>
      </c>
      <c r="B664" s="169"/>
      <c r="C664" s="169"/>
      <c r="D664" s="169"/>
      <c r="E664" s="169"/>
      <c r="F664" s="198">
        <f>SUM(F576:F588)+SUM(H603:H605)+SUM(L612)</f>
        <v>383495.36000000004</v>
      </c>
      <c r="G664" s="198">
        <f>SUM(G576:G588)+SUM(I603:I605)+L613</f>
        <v>0</v>
      </c>
      <c r="H664" s="198">
        <f>SUM(H576:H588)+SUM(J603:J605)+L614</f>
        <v>0</v>
      </c>
      <c r="I664" s="19">
        <f>SUM(F664:H664)</f>
        <v>383495.36000000004</v>
      </c>
      <c r="J664" s="13"/>
      <c r="K664" s="13"/>
      <c r="L664" s="13"/>
      <c r="M664" s="9"/>
    </row>
    <row r="665" spans="1:13" s="3" customFormat="1" ht="12.2" customHeight="1" x14ac:dyDescent="0.15">
      <c r="A665" s="1" t="s">
        <v>130</v>
      </c>
      <c r="F665" s="19">
        <f>F661-SUM(F662:F664)</f>
        <v>7739795.2200000007</v>
      </c>
      <c r="G665" s="19">
        <f>G661-SUM(G662:G664)</f>
        <v>0</v>
      </c>
      <c r="H665" s="19">
        <f>H661-SUM(H662:H664)</f>
        <v>0</v>
      </c>
      <c r="I665" s="19">
        <f>I661-SUM(I662:I664)</f>
        <v>7739795.2200000007</v>
      </c>
      <c r="J665" s="13"/>
      <c r="K665" s="13"/>
      <c r="L665" s="13"/>
      <c r="M665" s="8"/>
    </row>
    <row r="666" spans="1:13" s="3" customFormat="1" ht="12.2" customHeight="1" x14ac:dyDescent="0.2">
      <c r="A666" s="1" t="s">
        <v>131</v>
      </c>
      <c r="F666" s="245">
        <v>391.77</v>
      </c>
      <c r="G666" s="246"/>
      <c r="H666" s="246"/>
      <c r="I666" s="19">
        <f>SUM(F666:H666)</f>
        <v>391.77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19755.97</v>
      </c>
      <c r="G668" s="19" t="e">
        <f>ROUND(G665/G666,2)</f>
        <v>#DIV/0!</v>
      </c>
      <c r="H668" s="19" t="e">
        <f>ROUND(H665/H666,2)</f>
        <v>#DIV/0!</v>
      </c>
      <c r="I668" s="19">
        <f>ROUND(I665/I666,2)</f>
        <v>19755.97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19755.97</v>
      </c>
      <c r="G673" s="19" t="e">
        <f>ROUND((G665+G670)/(G666+G671),2)</f>
        <v>#DIV/0!</v>
      </c>
      <c r="H673" s="19" t="e">
        <f>ROUND((H665+H670)/(H666+H671),2)</f>
        <v>#DIV/0!</v>
      </c>
      <c r="I673" s="19">
        <f>ROUND((I665+I670)/(I666+I671),2)</f>
        <v>19755.97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2" zoomScaleNormal="100" workbookViewId="0">
      <selection activeCell="E9" sqref="E9: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17999.22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13767.92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4231.3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21327.31</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6"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Henniker</v>
      </c>
      <c r="C5" s="375"/>
      <c r="D5" s="375"/>
      <c r="E5" s="375"/>
      <c r="F5" s="375"/>
    </row>
    <row r="8" spans="1:9" ht="18" x14ac:dyDescent="0.25">
      <c r="A8" s="312" t="s">
        <v>1568</v>
      </c>
      <c r="F8" s="319" t="s">
        <v>1586</v>
      </c>
    </row>
    <row r="9" spans="1:9" ht="15" x14ac:dyDescent="0.2">
      <c r="A9" s="310" t="s">
        <v>1569</v>
      </c>
      <c r="B9" s="313">
        <f>'DOE25'!G97</f>
        <v>3729.49</v>
      </c>
      <c r="F9" s="310" t="s">
        <v>1582</v>
      </c>
    </row>
    <row r="10" spans="1:9" ht="15" x14ac:dyDescent="0.2">
      <c r="A10" s="310" t="s">
        <v>1570</v>
      </c>
      <c r="B10" s="313">
        <f>'DOE25'!G112-'DOE25'!G97</f>
        <v>0</v>
      </c>
      <c r="F10" s="310" t="s">
        <v>1583</v>
      </c>
    </row>
    <row r="11" spans="1:9" ht="15" x14ac:dyDescent="0.2">
      <c r="A11" s="310" t="s">
        <v>1571</v>
      </c>
      <c r="B11" s="313">
        <f>'DOE25'!G140</f>
        <v>4925.43</v>
      </c>
      <c r="F11" s="310" t="s">
        <v>1584</v>
      </c>
    </row>
    <row r="12" spans="1:9" ht="15" x14ac:dyDescent="0.2">
      <c r="A12" s="310" t="s">
        <v>1572</v>
      </c>
      <c r="B12" s="313">
        <f>'DOE25'!G170</f>
        <v>307678.06</v>
      </c>
      <c r="F12" s="310" t="s">
        <v>1585</v>
      </c>
    </row>
    <row r="13" spans="1:9" ht="15" x14ac:dyDescent="0.2">
      <c r="A13" s="310" t="s">
        <v>1573</v>
      </c>
      <c r="B13" s="313">
        <f>'DOE25'!G193-'DOE25'!G180</f>
        <v>0</v>
      </c>
      <c r="F13" s="310" t="s">
        <v>1595</v>
      </c>
    </row>
    <row r="14" spans="1:9" ht="18" x14ac:dyDescent="0.25">
      <c r="A14" s="312" t="s">
        <v>732</v>
      </c>
      <c r="B14" s="314">
        <f>SUM(B9:B13)</f>
        <v>316332.98</v>
      </c>
    </row>
    <row r="16" spans="1:9" ht="18" x14ac:dyDescent="0.25">
      <c r="A16" s="312" t="s">
        <v>786</v>
      </c>
      <c r="F16" s="319" t="s">
        <v>1587</v>
      </c>
    </row>
    <row r="17" spans="1:6" ht="15" x14ac:dyDescent="0.2">
      <c r="A17" s="310" t="s">
        <v>1574</v>
      </c>
      <c r="B17" s="313">
        <f>'DOE25'!L363-'DOE25'!L362</f>
        <v>232470.43</v>
      </c>
      <c r="F17" s="310" t="s">
        <v>1588</v>
      </c>
    </row>
    <row r="18" spans="1:6" ht="15" x14ac:dyDescent="0.2">
      <c r="A18" s="310" t="s">
        <v>1575</v>
      </c>
      <c r="B18" s="323">
        <v>0</v>
      </c>
      <c r="F18" s="319" t="s">
        <v>1612</v>
      </c>
    </row>
    <row r="19" spans="1:6" ht="18" x14ac:dyDescent="0.25">
      <c r="A19" s="312" t="s">
        <v>725</v>
      </c>
      <c r="B19" s="314">
        <f>SUM(B17:B18)</f>
        <v>232470.43</v>
      </c>
    </row>
    <row r="21" spans="1:6" ht="18.75" thickBot="1" x14ac:dyDescent="0.3">
      <c r="A21" s="312" t="s">
        <v>1576</v>
      </c>
    </row>
    <row r="22" spans="1:6" ht="18.75" thickTop="1" x14ac:dyDescent="0.25">
      <c r="A22" s="312" t="s">
        <v>1577</v>
      </c>
      <c r="B22" s="318">
        <f>B14-B19</f>
        <v>83862.549999999988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58965.549999999988</v>
      </c>
      <c r="F31" s="310" t="s">
        <v>1592</v>
      </c>
    </row>
    <row r="33" spans="1:6" ht="15" x14ac:dyDescent="0.2">
      <c r="A33" s="310" t="s">
        <v>1635</v>
      </c>
      <c r="B33" s="313">
        <f>'DOE25'!G477</f>
        <v>142828.09999999998</v>
      </c>
      <c r="F33" s="310" t="s">
        <v>1593</v>
      </c>
    </row>
    <row r="36" spans="1:6" ht="15" x14ac:dyDescent="0.2">
      <c r="A36" s="310" t="s">
        <v>1579</v>
      </c>
      <c r="B36" s="324">
        <v>6922.6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Henniker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2177562.6999999997</v>
      </c>
      <c r="C9" s="228">
        <f>'DOE25'!G198+'DOE25'!G216+'DOE25'!G234+'DOE25'!G277+'DOE25'!G296+'DOE25'!G315</f>
        <v>1267725.6599999999</v>
      </c>
    </row>
    <row r="10" spans="1:3" x14ac:dyDescent="0.2">
      <c r="A10" t="s">
        <v>775</v>
      </c>
      <c r="B10" s="239">
        <v>1952453.92</v>
      </c>
      <c r="C10" s="239">
        <v>1245652.96</v>
      </c>
    </row>
    <row r="11" spans="1:3" x14ac:dyDescent="0.2">
      <c r="A11" t="s">
        <v>776</v>
      </c>
      <c r="B11" s="239">
        <v>95364.160000000003</v>
      </c>
      <c r="C11" s="239">
        <v>7520.85</v>
      </c>
    </row>
    <row r="12" spans="1:3" x14ac:dyDescent="0.2">
      <c r="A12" t="s">
        <v>777</v>
      </c>
      <c r="B12" s="239">
        <v>129744.62</v>
      </c>
      <c r="C12" s="239">
        <v>14551.85</v>
      </c>
    </row>
    <row r="13" spans="1:3" x14ac:dyDescent="0.2">
      <c r="A13" t="str">
        <f>IF(B9=B13,IF(C9=C13,"Check Total OK","Check Total Error"),"Check Total Error")</f>
        <v>Check Total OK</v>
      </c>
      <c r="B13" s="230">
        <f>SUM(B10:B12)</f>
        <v>2177562.6999999997</v>
      </c>
      <c r="C13" s="230">
        <f>SUM(C10:C12)</f>
        <v>1267725.6600000001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643520.43000000005</v>
      </c>
      <c r="C18" s="228">
        <f>'DOE25'!G199+'DOE25'!G217+'DOE25'!G235+'DOE25'!G278+'DOE25'!G297+'DOE25'!G316</f>
        <v>275204.78000000003</v>
      </c>
    </row>
    <row r="19" spans="1:3" x14ac:dyDescent="0.2">
      <c r="A19" t="s">
        <v>775</v>
      </c>
      <c r="B19" s="239">
        <v>437654.61</v>
      </c>
      <c r="C19" s="239">
        <v>255320.79</v>
      </c>
    </row>
    <row r="20" spans="1:3" x14ac:dyDescent="0.2">
      <c r="A20" t="s">
        <v>776</v>
      </c>
      <c r="B20" s="239">
        <v>174892.06</v>
      </c>
      <c r="C20" s="239">
        <v>10841.11</v>
      </c>
    </row>
    <row r="21" spans="1:3" x14ac:dyDescent="0.2">
      <c r="A21" t="s">
        <v>777</v>
      </c>
      <c r="B21" s="239">
        <v>30973.759999999998</v>
      </c>
      <c r="C21" s="239">
        <v>9042.8799999999992</v>
      </c>
    </row>
    <row r="22" spans="1:3" x14ac:dyDescent="0.2">
      <c r="A22" t="str">
        <f>IF(B18=B22,IF(C18=C22,"Check Total OK","Check Total Error"),"Check Total Error")</f>
        <v>Check Total OK</v>
      </c>
      <c r="B22" s="230">
        <f>SUM(B19:B21)</f>
        <v>643520.42999999993</v>
      </c>
      <c r="C22" s="230">
        <f>SUM(C19:C21)</f>
        <v>275204.78000000003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16482.439999999999</v>
      </c>
      <c r="C36" s="234">
        <f>'DOE25'!G201+'DOE25'!G219+'DOE25'!G237+'DOE25'!G280+'DOE25'!G299+'DOE25'!G318</f>
        <v>3723.13</v>
      </c>
    </row>
    <row r="37" spans="1:3" x14ac:dyDescent="0.2">
      <c r="A37" t="s">
        <v>775</v>
      </c>
      <c r="B37" s="239">
        <v>16482.439999999999</v>
      </c>
      <c r="C37" s="239">
        <v>3350.82</v>
      </c>
    </row>
    <row r="38" spans="1:3" x14ac:dyDescent="0.2">
      <c r="A38" t="s">
        <v>776</v>
      </c>
      <c r="B38" s="239"/>
      <c r="C38" s="239"/>
    </row>
    <row r="39" spans="1:3" x14ac:dyDescent="0.2">
      <c r="A39" t="s">
        <v>777</v>
      </c>
      <c r="B39" s="239">
        <v>0</v>
      </c>
      <c r="C39" s="239">
        <v>372.31</v>
      </c>
    </row>
    <row r="40" spans="1:3" x14ac:dyDescent="0.2">
      <c r="A40" t="str">
        <f>IF(B36=B40,IF(C36=C40,"Check Total OK","Check Total Error"),"Check Total Error")</f>
        <v>Check Total OK</v>
      </c>
      <c r="B40" s="230">
        <f>SUM(B37:B39)</f>
        <v>16482.439999999999</v>
      </c>
      <c r="C40" s="230">
        <f>SUM(C37:C39)</f>
        <v>3723.13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11" activePane="bottomLeft" state="frozen"/>
      <selection activeCell="F46" sqref="F46"/>
      <selection pane="bottomLeft" activeCell="U25" sqref="U2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Henniker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4942516.66</v>
      </c>
      <c r="D5" s="20">
        <f>SUM('DOE25'!L198:L201)+SUM('DOE25'!L216:L219)+SUM('DOE25'!L234:L237)-F5-G5-H5</f>
        <v>4704868.6000000006</v>
      </c>
      <c r="E5" s="242"/>
      <c r="F5" s="243">
        <v>196522.3</v>
      </c>
      <c r="G5" s="53">
        <f>SUM('DOE25'!J198:J201)+SUM('DOE25'!J216:J219)+SUM('DOE25'!J234:J237)</f>
        <v>20896.510000000002</v>
      </c>
      <c r="H5" s="53">
        <f>SUM('DOE25'!K198:K201)+SUM('DOE25'!K216:K219)+SUM('DOE25'!K234:K237)</f>
        <v>20229.25</v>
      </c>
      <c r="I5" s="255"/>
    </row>
    <row r="6" spans="1:9" x14ac:dyDescent="0.2">
      <c r="A6" s="32">
        <v>2100</v>
      </c>
      <c r="B6" t="s">
        <v>796</v>
      </c>
      <c r="C6" s="274">
        <f t="shared" si="0"/>
        <v>600782.02</v>
      </c>
      <c r="D6" s="20">
        <f>'DOE25'!L203+'DOE25'!L221+'DOE25'!L239-F6-G6-H6</f>
        <v>596960.18000000005</v>
      </c>
      <c r="E6" s="242"/>
      <c r="F6" s="243"/>
      <c r="G6" s="53">
        <f>'DOE25'!J203+'DOE25'!J221+'DOE25'!J239</f>
        <v>2891.22</v>
      </c>
      <c r="H6" s="53">
        <f>'DOE25'!K203+'DOE25'!K221+'DOE25'!K239</f>
        <v>930.62</v>
      </c>
      <c r="I6" s="255"/>
    </row>
    <row r="7" spans="1:9" x14ac:dyDescent="0.2">
      <c r="A7" s="32">
        <v>2200</v>
      </c>
      <c r="B7" t="s">
        <v>821</v>
      </c>
      <c r="C7" s="274">
        <f t="shared" si="0"/>
        <v>372083.43999999994</v>
      </c>
      <c r="D7" s="20">
        <f>'DOE25'!L204+'DOE25'!L222+'DOE25'!L240-F7-G7-H7</f>
        <v>225239.70999999993</v>
      </c>
      <c r="E7" s="242"/>
      <c r="F7" s="243"/>
      <c r="G7" s="53">
        <f>'DOE25'!J204+'DOE25'!J222+'DOE25'!J240</f>
        <v>97992</v>
      </c>
      <c r="H7" s="53">
        <f>'DOE25'!K204+'DOE25'!K222+'DOE25'!K240</f>
        <v>48851.73</v>
      </c>
      <c r="I7" s="255"/>
    </row>
    <row r="8" spans="1:9" x14ac:dyDescent="0.2">
      <c r="A8" s="32">
        <v>2300</v>
      </c>
      <c r="B8" t="s">
        <v>797</v>
      </c>
      <c r="C8" s="274">
        <f t="shared" si="0"/>
        <v>11718.920000000049</v>
      </c>
      <c r="D8" s="242"/>
      <c r="E8" s="20">
        <f>'DOE25'!L205+'DOE25'!L223+'DOE25'!L241-F8-G8-H8-D9-D11</f>
        <v>2565.9900000000489</v>
      </c>
      <c r="F8" s="243"/>
      <c r="G8" s="53">
        <f>'DOE25'!J205+'DOE25'!J223+'DOE25'!J241</f>
        <v>0</v>
      </c>
      <c r="H8" s="53">
        <f>'DOE25'!K205+'DOE25'!K223+'DOE25'!K241</f>
        <v>9152.93</v>
      </c>
      <c r="I8" s="255"/>
    </row>
    <row r="9" spans="1:9" ht="14.25" x14ac:dyDescent="0.2">
      <c r="A9" s="32">
        <v>2310</v>
      </c>
      <c r="B9" s="184" t="s">
        <v>888</v>
      </c>
      <c r="C9" s="274">
        <f t="shared" si="0"/>
        <v>43363.11</v>
      </c>
      <c r="D9" s="243">
        <v>43363.11</v>
      </c>
      <c r="E9" s="242"/>
      <c r="F9" s="252"/>
      <c r="G9" s="252"/>
      <c r="H9" s="252"/>
      <c r="I9" s="255"/>
    </row>
    <row r="10" spans="1:9" ht="14.25" x14ac:dyDescent="0.2">
      <c r="A10" s="32">
        <v>2317</v>
      </c>
      <c r="B10" s="184" t="s">
        <v>889</v>
      </c>
      <c r="C10" s="274">
        <f t="shared" si="0"/>
        <v>11000</v>
      </c>
      <c r="D10" s="242"/>
      <c r="E10" s="243">
        <v>11000</v>
      </c>
      <c r="F10" s="252"/>
      <c r="G10" s="252"/>
      <c r="H10" s="252"/>
      <c r="I10" s="255"/>
    </row>
    <row r="11" spans="1:9" ht="14.25" x14ac:dyDescent="0.2">
      <c r="A11" s="32">
        <v>2321</v>
      </c>
      <c r="B11" s="184" t="s">
        <v>890</v>
      </c>
      <c r="C11" s="274">
        <f t="shared" si="0"/>
        <v>309114.73</v>
      </c>
      <c r="D11" s="243">
        <v>309114.73</v>
      </c>
      <c r="E11" s="242"/>
      <c r="F11" s="252"/>
      <c r="G11" s="252"/>
      <c r="H11" s="252"/>
      <c r="I11" s="255"/>
    </row>
    <row r="12" spans="1:9" x14ac:dyDescent="0.2">
      <c r="A12" s="32">
        <v>2400</v>
      </c>
      <c r="B12" t="s">
        <v>711</v>
      </c>
      <c r="C12" s="274">
        <f t="shared" si="0"/>
        <v>547106.56000000006</v>
      </c>
      <c r="D12" s="20">
        <f>'DOE25'!L206+'DOE25'!L224+'DOE25'!L242-F12-G12-H12</f>
        <v>545379.28</v>
      </c>
      <c r="E12" s="242"/>
      <c r="F12" s="243"/>
      <c r="G12" s="53">
        <f>'DOE25'!J206+'DOE25'!J224+'DOE25'!J242</f>
        <v>0</v>
      </c>
      <c r="H12" s="53">
        <f>'DOE25'!K206+'DOE25'!K224+'DOE25'!K242</f>
        <v>1727.28</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787180.24000000011</v>
      </c>
      <c r="D14" s="20">
        <f>'DOE25'!L208+'DOE25'!L226+'DOE25'!L244-F14-G14-H14</f>
        <v>766655.40000000014</v>
      </c>
      <c r="E14" s="242"/>
      <c r="F14" s="243">
        <v>16867.75</v>
      </c>
      <c r="G14" s="53">
        <f>'DOE25'!J208+'DOE25'!J226+'DOE25'!J244</f>
        <v>3657.09</v>
      </c>
      <c r="H14" s="53">
        <f>'DOE25'!K208+'DOE25'!K226+'DOE25'!K244</f>
        <v>0</v>
      </c>
      <c r="I14" s="255"/>
    </row>
    <row r="15" spans="1:9" x14ac:dyDescent="0.2">
      <c r="A15" s="32">
        <v>2700</v>
      </c>
      <c r="B15" t="s">
        <v>799</v>
      </c>
      <c r="C15" s="274">
        <f t="shared" si="0"/>
        <v>323949.05</v>
      </c>
      <c r="D15" s="20">
        <f>'DOE25'!L209+'DOE25'!L227+'DOE25'!L245-F15-G15-H15</f>
        <v>78604.140000000014</v>
      </c>
      <c r="E15" s="242"/>
      <c r="F15" s="243">
        <f>(177566.62+85468.29-25000)+(32310-25000)</f>
        <v>245344.90999999997</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194294.94</v>
      </c>
      <c r="D25" s="242"/>
      <c r="E25" s="242"/>
      <c r="F25" s="254"/>
      <c r="G25" s="252"/>
      <c r="H25" s="252"/>
      <c r="I25" s="253">
        <f>'DOE25'!L261+'DOE25'!L262+'DOE25'!L342+'DOE25'!L343</f>
        <v>194294.94</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232470.43</v>
      </c>
      <c r="D29" s="282">
        <f>'DOE25'!L359+'DOE25'!L360+'DOE25'!L361-'DOE25'!I368-F29-G29-H29</f>
        <v>107782</v>
      </c>
      <c r="E29" s="242"/>
      <c r="F29" s="243">
        <v>123777</v>
      </c>
      <c r="G29" s="53">
        <f>'DOE25'!J359+'DOE25'!J360+'DOE25'!J361</f>
        <v>0</v>
      </c>
      <c r="H29" s="53">
        <f>'DOE25'!K359+'DOE25'!K360+'DOE25'!K361</f>
        <v>911.43</v>
      </c>
      <c r="I29" s="255"/>
    </row>
    <row r="30" spans="1:9" x14ac:dyDescent="0.2">
      <c r="A30" s="32"/>
      <c r="C30" s="275"/>
      <c r="D30" s="20"/>
      <c r="E30" s="279"/>
      <c r="F30" s="269"/>
      <c r="G30" s="53"/>
      <c r="H30" s="53"/>
      <c r="I30" s="255"/>
    </row>
    <row r="31" spans="1:9" x14ac:dyDescent="0.2">
      <c r="A31" s="32" t="s">
        <v>818</v>
      </c>
      <c r="B31" t="s">
        <v>817</v>
      </c>
      <c r="C31" s="274">
        <f>SUM(D31:I31)</f>
        <v>303124.89999999997</v>
      </c>
      <c r="D31" s="20">
        <f>'DOE25'!L291+'DOE25'!L310+'DOE25'!L329+'DOE25'!L334+'DOE25'!L335+'DOE25'!L336-F31-G31-H31</f>
        <v>240735.44999999998</v>
      </c>
      <c r="E31" s="242"/>
      <c r="F31" s="243">
        <f>60828.91-25000</f>
        <v>35828.910000000003</v>
      </c>
      <c r="G31" s="53">
        <f>'DOE25'!J291+'DOE25'!J310+'DOE25'!J329+'DOE25'!J334+'DOE25'!J335+'DOE25'!J336</f>
        <v>12908.25</v>
      </c>
      <c r="H31" s="53">
        <f>'DOE25'!K291+'DOE25'!K310+'DOE25'!K329+'DOE25'!K334+'DOE25'!K335+'DOE25'!K336</f>
        <v>13652.29</v>
      </c>
      <c r="I31" s="255"/>
    </row>
    <row r="32" spans="1:9" ht="12" thickBot="1" x14ac:dyDescent="0.25">
      <c r="C32" s="275"/>
      <c r="G32" s="250"/>
      <c r="H32" s="250"/>
      <c r="I32" s="257"/>
    </row>
    <row r="33" spans="1:9" ht="12" thickTop="1" x14ac:dyDescent="0.2">
      <c r="B33" t="s">
        <v>809</v>
      </c>
      <c r="D33" s="244">
        <f t="shared" ref="D33:I33" si="1">SUM(D5:D31)</f>
        <v>7618702.6000000006</v>
      </c>
      <c r="E33" s="244">
        <f t="shared" si="1"/>
        <v>13565.990000000049</v>
      </c>
      <c r="F33" s="244">
        <f t="shared" si="1"/>
        <v>618340.87</v>
      </c>
      <c r="G33" s="244">
        <f t="shared" si="1"/>
        <v>138345.07</v>
      </c>
      <c r="H33" s="244">
        <f t="shared" si="1"/>
        <v>95455.53</v>
      </c>
      <c r="I33" s="244">
        <f t="shared" si="1"/>
        <v>194294.94</v>
      </c>
    </row>
    <row r="35" spans="1:9" ht="12" thickBot="1" x14ac:dyDescent="0.25">
      <c r="B35" s="250" t="s">
        <v>831</v>
      </c>
      <c r="D35" s="251">
        <f>E33</f>
        <v>13565.990000000049</v>
      </c>
      <c r="E35" s="247"/>
      <c r="F35" s="328" t="s">
        <v>1617</v>
      </c>
      <c r="G35" s="329"/>
      <c r="H35" s="329"/>
      <c r="I35" s="329"/>
    </row>
    <row r="36" spans="1:9" ht="12" thickTop="1" x14ac:dyDescent="0.2">
      <c r="B36" t="s">
        <v>810</v>
      </c>
      <c r="D36" s="20">
        <f>D33</f>
        <v>7618702.6000000006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Henniker</v>
      </c>
      <c r="B2" s="126">
        <f>'DOE25'!B2</f>
        <v>245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8240939.6300000008</v>
      </c>
      <c r="G4" s="299">
        <f>'DOE25'!L212+'DOE25'!L291</f>
        <v>8240939.6299999999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Henniker Community School</v>
      </c>
      <c r="B6" s="300">
        <f>IFERROR(VLOOKUP(A6,'School Tables'!$C$3:$D$365,2,FALSE),"")</f>
        <v>20935</v>
      </c>
      <c r="C6" s="293" t="str">
        <f>IFERROR(INDEX('School Tables'!$B$3:$B$365,MATCH('School Level Expenditures'!B6,'School Tables'!$D$3:$D$365,0)),"")</f>
        <v>Henniker</v>
      </c>
      <c r="D6" s="290">
        <v>7937814.7300000004</v>
      </c>
      <c r="E6" s="290">
        <v>303124.90000000002</v>
      </c>
      <c r="F6" s="303">
        <f t="shared" ref="F6:F20" si="0">D6+E6</f>
        <v>8240939.6300000008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7937814.7300000004</v>
      </c>
      <c r="E21" s="338">
        <f>SUM(E5:E20)</f>
        <v>303124.90000000002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Henniker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688306.61</v>
      </c>
      <c r="D8" s="95">
        <f>'DOE25'!G9</f>
        <v>17889.18</v>
      </c>
      <c r="E8" s="95">
        <f>'DOE25'!H9</f>
        <v>-20373.37</v>
      </c>
      <c r="F8" s="95">
        <f>'DOE25'!I9</f>
        <v>0</v>
      </c>
      <c r="G8" s="95">
        <f>'DOE25'!J9</f>
        <v>346447.1</v>
      </c>
      <c r="H8" s="124">
        <f>SUM(C8:G8)</f>
        <v>1032269.52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12810.23</v>
      </c>
      <c r="D12" s="95">
        <f>'DOE25'!G13</f>
        <v>93945.81</v>
      </c>
      <c r="E12" s="95">
        <f>'DOE25'!H13</f>
        <v>142798.01999999999</v>
      </c>
      <c r="F12" s="95">
        <f>'DOE25'!I13</f>
        <v>0</v>
      </c>
      <c r="G12" s="95">
        <f>'DOE25'!J13</f>
        <v>0</v>
      </c>
      <c r="H12" s="124">
        <f t="shared" si="0"/>
        <v>249554.06</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701116.84</v>
      </c>
      <c r="D18" s="41">
        <f>SUM(D8:D17)</f>
        <v>111834.98999999999</v>
      </c>
      <c r="E18" s="41">
        <f>SUM(E8:E17)</f>
        <v>122424.65</v>
      </c>
      <c r="F18" s="41">
        <f>SUM(F8:F17)</f>
        <v>0</v>
      </c>
      <c r="G18" s="41">
        <f>SUM(G8:G17)</f>
        <v>346447.1</v>
      </c>
      <c r="H18" s="41">
        <f t="shared" si="0"/>
        <v>1281823.58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-549.04</v>
      </c>
      <c r="D21" s="95">
        <f>'DOE25'!G22</f>
        <v>-105056.6</v>
      </c>
      <c r="E21" s="95">
        <f>'DOE25'!H22</f>
        <v>105605.64</v>
      </c>
      <c r="F21" s="95">
        <f>'DOE25'!I22</f>
        <v>0</v>
      </c>
      <c r="G21" s="95">
        <f>'DOE25'!J22</f>
        <v>0</v>
      </c>
      <c r="H21" s="124">
        <f t="shared" ref="H21:H31" si="1">SUM(C21:G21)</f>
        <v>0</v>
      </c>
      <c r="I21" s="124"/>
    </row>
    <row r="22" spans="1:9" x14ac:dyDescent="0.2">
      <c r="A22" s="1" t="s">
        <v>151</v>
      </c>
      <c r="B22" s="6">
        <v>410</v>
      </c>
      <c r="C22" s="95">
        <f>'DOE25'!F23</f>
        <v>2881.69</v>
      </c>
      <c r="D22" s="95">
        <f>'DOE25'!G23</f>
        <v>0</v>
      </c>
      <c r="E22" s="95">
        <f>'DOE25'!H23</f>
        <v>4055.47</v>
      </c>
      <c r="F22" s="95">
        <f>'DOE25'!I23</f>
        <v>0</v>
      </c>
      <c r="G22" s="95">
        <f>'DOE25'!J23</f>
        <v>0</v>
      </c>
      <c r="H22" s="124">
        <f t="shared" si="1"/>
        <v>6937.16</v>
      </c>
      <c r="I22" s="124"/>
    </row>
    <row r="23" spans="1:9" x14ac:dyDescent="0.2">
      <c r="A23" s="1" t="s">
        <v>152</v>
      </c>
      <c r="B23" s="6">
        <v>420</v>
      </c>
      <c r="C23" s="95">
        <f>'DOE25'!F24</f>
        <v>15913.72</v>
      </c>
      <c r="D23" s="95">
        <f>'DOE25'!G24</f>
        <v>60490.75</v>
      </c>
      <c r="E23" s="95">
        <f>'DOE25'!H24</f>
        <v>12226.8</v>
      </c>
      <c r="F23" s="95">
        <f>'DOE25'!I24</f>
        <v>0</v>
      </c>
      <c r="G23" s="95">
        <f>'DOE25'!J24</f>
        <v>0</v>
      </c>
      <c r="H23" s="124">
        <f t="shared" si="1"/>
        <v>88631.27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10106.870000000001</v>
      </c>
      <c r="D27" s="95">
        <f>'DOE25'!G28</f>
        <v>0</v>
      </c>
      <c r="E27" s="95">
        <f>'DOE25'!H28</f>
        <v>0</v>
      </c>
      <c r="F27" s="95">
        <f>'DOE25'!I28</f>
        <v>0</v>
      </c>
      <c r="G27" s="24" t="s">
        <v>288</v>
      </c>
      <c r="H27" s="124">
        <f t="shared" si="1"/>
        <v>10106.870000000001</v>
      </c>
      <c r="I27" s="124"/>
    </row>
    <row r="28" spans="1:9" x14ac:dyDescent="0.2">
      <c r="A28" s="1" t="s">
        <v>157</v>
      </c>
      <c r="B28" s="6">
        <v>470</v>
      </c>
      <c r="C28" s="95">
        <f>'DOE25'!F29</f>
        <v>11843.46</v>
      </c>
      <c r="D28" s="95">
        <f>'DOE25'!G29</f>
        <v>0</v>
      </c>
      <c r="E28" s="95">
        <f>'DOE25'!H29</f>
        <v>0</v>
      </c>
      <c r="F28" s="95">
        <f>'DOE25'!I29</f>
        <v>0</v>
      </c>
      <c r="G28" s="24" t="s">
        <v>288</v>
      </c>
      <c r="H28" s="124">
        <f t="shared" si="1"/>
        <v>11843.46</v>
      </c>
      <c r="I28" s="124"/>
    </row>
    <row r="29" spans="1:9" x14ac:dyDescent="0.2">
      <c r="A29" s="1" t="s">
        <v>158</v>
      </c>
      <c r="B29" s="6">
        <v>480</v>
      </c>
      <c r="C29" s="95">
        <f>'DOE25'!F30</f>
        <v>0</v>
      </c>
      <c r="D29" s="95">
        <f>'DOE25'!G30</f>
        <v>13572.74</v>
      </c>
      <c r="E29" s="95">
        <f>'DOE25'!H30</f>
        <v>446.66</v>
      </c>
      <c r="F29" s="95">
        <f>'DOE25'!I30</f>
        <v>0</v>
      </c>
      <c r="G29" s="24" t="s">
        <v>288</v>
      </c>
      <c r="H29" s="124">
        <f t="shared" si="1"/>
        <v>14019.4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40196.699999999997</v>
      </c>
      <c r="D31" s="41">
        <f>SUM(D21:D30)</f>
        <v>-30993.110000000008</v>
      </c>
      <c r="E31" s="41">
        <f>SUM(E21:E30)</f>
        <v>122334.57</v>
      </c>
      <c r="F31" s="41">
        <f>SUM(F21:F30)</f>
        <v>0</v>
      </c>
      <c r="G31" s="41">
        <f>SUM(G21:G30)</f>
        <v>0</v>
      </c>
      <c r="H31" s="41">
        <f t="shared" si="1"/>
        <v>131538.16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32983.71</v>
      </c>
      <c r="D44" s="95">
        <f>'DOE25'!G45</f>
        <v>62331.11</v>
      </c>
      <c r="E44" s="95">
        <f>'DOE25'!H45</f>
        <v>0</v>
      </c>
      <c r="F44" s="95">
        <f>'DOE25'!I45</f>
        <v>0</v>
      </c>
      <c r="G44" s="95">
        <f>'DOE25'!J45</f>
        <v>0</v>
      </c>
      <c r="H44" s="124">
        <f t="shared" si="2"/>
        <v>95314.82</v>
      </c>
      <c r="I44" s="124"/>
    </row>
    <row r="45" spans="1:9" x14ac:dyDescent="0.2">
      <c r="A45" s="1" t="s">
        <v>880</v>
      </c>
      <c r="B45" s="6"/>
      <c r="C45" s="95">
        <f>'DOE25'!F46</f>
        <v>308471.02</v>
      </c>
      <c r="D45" s="24" t="s">
        <v>288</v>
      </c>
      <c r="E45" s="24" t="s">
        <v>288</v>
      </c>
      <c r="F45" s="24" t="s">
        <v>288</v>
      </c>
      <c r="G45" s="24" t="s">
        <v>288</v>
      </c>
      <c r="H45" s="124">
        <f t="shared" si="2"/>
        <v>308471.02</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80496.990000000005</v>
      </c>
      <c r="E47" s="95">
        <f>'DOE25'!H48</f>
        <v>90.08</v>
      </c>
      <c r="F47" s="95">
        <f>'DOE25'!I48</f>
        <v>0</v>
      </c>
      <c r="G47" s="95">
        <f>'DOE25'!J48</f>
        <v>346447.1</v>
      </c>
      <c r="H47" s="124">
        <f t="shared" si="2"/>
        <v>427034.17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319465.40999999997</v>
      </c>
      <c r="D49" s="24" t="s">
        <v>288</v>
      </c>
      <c r="E49" s="24" t="s">
        <v>288</v>
      </c>
      <c r="F49" s="24" t="s">
        <v>288</v>
      </c>
      <c r="G49" s="24" t="s">
        <v>288</v>
      </c>
      <c r="H49" s="124">
        <f t="shared" si="2"/>
        <v>319465.40999999997</v>
      </c>
      <c r="I49" s="124"/>
    </row>
    <row r="50" spans="1:9" ht="12.75" thickTop="1" thickBot="1" x14ac:dyDescent="0.25">
      <c r="A50" s="38" t="s">
        <v>884</v>
      </c>
      <c r="B50" s="48"/>
      <c r="C50" s="41">
        <f>SUM(C34:C49)</f>
        <v>660920.14</v>
      </c>
      <c r="D50" s="41">
        <f>SUM(D34:D49)</f>
        <v>142828.1</v>
      </c>
      <c r="E50" s="41">
        <f>SUM(E34:E49)</f>
        <v>90.08</v>
      </c>
      <c r="F50" s="41">
        <f>SUM(F34:F49)</f>
        <v>0</v>
      </c>
      <c r="G50" s="41">
        <f>SUM(G34:G49)</f>
        <v>346447.1</v>
      </c>
      <c r="H50" s="41">
        <f t="shared" si="2"/>
        <v>1150285.42</v>
      </c>
      <c r="I50" s="124"/>
    </row>
    <row r="51" spans="1:9" ht="12" thickTop="1" x14ac:dyDescent="0.2">
      <c r="A51" s="38" t="s">
        <v>885</v>
      </c>
      <c r="B51" s="2"/>
      <c r="C51" s="41">
        <f>C50+C31</f>
        <v>701116.84</v>
      </c>
      <c r="D51" s="41">
        <f>D50+D31</f>
        <v>111834.98999999999</v>
      </c>
      <c r="E51" s="41">
        <f>E50+E31</f>
        <v>122424.65000000001</v>
      </c>
      <c r="F51" s="41">
        <f>F50+F31</f>
        <v>0</v>
      </c>
      <c r="G51" s="41">
        <f>G50+G31</f>
        <v>346447.1</v>
      </c>
      <c r="H51" s="41">
        <f t="shared" si="2"/>
        <v>1281823.58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5527091</v>
      </c>
      <c r="D56" s="95">
        <f>'DOE25'!G60</f>
        <v>0</v>
      </c>
      <c r="E56" s="95">
        <f>'DOE25'!H60</f>
        <v>0</v>
      </c>
      <c r="F56" s="95">
        <f>'DOE25'!I60</f>
        <v>0</v>
      </c>
      <c r="G56" s="95">
        <f>'DOE25'!J60</f>
        <v>0</v>
      </c>
      <c r="H56" s="124">
        <f t="shared" ref="H56:H63" si="3">SUM(C56:G56)</f>
        <v>5527091</v>
      </c>
      <c r="I56"/>
    </row>
    <row r="57" spans="1:9" x14ac:dyDescent="0.2">
      <c r="A57" s="1" t="s">
        <v>164</v>
      </c>
      <c r="B57" s="6" t="s">
        <v>165</v>
      </c>
      <c r="C57" s="95">
        <f>'DOE25'!F79</f>
        <v>19200</v>
      </c>
      <c r="D57" s="24" t="s">
        <v>288</v>
      </c>
      <c r="E57" s="95">
        <f>'DOE25'!H79</f>
        <v>0</v>
      </c>
      <c r="F57" s="24" t="s">
        <v>288</v>
      </c>
      <c r="G57" s="24" t="s">
        <v>288</v>
      </c>
      <c r="H57" s="124">
        <f t="shared" si="3"/>
        <v>19200</v>
      </c>
      <c r="I57"/>
    </row>
    <row r="58" spans="1:9" x14ac:dyDescent="0.2">
      <c r="A58" s="1" t="s">
        <v>166</v>
      </c>
      <c r="B58" s="6" t="s">
        <v>167</v>
      </c>
      <c r="C58" s="95">
        <f>'DOE25'!F94</f>
        <v>50457</v>
      </c>
      <c r="D58" s="24" t="s">
        <v>288</v>
      </c>
      <c r="E58" s="95">
        <f>'DOE25'!H94</f>
        <v>0</v>
      </c>
      <c r="F58" s="24" t="s">
        <v>288</v>
      </c>
      <c r="G58" s="24" t="s">
        <v>288</v>
      </c>
      <c r="H58" s="124">
        <f t="shared" si="3"/>
        <v>50457</v>
      </c>
      <c r="I58"/>
    </row>
    <row r="59" spans="1:9" x14ac:dyDescent="0.2">
      <c r="A59" s="69" t="s">
        <v>168</v>
      </c>
      <c r="B59" s="37" t="s">
        <v>169</v>
      </c>
      <c r="C59" s="95">
        <f>'DOE25'!F96</f>
        <v>1704.49</v>
      </c>
      <c r="D59" s="95">
        <f>'DOE25'!G96</f>
        <v>0</v>
      </c>
      <c r="E59" s="95">
        <f>'DOE25'!H96</f>
        <v>0</v>
      </c>
      <c r="F59" s="95">
        <f>'DOE25'!I96</f>
        <v>0</v>
      </c>
      <c r="G59" s="95">
        <f>'DOE25'!J96</f>
        <v>334.02</v>
      </c>
      <c r="H59" s="124">
        <f t="shared" si="3"/>
        <v>2038.51</v>
      </c>
      <c r="I59"/>
    </row>
    <row r="60" spans="1:9" x14ac:dyDescent="0.2">
      <c r="A60" s="1" t="s">
        <v>170</v>
      </c>
      <c r="B60" s="118" t="s">
        <v>171</v>
      </c>
      <c r="C60" s="24" t="s">
        <v>288</v>
      </c>
      <c r="D60" s="95">
        <f>'DOE25'!G97</f>
        <v>3729.49</v>
      </c>
      <c r="E60" s="24" t="s">
        <v>288</v>
      </c>
      <c r="F60" s="24" t="s">
        <v>288</v>
      </c>
      <c r="G60" s="24" t="s">
        <v>288</v>
      </c>
      <c r="H60" s="124">
        <f t="shared" si="3"/>
        <v>3729.49</v>
      </c>
      <c r="I60"/>
    </row>
    <row r="61" spans="1:9" ht="12" thickBot="1" x14ac:dyDescent="0.25">
      <c r="A61" s="1" t="s">
        <v>172</v>
      </c>
      <c r="B61" s="118" t="s">
        <v>173</v>
      </c>
      <c r="C61" s="95">
        <f>SUM('DOE25'!F98:F110)</f>
        <v>80850.539999999994</v>
      </c>
      <c r="D61" s="95">
        <f>SUM('DOE25'!G98:G110)</f>
        <v>0</v>
      </c>
      <c r="E61" s="95">
        <f>SUM('DOE25'!H98:H110)</f>
        <v>7169.68</v>
      </c>
      <c r="F61" s="95">
        <f>SUM('DOE25'!I98:I110)</f>
        <v>0</v>
      </c>
      <c r="G61" s="95">
        <f>SUM('DOE25'!J98:J110)</f>
        <v>0</v>
      </c>
      <c r="H61" s="124">
        <f t="shared" si="3"/>
        <v>88020.22</v>
      </c>
      <c r="I61"/>
    </row>
    <row r="62" spans="1:9" ht="12.75" thickTop="1" thickBot="1" x14ac:dyDescent="0.25">
      <c r="A62" s="29" t="s">
        <v>174</v>
      </c>
      <c r="B62" s="6"/>
      <c r="C62" s="130">
        <f>SUM(C57:C61)</f>
        <v>152212.03</v>
      </c>
      <c r="D62" s="130">
        <f>SUM(D57:D61)</f>
        <v>3729.49</v>
      </c>
      <c r="E62" s="130">
        <f>SUM(E57:E61)</f>
        <v>7169.68</v>
      </c>
      <c r="F62" s="130">
        <f>SUM(F57:F61)</f>
        <v>0</v>
      </c>
      <c r="G62" s="130">
        <f>SUM(G57:G61)</f>
        <v>334.02</v>
      </c>
      <c r="H62" s="124">
        <f t="shared" si="3"/>
        <v>163445.21999999997</v>
      </c>
      <c r="I62"/>
    </row>
    <row r="63" spans="1:9" ht="12" thickTop="1" x14ac:dyDescent="0.2">
      <c r="A63" s="29" t="s">
        <v>175</v>
      </c>
      <c r="B63" s="6"/>
      <c r="C63" s="22">
        <f>C56+C62</f>
        <v>5679303.0300000003</v>
      </c>
      <c r="D63" s="22">
        <f>D56+D62</f>
        <v>3729.49</v>
      </c>
      <c r="E63" s="22">
        <f>E56+E62</f>
        <v>7169.68</v>
      </c>
      <c r="F63" s="22">
        <f>F56+F62</f>
        <v>0</v>
      </c>
      <c r="G63" s="22">
        <f>G56+G62</f>
        <v>334.02</v>
      </c>
      <c r="H63" s="124">
        <f t="shared" si="3"/>
        <v>5690536.2199999997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1870289.54</v>
      </c>
      <c r="D66" s="24" t="s">
        <v>288</v>
      </c>
      <c r="E66" s="24" t="s">
        <v>288</v>
      </c>
      <c r="F66" s="24" t="s">
        <v>288</v>
      </c>
      <c r="G66" s="24" t="s">
        <v>288</v>
      </c>
      <c r="H66" s="124">
        <f t="shared" ref="H66:H81" si="4">SUM(C66:G66)</f>
        <v>1870289.54</v>
      </c>
      <c r="I66"/>
    </row>
    <row r="67" spans="1:9" x14ac:dyDescent="0.2">
      <c r="A67" s="1" t="s">
        <v>770</v>
      </c>
      <c r="B67" s="6">
        <v>3112</v>
      </c>
      <c r="C67" s="95">
        <f>'DOE25'!F118</f>
        <v>642329</v>
      </c>
      <c r="D67" s="24"/>
      <c r="E67" s="24"/>
      <c r="F67" s="24"/>
      <c r="G67" s="24"/>
      <c r="H67" s="124">
        <f t="shared" si="4"/>
        <v>642329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2512618.54</v>
      </c>
      <c r="D70" s="139">
        <f>D69</f>
        <v>0</v>
      </c>
      <c r="E70" s="139">
        <f>E69</f>
        <v>0</v>
      </c>
      <c r="F70" s="139">
        <f>F69</f>
        <v>0</v>
      </c>
      <c r="G70" s="139">
        <f>G69</f>
        <v>0</v>
      </c>
      <c r="H70" s="124">
        <f t="shared" si="4"/>
        <v>2512618.54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56393.5</v>
      </c>
      <c r="D75" s="24" t="s">
        <v>288</v>
      </c>
      <c r="E75" s="24" t="s">
        <v>288</v>
      </c>
      <c r="F75" s="24" t="s">
        <v>288</v>
      </c>
      <c r="G75" s="24" t="s">
        <v>288</v>
      </c>
      <c r="H75" s="124">
        <f t="shared" si="4"/>
        <v>56393.5</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4925.43</v>
      </c>
      <c r="E77" s="95">
        <f>SUM('DOE25'!H131:H135)</f>
        <v>0</v>
      </c>
      <c r="F77" s="95">
        <f>SUM('DOE25'!I131:I135)</f>
        <v>0</v>
      </c>
      <c r="G77" s="95">
        <f>SUM('DOE25'!J131:J135)</f>
        <v>0</v>
      </c>
      <c r="H77" s="124">
        <f t="shared" si="4"/>
        <v>4925.43</v>
      </c>
      <c r="I77"/>
    </row>
    <row r="78" spans="1:9" ht="12.75" thickTop="1" thickBot="1" x14ac:dyDescent="0.25">
      <c r="A78" s="29" t="s">
        <v>259</v>
      </c>
      <c r="B78" s="6"/>
      <c r="C78" s="130">
        <f>SUM(C72:C77)</f>
        <v>56393.5</v>
      </c>
      <c r="D78" s="130">
        <f>SUM(D72:D77)</f>
        <v>4925.43</v>
      </c>
      <c r="E78" s="130">
        <f>SUM(E72:E77)</f>
        <v>0</v>
      </c>
      <c r="F78" s="130">
        <f>SUM(F72:F77)</f>
        <v>0</v>
      </c>
      <c r="G78" s="130">
        <f>SUM(G72:G77)</f>
        <v>0</v>
      </c>
      <c r="H78" s="124">
        <f t="shared" si="4"/>
        <v>61318.93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2569012.04</v>
      </c>
      <c r="D81" s="130">
        <f>SUM(D79:D80)+D78+D70</f>
        <v>4925.43</v>
      </c>
      <c r="E81" s="130">
        <f>SUM(E79:E80)+E78+E70</f>
        <v>0</v>
      </c>
      <c r="F81" s="130">
        <f>SUM(F79:F80)+F78+F70</f>
        <v>0</v>
      </c>
      <c r="G81" s="130">
        <f>SUM(G79:G80)+G78+G70</f>
        <v>0</v>
      </c>
      <c r="H81" s="130">
        <f t="shared" si="4"/>
        <v>2573937.4700000002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21327.31</v>
      </c>
      <c r="F85" s="95">
        <f>'DOE25'!I147</f>
        <v>0</v>
      </c>
      <c r="G85" s="24" t="s">
        <v>288</v>
      </c>
      <c r="H85" s="124">
        <f t="shared" ref="H85:H104" si="5">SUM(C85:G85)</f>
        <v>21327.31</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25146.91</v>
      </c>
      <c r="D88" s="326">
        <f>SUM('DOE25'!G153:G162)</f>
        <v>307678.06</v>
      </c>
      <c r="E88" s="326">
        <f>SUM('DOE25'!H153:H162)</f>
        <v>274627.90999999997</v>
      </c>
      <c r="F88" s="326">
        <f>SUM('DOE25'!I153:I162)</f>
        <v>0</v>
      </c>
      <c r="G88" s="24" t="s">
        <v>288</v>
      </c>
      <c r="H88" s="124">
        <f t="shared" si="5"/>
        <v>607452.87999999989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25146.91</v>
      </c>
      <c r="D91" s="131">
        <f>SUM(D85:D90)</f>
        <v>307678.06</v>
      </c>
      <c r="E91" s="131">
        <f>SUM(E85:E90)</f>
        <v>295955.21999999997</v>
      </c>
      <c r="F91" s="131">
        <f>SUM(F85:F90)</f>
        <v>0</v>
      </c>
      <c r="G91" s="24" t="s">
        <v>288</v>
      </c>
      <c r="H91" s="124">
        <f t="shared" si="5"/>
        <v>628780.18999999994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8273461.9800000004</v>
      </c>
      <c r="D104" s="86">
        <f>D63+D81+D91+D103</f>
        <v>316332.98</v>
      </c>
      <c r="E104" s="86">
        <f>E63+E81+E91+E103</f>
        <v>303124.89999999997</v>
      </c>
      <c r="F104" s="86">
        <f>F63+F81+F91+F103</f>
        <v>0</v>
      </c>
      <c r="G104" s="86">
        <f>G63+G81+G103</f>
        <v>334.02</v>
      </c>
      <c r="H104" s="86">
        <f t="shared" si="5"/>
        <v>8893253.8800000008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3497713.12</v>
      </c>
      <c r="D109" s="24" t="s">
        <v>288</v>
      </c>
      <c r="E109" s="95">
        <f>('DOE25'!L277)+('DOE25'!L296)+('DOE25'!L315)</f>
        <v>132645.15999999997</v>
      </c>
      <c r="F109" s="24" t="s">
        <v>288</v>
      </c>
      <c r="G109" s="24" t="s">
        <v>288</v>
      </c>
      <c r="H109" s="124">
        <f t="shared" ref="H109:H115" si="6">SUM(C109:G109)</f>
        <v>3630358.2800000003</v>
      </c>
    </row>
    <row r="110" spans="1:8" x14ac:dyDescent="0.2">
      <c r="A110" t="s">
        <v>198</v>
      </c>
      <c r="B110" s="32" t="s">
        <v>199</v>
      </c>
      <c r="C110" s="95">
        <f>('DOE25'!L199)+('DOE25'!L217)+('DOE25'!L235)</f>
        <v>1413244.18</v>
      </c>
      <c r="D110" s="24" t="s">
        <v>288</v>
      </c>
      <c r="E110" s="95">
        <f>('DOE25'!L278)+('DOE25'!L297)+('DOE25'!L316)</f>
        <v>77154.200000000012</v>
      </c>
      <c r="F110" s="24" t="s">
        <v>288</v>
      </c>
      <c r="G110" s="24" t="s">
        <v>288</v>
      </c>
      <c r="H110" s="124">
        <f t="shared" si="6"/>
        <v>1490398.38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31559.360000000001</v>
      </c>
      <c r="D112" s="24" t="s">
        <v>288</v>
      </c>
      <c r="E112" s="95">
        <f>+('DOE25'!L280)+('DOE25'!L299)+('DOE25'!L318)</f>
        <v>0</v>
      </c>
      <c r="F112" s="24" t="s">
        <v>288</v>
      </c>
      <c r="G112" s="24" t="s">
        <v>288</v>
      </c>
      <c r="H112" s="124">
        <f t="shared" si="6"/>
        <v>31559.360000000001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4942516.66</v>
      </c>
      <c r="D115" s="86">
        <f>SUM(D109:D114)</f>
        <v>0</v>
      </c>
      <c r="E115" s="86">
        <f>SUM(E109:E114)</f>
        <v>209799.36</v>
      </c>
      <c r="F115" s="86">
        <f>SUM(F109:F114)</f>
        <v>0</v>
      </c>
      <c r="G115" s="86">
        <f>SUM(G109:G114)</f>
        <v>0</v>
      </c>
      <c r="H115" s="86">
        <f t="shared" si="6"/>
        <v>5152316.0200000005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600782.02</v>
      </c>
      <c r="D118" s="24" t="s">
        <v>288</v>
      </c>
      <c r="E118" s="95">
        <f>+('DOE25'!L282)+('DOE25'!L301)+('DOE25'!L320)</f>
        <v>0</v>
      </c>
      <c r="F118" s="24" t="s">
        <v>288</v>
      </c>
      <c r="G118" s="24" t="s">
        <v>288</v>
      </c>
      <c r="H118" s="124">
        <f t="shared" ref="H118:H145" si="7">SUM(C118:G118)</f>
        <v>600782.02</v>
      </c>
    </row>
    <row r="119" spans="1:8" x14ac:dyDescent="0.2">
      <c r="A119" t="s">
        <v>208</v>
      </c>
      <c r="B119" s="32" t="s">
        <v>209</v>
      </c>
      <c r="C119" s="95">
        <f>('DOE25'!L204)+('DOE25'!L222)+('DOE25'!L240)</f>
        <v>372083.43999999994</v>
      </c>
      <c r="D119" s="24" t="s">
        <v>288</v>
      </c>
      <c r="E119" s="95">
        <f>+('DOE25'!L283)+('DOE25'!L302)+('DOE25'!L321)</f>
        <v>54566.31</v>
      </c>
      <c r="F119" s="24" t="s">
        <v>288</v>
      </c>
      <c r="G119" s="24" t="s">
        <v>288</v>
      </c>
      <c r="H119" s="124">
        <f t="shared" si="7"/>
        <v>426649.74999999994</v>
      </c>
    </row>
    <row r="120" spans="1:8" x14ac:dyDescent="0.2">
      <c r="A120" t="s">
        <v>210</v>
      </c>
      <c r="B120" s="32" t="s">
        <v>211</v>
      </c>
      <c r="C120" s="95">
        <f>('DOE25'!L205)+('DOE25'!L223)+('DOE25'!L241)</f>
        <v>364196.76</v>
      </c>
      <c r="D120" s="24" t="s">
        <v>288</v>
      </c>
      <c r="E120" s="95">
        <f>+('DOE25'!L284)+('DOE25'!L303)+('DOE25'!L322)</f>
        <v>9148.61</v>
      </c>
      <c r="F120" s="24" t="s">
        <v>288</v>
      </c>
      <c r="G120" s="24" t="s">
        <v>288</v>
      </c>
      <c r="H120" s="124">
        <f t="shared" si="7"/>
        <v>373345.37</v>
      </c>
    </row>
    <row r="121" spans="1:8" x14ac:dyDescent="0.2">
      <c r="A121" t="s">
        <v>212</v>
      </c>
      <c r="B121" s="32" t="s">
        <v>213</v>
      </c>
      <c r="C121" s="95">
        <f>('DOE25'!L206)+('DOE25'!L224)+('DOE25'!L242)</f>
        <v>547106.56000000006</v>
      </c>
      <c r="D121" s="24" t="s">
        <v>288</v>
      </c>
      <c r="E121" s="95">
        <f>+('DOE25'!L285)+('DOE25'!L304)+('DOE25'!L323)</f>
        <v>0</v>
      </c>
      <c r="F121" s="24" t="s">
        <v>288</v>
      </c>
      <c r="G121" s="24" t="s">
        <v>288</v>
      </c>
      <c r="H121" s="124">
        <f t="shared" si="7"/>
        <v>547106.56000000006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787180.24000000011</v>
      </c>
      <c r="D123" s="24" t="s">
        <v>288</v>
      </c>
      <c r="E123" s="95">
        <f>+('DOE25'!L287)+('DOE25'!L306)+('DOE25'!L325)</f>
        <v>7169.68</v>
      </c>
      <c r="F123" s="24" t="s">
        <v>288</v>
      </c>
      <c r="G123" s="24" t="s">
        <v>288</v>
      </c>
      <c r="H123" s="124">
        <f t="shared" si="7"/>
        <v>794349.92000000016</v>
      </c>
    </row>
    <row r="124" spans="1:8" x14ac:dyDescent="0.2">
      <c r="A124" t="s">
        <v>218</v>
      </c>
      <c r="B124" s="32" t="s">
        <v>219</v>
      </c>
      <c r="C124" s="95">
        <f>('DOE25'!L209)+('DOE25'!L227)+('DOE25'!L245+'DOE25'!L255)</f>
        <v>323949.05</v>
      </c>
      <c r="D124" s="24" t="s">
        <v>288</v>
      </c>
      <c r="E124" s="95">
        <f>+('DOE25'!L288)+('DOE25'!L307)+('DOE25'!L326)</f>
        <v>22440.94</v>
      </c>
      <c r="F124" s="24" t="s">
        <v>288</v>
      </c>
      <c r="G124" s="24" t="s">
        <v>288</v>
      </c>
      <c r="H124" s="124">
        <f t="shared" si="7"/>
        <v>346389.99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232470.43</v>
      </c>
      <c r="E127" s="24" t="s">
        <v>288</v>
      </c>
      <c r="F127" s="24" t="s">
        <v>288</v>
      </c>
      <c r="G127" s="24" t="s">
        <v>288</v>
      </c>
      <c r="H127" s="124">
        <f t="shared" si="7"/>
        <v>232470.43</v>
      </c>
    </row>
    <row r="128" spans="1:8" ht="12.75" thickTop="1" thickBot="1" x14ac:dyDescent="0.25">
      <c r="A128" s="33" t="s">
        <v>226</v>
      </c>
      <c r="C128" s="86">
        <f>SUM(C118:C127)</f>
        <v>2995298.07</v>
      </c>
      <c r="D128" s="86">
        <f>SUM(D118:D127)</f>
        <v>232470.43</v>
      </c>
      <c r="E128" s="86">
        <f>SUM(E118:E127)</f>
        <v>93325.540000000008</v>
      </c>
      <c r="F128" s="86">
        <f>SUM(F118:F127)</f>
        <v>0</v>
      </c>
      <c r="G128" s="86">
        <f>SUM(G118:G127)</f>
        <v>0</v>
      </c>
      <c r="H128" s="86">
        <f t="shared" si="7"/>
        <v>3321094.04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124892.29</v>
      </c>
      <c r="D131" s="24" t="s">
        <v>288</v>
      </c>
      <c r="E131" s="129">
        <f>'DOE25'!L342</f>
        <v>0</v>
      </c>
      <c r="F131" s="24" t="s">
        <v>288</v>
      </c>
      <c r="G131" s="24" t="s">
        <v>288</v>
      </c>
      <c r="H131" s="124">
        <f t="shared" si="7"/>
        <v>124892.29</v>
      </c>
    </row>
    <row r="132" spans="1:8" x14ac:dyDescent="0.2">
      <c r="A132" t="s">
        <v>230</v>
      </c>
      <c r="B132" s="32">
        <v>5120</v>
      </c>
      <c r="C132" s="95">
        <f>'DOE25'!L262</f>
        <v>69402.649999999994</v>
      </c>
      <c r="D132" s="24" t="s">
        <v>288</v>
      </c>
      <c r="E132" s="129">
        <f>'DOE25'!L343</f>
        <v>0</v>
      </c>
      <c r="F132" s="24" t="s">
        <v>288</v>
      </c>
      <c r="G132" s="24" t="s">
        <v>288</v>
      </c>
      <c r="H132" s="124">
        <f t="shared" si="7"/>
        <v>69402.649999999994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334.02</v>
      </c>
      <c r="D139" s="24" t="s">
        <v>288</v>
      </c>
      <c r="E139" s="24" t="s">
        <v>288</v>
      </c>
      <c r="F139" s="24" t="s">
        <v>288</v>
      </c>
      <c r="G139" s="24" t="s">
        <v>288</v>
      </c>
      <c r="H139" s="124">
        <f t="shared" si="7"/>
        <v>334.02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-334.02</v>
      </c>
      <c r="D141" s="24" t="s">
        <v>288</v>
      </c>
      <c r="E141" s="24" t="s">
        <v>288</v>
      </c>
      <c r="F141" s="24" t="s">
        <v>288</v>
      </c>
      <c r="G141" s="24" t="s">
        <v>288</v>
      </c>
      <c r="H141" s="124">
        <f t="shared" si="7"/>
        <v>-334.02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194294.94</v>
      </c>
      <c r="D144" s="141">
        <f>SUM(D130:D143)</f>
        <v>0</v>
      </c>
      <c r="E144" s="141">
        <f>SUM(E130:E143)</f>
        <v>0</v>
      </c>
      <c r="F144" s="141">
        <f>SUM(F130:F143)</f>
        <v>0</v>
      </c>
      <c r="G144" s="141">
        <f>SUM(G130:G143)</f>
        <v>0</v>
      </c>
      <c r="H144" s="141">
        <f t="shared" si="7"/>
        <v>194294.94</v>
      </c>
    </row>
    <row r="145" spans="1:9" ht="12.75" thickTop="1" thickBot="1" x14ac:dyDescent="0.25">
      <c r="A145" s="33" t="s">
        <v>244</v>
      </c>
      <c r="C145" s="86">
        <f>(C115+C128+C144)</f>
        <v>8132109.6700000009</v>
      </c>
      <c r="D145" s="86">
        <f>(D115+D128+D144)</f>
        <v>232470.43</v>
      </c>
      <c r="E145" s="86">
        <f>(E115+E128+E144)</f>
        <v>303124.90000000002</v>
      </c>
      <c r="F145" s="86">
        <f>(F115+F128+F144)</f>
        <v>0</v>
      </c>
      <c r="G145" s="86">
        <f>(G115+G128+G144)</f>
        <v>0</v>
      </c>
      <c r="H145" s="86">
        <f t="shared" si="7"/>
        <v>8667705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124892.29</v>
      </c>
      <c r="C158" s="137">
        <f>'DOE25'!G498</f>
        <v>0</v>
      </c>
      <c r="D158" s="137">
        <f>'DOE25'!H498</f>
        <v>0</v>
      </c>
      <c r="E158" s="137">
        <f>'DOE25'!I498</f>
        <v>0</v>
      </c>
      <c r="F158" s="137">
        <f>'DOE25'!J498</f>
        <v>0</v>
      </c>
      <c r="G158" s="138">
        <f t="shared" si="8"/>
        <v>124892.29</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pageSetUpPr fitToPage="1"/>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Henniker</v>
      </c>
    </row>
    <row r="3" spans="1:4" x14ac:dyDescent="0.2">
      <c r="B3" s="187" t="s">
        <v>1799</v>
      </c>
    </row>
    <row r="4" spans="1:4" x14ac:dyDescent="0.2">
      <c r="B4" t="s">
        <v>61</v>
      </c>
      <c r="C4" s="178">
        <f>IF('DOE25'!F666+'DOE25'!F671=0,0,ROUND('DOE25'!F673,0))</f>
        <v>19756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19756</v>
      </c>
    </row>
    <row r="9" spans="1:4" x14ac:dyDescent="0.2">
      <c r="A9" s="186" t="s">
        <v>94</v>
      </c>
      <c r="B9" s="187" t="s">
        <v>1800</v>
      </c>
      <c r="C9" s="180" t="s">
        <v>720</v>
      </c>
      <c r="D9" s="180" t="s">
        <v>721</v>
      </c>
    </row>
    <row r="10" spans="1:4" x14ac:dyDescent="0.2">
      <c r="A10">
        <v>1100</v>
      </c>
      <c r="B10" t="s">
        <v>702</v>
      </c>
      <c r="C10" s="178">
        <f>ROUND('DOE25'!L198+'DOE25'!L216+'DOE25'!L234+'DOE25'!L277+'DOE25'!L296+'DOE25'!L315,0)</f>
        <v>3630358</v>
      </c>
      <c r="D10" s="181">
        <f>ROUND((C10/$C$28)*100,1)</f>
        <v>42.5</v>
      </c>
    </row>
    <row r="11" spans="1:4" x14ac:dyDescent="0.2">
      <c r="A11">
        <v>1200</v>
      </c>
      <c r="B11" t="s">
        <v>703</v>
      </c>
      <c r="C11" s="178">
        <f>ROUND('DOE25'!L199+'DOE25'!L217+'DOE25'!L235+'DOE25'!L278+'DOE25'!L297+'DOE25'!L316,0)</f>
        <v>1490398</v>
      </c>
      <c r="D11" s="181">
        <f>ROUND((C11/$C$28)*100,1)</f>
        <v>17.5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31559</v>
      </c>
      <c r="D13" s="181">
        <f>ROUND((C13/$C$28)*100,1)</f>
        <v>0.4</v>
      </c>
    </row>
    <row r="14" spans="1:4" x14ac:dyDescent="0.2">
      <c r="D14" s="181"/>
    </row>
    <row r="15" spans="1:4" x14ac:dyDescent="0.2">
      <c r="A15">
        <v>2100</v>
      </c>
      <c r="B15" t="s">
        <v>706</v>
      </c>
      <c r="C15" s="178">
        <f>ROUND('DOE25'!L203+'DOE25'!L221+'DOE25'!L239+'DOE25'!L282+'DOE25'!L301+'DOE25'!L320,0)</f>
        <v>600782</v>
      </c>
      <c r="D15" s="181">
        <f t="shared" ref="D15:D27" si="0">ROUND((C15/$C$28)*100,1)</f>
        <v>7</v>
      </c>
    </row>
    <row r="16" spans="1:4" x14ac:dyDescent="0.2">
      <c r="A16">
        <v>2200</v>
      </c>
      <c r="B16" t="s">
        <v>707</v>
      </c>
      <c r="C16" s="178">
        <f>ROUND('DOE25'!L204+'DOE25'!L222+'DOE25'!L240+'DOE25'!L283+'DOE25'!L302+'DOE25'!L321,0)</f>
        <v>426650</v>
      </c>
      <c r="D16" s="181">
        <f t="shared" si="0"/>
        <v>5</v>
      </c>
    </row>
    <row r="17" spans="1:4" x14ac:dyDescent="0.2">
      <c r="A17" s="182" t="s">
        <v>723</v>
      </c>
      <c r="B17" t="s">
        <v>738</v>
      </c>
      <c r="C17" s="178">
        <f>ROUND('DOE25'!L205+'DOE25'!L210+'DOE25'!L223+'DOE25'!L228+'DOE25'!L241+'DOE25'!L246+'DOE25'!L284+'DOE25'!L289+'DOE25'!L303+'DOE25'!L308+'DOE25'!L322+'DOE25'!L327,0)</f>
        <v>373345</v>
      </c>
      <c r="D17" s="181">
        <f t="shared" si="0"/>
        <v>4.4000000000000004</v>
      </c>
    </row>
    <row r="18" spans="1:4" x14ac:dyDescent="0.2">
      <c r="A18">
        <v>2400</v>
      </c>
      <c r="B18" t="s">
        <v>711</v>
      </c>
      <c r="C18" s="178">
        <f>ROUND('DOE25'!L206+'DOE25'!L224+'DOE25'!L242+'DOE25'!L285+'DOE25'!L304+'DOE25'!L323,0)</f>
        <v>547107</v>
      </c>
      <c r="D18" s="181">
        <f t="shared" si="0"/>
        <v>6.4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794350</v>
      </c>
      <c r="D20" s="181">
        <f t="shared" si="0"/>
        <v>9.3000000000000007</v>
      </c>
    </row>
    <row r="21" spans="1:4" x14ac:dyDescent="0.2">
      <c r="A21">
        <v>2700</v>
      </c>
      <c r="B21" t="s">
        <v>710</v>
      </c>
      <c r="C21" s="178">
        <f>ROUND('DOE25'!L209+'DOE25'!L227+'DOE25'!L245+'DOE25'!L288+'DOE25'!L307+'DOE25'!L326,0)</f>
        <v>346390</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69403</v>
      </c>
      <c r="D25" s="181">
        <f t="shared" si="0"/>
        <v>0.8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228740.51</v>
      </c>
      <c r="D27" s="181">
        <f t="shared" si="0"/>
        <v>2.7</v>
      </c>
    </row>
    <row r="28" spans="1:4" x14ac:dyDescent="0.2">
      <c r="B28" s="186" t="s">
        <v>719</v>
      </c>
      <c r="C28" s="179">
        <f>SUM(C10:C27)</f>
        <v>8539082.5099999998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8539082.5099999998</v>
      </c>
    </row>
    <row r="31" spans="1:4" x14ac:dyDescent="0.2">
      <c r="B31" s="33"/>
      <c r="C31" s="179"/>
    </row>
    <row r="32" spans="1:4" x14ac:dyDescent="0.2">
      <c r="A32">
        <v>5100</v>
      </c>
      <c r="B32" s="33" t="s">
        <v>726</v>
      </c>
      <c r="C32" s="179">
        <f>ROUND('DOE25'!L261+'DOE25'!L342,0)</f>
        <v>124892</v>
      </c>
    </row>
    <row r="34" spans="1:4" x14ac:dyDescent="0.2">
      <c r="A34" s="186" t="s">
        <v>94</v>
      </c>
      <c r="B34" s="187" t="s">
        <v>1801</v>
      </c>
      <c r="C34" s="180" t="s">
        <v>720</v>
      </c>
      <c r="D34" s="180" t="s">
        <v>721</v>
      </c>
    </row>
    <row r="35" spans="1:4" x14ac:dyDescent="0.2">
      <c r="A35">
        <v>1100</v>
      </c>
      <c r="B35" s="184" t="s">
        <v>727</v>
      </c>
      <c r="C35" s="178">
        <f>ROUND('DOE25'!F60+'DOE25'!G60+'DOE25'!H60+'DOE25'!I60+'DOE25'!J60,0)</f>
        <v>5527091</v>
      </c>
      <c r="D35" s="181">
        <f t="shared" ref="D35:D40" si="1">ROUND((C35/$C$41)*100,1)</f>
        <v>62.2</v>
      </c>
    </row>
    <row r="36" spans="1:4" x14ac:dyDescent="0.2">
      <c r="B36" s="184" t="s">
        <v>739</v>
      </c>
      <c r="C36" s="178">
        <f>SUM('DOE25'!F112:J112)-SUM('DOE25'!G97:G110)+('DOE25'!F175+'DOE25'!F176+'DOE25'!I175+'DOE25'!I176)-C35</f>
        <v>159715.72999999952</v>
      </c>
      <c r="D36" s="181">
        <f t="shared" si="1"/>
        <v>1.8</v>
      </c>
    </row>
    <row r="37" spans="1:4" x14ac:dyDescent="0.2">
      <c r="A37" s="182" t="s">
        <v>835</v>
      </c>
      <c r="B37" s="184" t="s">
        <v>728</v>
      </c>
      <c r="C37" s="178">
        <f>ROUND('DOE25'!F117+'DOE25'!F118,0)</f>
        <v>2512619</v>
      </c>
      <c r="D37" s="181">
        <f t="shared" si="1"/>
        <v>28.3</v>
      </c>
    </row>
    <row r="38" spans="1:4" x14ac:dyDescent="0.2">
      <c r="A38" s="182" t="s">
        <v>734</v>
      </c>
      <c r="B38" s="184" t="s">
        <v>729</v>
      </c>
      <c r="C38" s="178">
        <f>ROUND(SUM('DOE25'!F140:J140)-SUM('DOE25'!F117:F119),0)</f>
        <v>61319</v>
      </c>
      <c r="D38" s="181">
        <f t="shared" si="1"/>
        <v>0.7</v>
      </c>
    </row>
    <row r="39" spans="1:4" x14ac:dyDescent="0.2">
      <c r="A39">
        <v>4000</v>
      </c>
      <c r="B39" s="184" t="s">
        <v>730</v>
      </c>
      <c r="C39" s="178">
        <f>ROUND('DOE25'!F170+'DOE25'!G170+'DOE25'!H170+'DOE25'!I170,0)</f>
        <v>628780</v>
      </c>
      <c r="D39" s="181">
        <f t="shared" si="1"/>
        <v>7.1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8889524.7300000004</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fitToHeight="0"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Henniker</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1</v>
      </c>
      <c r="B4" s="218">
        <v>32</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f>IF('School Level Expenditures'!$B$2=A120,'School Tables'!H120,"")</f>
        <v>117</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2022-09-09T16:57:48Z</cp:lastPrinted>
  <dcterms:created xsi:type="dcterms:W3CDTF">1997-12-04T19:04:30Z</dcterms:created>
  <dcterms:modified xsi:type="dcterms:W3CDTF">2022-12-19T15:39:17Z</dcterms:modified>
</cp:coreProperties>
</file>