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92CFD30-61AB-40B1-98B9-9AEBEA90CA8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7" i="1" l="1"/>
  <c r="H544" i="1" l="1"/>
  <c r="H155" i="1" l="1"/>
  <c r="F50" i="1" l="1"/>
  <c r="F46" i="1"/>
  <c r="F15" i="13" l="1"/>
  <c r="F14" i="13"/>
  <c r="F12" i="13"/>
  <c r="F6" i="13"/>
  <c r="F5" i="13"/>
  <c r="I466" i="1" l="1"/>
  <c r="J469" i="1"/>
  <c r="H469" i="1" l="1"/>
  <c r="H98" i="1"/>
  <c r="K267" i="1" l="1"/>
  <c r="J180" i="1"/>
  <c r="J473" i="1"/>
  <c r="I605" i="1" l="1"/>
  <c r="J605" i="1"/>
  <c r="J222" i="1"/>
  <c r="J240" i="1"/>
  <c r="J219" i="1"/>
  <c r="H237" i="1"/>
  <c r="H236" i="1"/>
  <c r="I216" i="1"/>
  <c r="I234" i="1"/>
  <c r="J234" i="1"/>
  <c r="J96" i="1" l="1"/>
  <c r="J466" i="1"/>
  <c r="H466" i="1"/>
  <c r="H473" i="1"/>
  <c r="H48" i="1"/>
  <c r="F22" i="1"/>
  <c r="G499" i="1" l="1"/>
  <c r="G503" i="1"/>
  <c r="F503" i="1"/>
  <c r="H22" i="1"/>
  <c r="J594" i="1"/>
  <c r="H245" i="1"/>
  <c r="H227" i="1"/>
  <c r="H219" i="1"/>
  <c r="I593" i="1"/>
  <c r="J593" i="1"/>
  <c r="J592" i="1"/>
  <c r="I592" i="1"/>
  <c r="I524" i="1"/>
  <c r="I523" i="1"/>
  <c r="G534" i="1"/>
  <c r="G533" i="1"/>
  <c r="G524" i="1"/>
  <c r="F529" i="1"/>
  <c r="G529" i="1" s="1"/>
  <c r="F524" i="1"/>
  <c r="F528" i="1"/>
  <c r="G528" i="1" s="1"/>
  <c r="F523" i="1"/>
  <c r="G523" i="1" s="1"/>
  <c r="H524" i="1" l="1"/>
  <c r="H523" i="1"/>
  <c r="H392" i="1" l="1"/>
  <c r="I318" i="1"/>
  <c r="H321" i="1"/>
  <c r="I299" i="1"/>
  <c r="H302" i="1"/>
  <c r="F302" i="1"/>
  <c r="F297" i="1"/>
  <c r="F296" i="1"/>
  <c r="H318" i="1"/>
  <c r="H28" i="1" l="1"/>
  <c r="H24" i="1"/>
  <c r="H23" i="1"/>
  <c r="H17" i="1"/>
  <c r="H9" i="1"/>
  <c r="H13" i="1"/>
  <c r="I361" i="1"/>
  <c r="H361" i="1"/>
  <c r="F361" i="1"/>
  <c r="I360" i="1"/>
  <c r="H360" i="1"/>
  <c r="G360" i="1"/>
  <c r="F360" i="1"/>
  <c r="G132" i="1"/>
  <c r="G158" i="1"/>
  <c r="G97" i="1"/>
  <c r="F110" i="1"/>
  <c r="F57" i="1"/>
  <c r="F29" i="1"/>
  <c r="F28" i="1"/>
  <c r="F24" i="1"/>
  <c r="F23" i="1"/>
  <c r="K244" i="1" l="1"/>
  <c r="I244" i="1"/>
  <c r="I242" i="1"/>
  <c r="H241" i="1"/>
  <c r="H234" i="1"/>
  <c r="I245" i="1"/>
  <c r="J244" i="1"/>
  <c r="H244" i="1"/>
  <c r="F244" i="1"/>
  <c r="K242" i="1"/>
  <c r="H242" i="1"/>
  <c r="F242" i="1"/>
  <c r="K241" i="1"/>
  <c r="I241" i="1"/>
  <c r="F241" i="1"/>
  <c r="H240" i="1"/>
  <c r="I240" i="1"/>
  <c r="F240" i="1"/>
  <c r="F239" i="1"/>
  <c r="H239" i="1"/>
  <c r="J237" i="1"/>
  <c r="I237" i="1"/>
  <c r="F237" i="1"/>
  <c r="H235" i="1"/>
  <c r="F235" i="1"/>
  <c r="K234" i="1"/>
  <c r="F234" i="1"/>
  <c r="K226" i="1" l="1"/>
  <c r="I226" i="1"/>
  <c r="I224" i="1"/>
  <c r="H223" i="1"/>
  <c r="H216" i="1"/>
  <c r="I227" i="1"/>
  <c r="J226" i="1"/>
  <c r="H226" i="1"/>
  <c r="F226" i="1"/>
  <c r="K224" i="1"/>
  <c r="H224" i="1"/>
  <c r="F224" i="1"/>
  <c r="I223" i="1"/>
  <c r="F223" i="1"/>
  <c r="H222" i="1"/>
  <c r="I222" i="1"/>
  <c r="F222" i="1"/>
  <c r="F221" i="1"/>
  <c r="H221" i="1"/>
  <c r="I219" i="1"/>
  <c r="F219" i="1"/>
  <c r="H217" i="1"/>
  <c r="F217" i="1"/>
  <c r="F216"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H29" i="2" s="1"/>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0" i="2"/>
  <c r="E124"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H9" i="2" l="1"/>
  <c r="H94" i="2"/>
  <c r="H69" i="2"/>
  <c r="H30" i="2"/>
  <c r="H28" i="2"/>
  <c r="H25" i="2"/>
  <c r="H24" i="2"/>
  <c r="H17" i="2"/>
  <c r="H15" i="2"/>
  <c r="C10" i="12"/>
  <c r="C12" i="12"/>
  <c r="H132" i="2"/>
  <c r="H125" i="2"/>
  <c r="H36" i="2"/>
  <c r="H38" i="2"/>
  <c r="H43" i="2"/>
  <c r="H44" i="2"/>
  <c r="H48" i="2"/>
  <c r="H13" i="2"/>
  <c r="I409" i="1"/>
  <c r="H102" i="2"/>
  <c r="H101" i="2"/>
  <c r="H100" i="2"/>
  <c r="H99" i="2"/>
  <c r="H98" i="2"/>
  <c r="H79" i="2"/>
  <c r="H76" i="2"/>
  <c r="H73" i="2"/>
  <c r="H58" i="2"/>
  <c r="H11" i="2"/>
  <c r="H143" i="2"/>
  <c r="C21" i="12"/>
  <c r="C20" i="12"/>
  <c r="C19" i="12"/>
  <c r="C39" i="12"/>
  <c r="C37" i="12"/>
  <c r="C40" i="12" s="1"/>
  <c r="E121" i="2"/>
  <c r="H97" i="2"/>
  <c r="H87" i="2"/>
  <c r="H34" i="2"/>
  <c r="H26" i="2"/>
  <c r="D18" i="13"/>
  <c r="C18" i="13" s="1"/>
  <c r="H96" i="2"/>
  <c r="C119" i="2"/>
  <c r="G646" i="1"/>
  <c r="G409" i="1"/>
  <c r="H646" i="1" s="1"/>
  <c r="G477" i="1"/>
  <c r="H624" i="1" s="1"/>
  <c r="J624" i="1" s="1"/>
  <c r="H477" i="1"/>
  <c r="H625" i="1" s="1"/>
  <c r="J625" i="1" s="1"/>
  <c r="G62" i="2"/>
  <c r="J652" i="1"/>
  <c r="H47" i="2"/>
  <c r="G663" i="1"/>
  <c r="C13" i="10"/>
  <c r="H61" i="2"/>
  <c r="H22" i="2"/>
  <c r="G662" i="1"/>
  <c r="D78" i="2"/>
  <c r="D81" i="2" s="1"/>
  <c r="H77" i="2"/>
  <c r="H59" i="2"/>
  <c r="H27" i="2"/>
  <c r="H23" i="2"/>
  <c r="H12" i="2"/>
  <c r="H8" i="2"/>
  <c r="C112" i="2"/>
  <c r="H112" i="2" s="1"/>
  <c r="D15" i="13"/>
  <c r="C15" i="13" s="1"/>
  <c r="E13" i="13"/>
  <c r="C13" i="13" s="1"/>
  <c r="C121" i="2"/>
  <c r="C120" i="2"/>
  <c r="H120" i="2" s="1"/>
  <c r="D6" i="13"/>
  <c r="C6" i="13" s="1"/>
  <c r="A40" i="12"/>
  <c r="C12" i="10"/>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H16" i="2" l="1"/>
  <c r="H21" i="2"/>
  <c r="C13" i="12"/>
  <c r="A13" i="12" s="1"/>
  <c r="H57" i="2"/>
  <c r="H85" i="2"/>
  <c r="H121" i="2"/>
  <c r="H42" i="2"/>
  <c r="C22" i="12"/>
  <c r="A22" i="12" s="1"/>
  <c r="H78" i="2"/>
  <c r="H119" i="2"/>
  <c r="J646" i="1"/>
  <c r="B33" i="16"/>
  <c r="H103" i="2"/>
  <c r="H134" i="2"/>
  <c r="E128" i="2"/>
  <c r="H118" i="2"/>
  <c r="G24" i="14"/>
  <c r="H24" i="14" s="1"/>
  <c r="I24" i="14" s="1"/>
  <c r="H109" i="2"/>
  <c r="H31" i="2"/>
  <c r="E51" i="2"/>
  <c r="D128" i="2"/>
  <c r="D145" i="2" s="1"/>
  <c r="H127" i="2"/>
  <c r="H91" i="2"/>
  <c r="H62" i="2"/>
  <c r="H50" i="2"/>
  <c r="D51" i="2"/>
  <c r="C81" i="2"/>
  <c r="H81" i="2" s="1"/>
  <c r="F194" i="1"/>
  <c r="G628" i="1" s="1"/>
  <c r="J628" i="1" s="1"/>
  <c r="H18" i="2"/>
  <c r="I663" i="1"/>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4" i="2" s="1"/>
  <c r="H141" i="2"/>
  <c r="H128" i="2"/>
  <c r="H51" i="2"/>
  <c r="C104" i="2"/>
  <c r="H104" i="2" s="1"/>
  <c r="H63"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<sst xmlns="http://schemas.openxmlformats.org/spreadsheetml/2006/main" count="6536" uniqueCount="1808">
  <si>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</si>
  <si>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</si>
  <si>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</si>
  <si>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</si>
  <si>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</si>
  <si>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</si>
  <si>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</si>
  <si>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</si>
  <si>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</si>
  <si>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</si>
  <si>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</si>
  <si>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</si>
  <si>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</si>
  <si>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</si>
  <si>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</si>
  <si>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</si>
  <si>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</si>
  <si>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</si>
  <si>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</si>
  <si>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</si>
  <si>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</si>
  <si>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</si>
  <si>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</si>
  <si>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</si>
  <si>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</si>
  <si>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</si>
  <si>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</si>
  <si>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</si>
  <si>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</si>
  <si>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</si>
  <si>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</si>
  <si>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</si>
  <si>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</si>
  <si>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</si>
  <si>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</si>
  <si>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</si>
  <si>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</si>
  <si>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</si>
  <si>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</si>
  <si>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</si>
  <si>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</si>
  <si>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</si>
  <si>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</si>
  <si>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</si>
  <si>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</si>
  <si>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</si>
  <si>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</si>
  <si>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</si>
  <si>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</si>
  <si>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</si>
  <si>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</si>
  <si>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</si>
  <si>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</si>
  <si>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</si>
  <si>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</si>
  <si>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</si>
  <si>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</si>
  <si>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</si>
  <si>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</si>
  <si>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</si>
  <si>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</si>
  <si>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</si>
  <si>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</si>
  <si>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</si>
  <si>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</si>
  <si>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</si>
  <si>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</si>
  <si>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</si>
  <si>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</si>
  <si>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</si>
  <si>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</si>
  <si>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</si>
  <si>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</si>
  <si>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</si>
  <si>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</si>
  <si>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</si>
  <si>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</si>
  <si>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</si>
  <si>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</si>
  <si>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</si>
  <si>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</si>
  <si>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</si>
  <si>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</si>
  <si>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</si>
  <si>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</si>
  <si>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</si>
  <si>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</si>
  <si>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</si>
  <si>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</si>
  <si>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</si>
  <si>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</si>
  <si>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</si>
  <si>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</si>
  <si>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</si>
  <si>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</si>
  <si>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</si>
  <si>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</si>
  <si>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</si>
  <si>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</si>
  <si>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</si>
  <si>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</si>
  <si>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</si>
  <si>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</si>
  <si>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</si>
  <si>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</si>
  <si>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</si>
  <si>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</si>
  <si>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</si>
  <si>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</si>
  <si>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</si>
  <si>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</si>
  <si>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</si>
  <si>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</si>
  <si>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</si>
  <si>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</si>
  <si>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</si>
  <si>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</si>
  <si>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</si>
  <si>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</si>
  <si>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</si>
  <si>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</si>
  <si>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</si>
  <si>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</si>
  <si>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</si>
  <si>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</si>
  <si>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</si>
  <si>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</si>
  <si>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</si>
  <si>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</si>
  <si>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</si>
  <si>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</si>
  <si>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</si>
  <si>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</si>
  <si>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</si>
  <si>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</si>
  <si>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</si>
  <si>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</si>
  <si>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</si>
  <si>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</si>
  <si>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</si>
  <si>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</si>
  <si>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</si>
  <si>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</si>
  <si>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</si>
  <si>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</si>
  <si>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</si>
  <si>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</si>
  <si>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</si>
  <si>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</si>
  <si>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</si>
  <si>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</si>
  <si>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</si>
  <si>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</si>
  <si>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</si>
  <si>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</si>
  <si>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</si>
  <si>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</si>
  <si>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</si>
  <si>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</si>
  <si>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</si>
  <si>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</si>
  <si>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</si>
  <si>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</si>
  <si>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</si>
  <si>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</si>
  <si>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</si>
  <si>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</si>
  <si>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</si>
  <si>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</si>
  <si>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</si>
  <si>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</si>
  <si>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</si>
  <si>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</si>
  <si>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</si>
  <si>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</si>
  <si>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</si>
  <si>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</si>
  <si>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</si>
  <si>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</si>
  <si>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</si>
  <si>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</si>
  <si>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</si>
  <si>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</si>
  <si>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</si>
  <si>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</si>
  <si>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</si>
  <si>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</si>
  <si>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</si>
  <si>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</si>
  <si>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</si>
  <si>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</si>
  <si>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</si>
  <si>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</si>
  <si>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</si>
  <si>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</si>
  <si>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</si>
  <si>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</si>
  <si>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</si>
  <si>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</si>
  <si>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</si>
  <si>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</si>
  <si>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</si>
  <si>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</si>
  <si>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</si>
  <si>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</si>
  <si>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</si>
  <si>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</si>
  <si>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</si>
  <si>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</si>
  <si>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</si>
  <si>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</si>
  <si>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</si>
  <si>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</si>
  <si>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</si>
  <si>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</si>
  <si>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</si>
  <si>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</si>
  <si>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</si>
  <si>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</si>
  <si>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</si>
  <si>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</si>
  <si>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</si>
  <si>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</si>
  <si>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</si>
  <si>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</si>
  <si>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</si>
  <si>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</si>
  <si>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</si>
  <si>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</si>
  <si>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</si>
  <si>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</si>
  <si>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</si>
  <si>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</si>
  <si>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</si>
  <si>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</si>
  <si>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</si>
  <si>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</si>
  <si>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</si>
  <si>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</si>
  <si>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</si>
  <si>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</si>
  <si>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</si>
  <si>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</si>
  <si>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</si>
  <si>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</si>
  <si>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</si>
  <si>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</si>
  <si>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</si>
  <si>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</si>
  <si>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</si>
  <si>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</si>
  <si>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</si>
  <si>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</si>
  <si>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</si>
  <si>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</si>
  <si>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</si>
  <si>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</si>
  <si>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</si>
  <si>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</si>
  <si>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</si>
  <si>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</si>
  <si>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</si>
  <si>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</si>
  <si>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</si>
  <si>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</si>
  <si>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</si>
  <si>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</si>
  <si>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</si>
  <si>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</si>
  <si>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</si>
  <si>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</si>
  <si>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</si>
  <si>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</si>
  <si>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</si>
  <si>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</si>
  <si>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</si>
  <si>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</si>
  <si>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</si>
  <si>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</si>
  <si>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</si>
  <si>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</si>
  <si>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</si>
  <si>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</si>
  <si>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</si>
  <si>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</si>
  <si>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</si>
  <si>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</si>
  <si>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</si>
  <si>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</si>
  <si>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</si>
  <si>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</si>
  <si>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</si>
  <si>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</si>
  <si>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</si>
  <si>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</si>
  <si>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</si>
  <si>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</si>
  <si>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</si>
  <si>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</si>
  <si>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</si>
  <si>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</si>
  <si>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</si>
  <si>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</si>
  <si>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</si>
  <si>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</si>
  <si>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</si>
  <si>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</si>
  <si>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</si>
  <si>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</si>
  <si>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</si>
  <si>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</si>
  <si>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</si>
  <si>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</si>
  <si>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</si>
  <si>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</si>
  <si>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</si>
  <si>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</si>
  <si>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</si>
  <si>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</si>
  <si>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</si>
  <si>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</si>
  <si>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</si>
  <si>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</si>
  <si>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</si>
  <si>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</si>
  <si>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</si>
  <si>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</si>
  <si>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</si>
  <si>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</si>
  <si>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</si>
  <si>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</si>
  <si>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</si>
  <si>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</si>
  <si>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</si>
  <si>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</si>
  <si>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</si>
  <si>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</si>
  <si>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</si>
  <si>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</si>
  <si>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</si>
  <si>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</si>
  <si>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</si>
  <si>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</si>
  <si>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</si>
  <si>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</si>
  <si>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</si>
  <si>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</si>
  <si>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</si>
  <si>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</si>
  <si>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</si>
  <si>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</si>
  <si>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</si>
  <si>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</si>
  <si>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</si>
  <si>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</si>
  <si>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</si>
  <si>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</si>
  <si>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</si>
  <si>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</si>
  <si>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</si>
  <si>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</si>
  <si>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</si>
  <si>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</si>
  <si>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</si>
  <si>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</si>
  <si>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</si>
  <si>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</si>
  <si>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</si>
  <si>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</si>
  <si>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</si>
  <si>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</si>
  <si>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</si>
  <si>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</si>
  <si>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</si>
  <si>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</si>
  <si>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</si>
  <si>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</si>
  <si>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</si>
  <si>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</si>
  <si>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</si>
  <si>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</si>
  <si>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</si>
  <si>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</si>
  <si>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</si>
  <si>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</si>
  <si>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</si>
  <si>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</si>
  <si>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</si>
  <si>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</si>
  <si>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</si>
  <si>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</si>
  <si>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</si>
  <si>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</si>
  <si>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</si>
  <si>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</si>
  <si>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</si>
  <si>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</si>
  <si>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</si>
  <si>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</si>
  <si>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</si>
  <si>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</si>
  <si>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</si>
  <si>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</si>
  <si>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</si>
  <si>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</si>
  <si>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</si>
  <si>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</si>
  <si>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</si>
  <si>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</si>
  <si>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</si>
  <si>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</si>
  <si>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</si>
  <si>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</si>
  <si>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</si>
  <si>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</si>
  <si>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</si>
  <si>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</si>
  <si>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</si>
  <si>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</si>
  <si>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</si>
  <si>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</si>
  <si>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</si>
  <si>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</si>
  <si>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</si>
  <si>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</si>
  <si>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</si>
  <si>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</si>
  <si>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</si>
  <si>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</si>
  <si>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</si>
  <si>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</si>
  <si>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</si>
  <si>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</si>
  <si>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</si>
  <si>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</si>
  <si>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</si>
  <si>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</si>
  <si>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</si>
  <si>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</si>
  <si>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</si>
  <si>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</si>
  <si>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</si>
  <si>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</si>
  <si>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</si>
  <si>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</si>
  <si>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</si>
  <si>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</si>
  <si>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</si>
  <si>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</si>
  <si>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</si>
  <si>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</si>
  <si>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</si>
  <si>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</si>
  <si>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</si>
  <si>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</si>
  <si>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</si>
  <si>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</si>
  <si>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</si>
  <si>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</si>
  <si>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</si>
  <si>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</si>
  <si>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</si>
  <si>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</si>
  <si>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</si>
  <si>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</si>
  <si>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</si>
  <si>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</si>
  <si>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</si>
  <si>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</si>
  <si>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</si>
  <si>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</si>
  <si>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</si>
  <si>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</si>
  <si>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</si>
  <si>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</si>
  <si>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</si>
  <si>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</si>
  <si>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</si>
  <si>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</si>
  <si>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</si>
  <si>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</si>
  <si>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</si>
  <si>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</si>
  <si>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</si>
  <si>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</si>
  <si>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</si>
  <si>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</si>
  <si>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</si>
  <si>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</si>
  <si>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</si>
  <si>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</si>
  <si>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</si>
  <si>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</si>
  <si>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</si>
  <si>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</si>
  <si>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</si>
  <si>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</si>
  <si>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</si>
  <si>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</si>
  <si>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</si>
  <si>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</si>
  <si>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</si>
  <si>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</si>
  <si>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</si>
  <si>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</si>
  <si>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</si>
  <si>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</si>
  <si>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</si>
  <si>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</si>
  <si>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</si>
  <si>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</si>
  <si>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</si>
  <si>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</si>
  <si>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</si>
  <si>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</si>
  <si>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</si>
  <si>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</si>
  <si>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</si>
  <si>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</si>
  <si>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</si>
  <si>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</si>
  <si>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</si>
  <si>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</si>
  <si>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</si>
  <si>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</si>
  <si>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</si>
  <si>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</si>
  <si>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</si>
  <si>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</si>
  <si>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</si>
  <si>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</si>
  <si>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</si>
  <si>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</si>
  <si>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</si>
  <si>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</si>
  <si>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</si>
  <si>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</si>
  <si>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</si>
  <si>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</si>
  <si>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</si>
  <si>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</si>
  <si>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</si>
  <si>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</si>
  <si>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</si>
  <si>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</si>
  <si>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</si>
  <si>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</si>
  <si>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</si>
  <si>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</si>
  <si>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</si>
  <si>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</si>
  <si>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</si>
  <si>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</si>
  <si>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</si>
  <si>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</si>
  <si>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</si>
  <si>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</si>
  <si>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</si>
  <si>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</si>
  <si>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</si>
  <si>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</si>
  <si>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</si>
  <si>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</si>
  <si>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</si>
  <si>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</si>
  <si>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</si>
  <si>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</si>
  <si>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</si>
  <si>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</si>
  <si>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</si>
  <si>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</si>
  <si>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</si>
  <si>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</si>
  <si>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</si>
  <si>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</si>
  <si>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</si>
  <si>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</si>
  <si>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</si>
  <si>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</si>
  <si>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</si>
  <si>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</si>
  <si>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</si>
  <si>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</si>
  <si>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</si>
  <si>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</si>
  <si>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</si>
  <si>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</si>
  <si>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</si>
  <si>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</si>
  <si>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</si>
  <si>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</si>
  <si>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</si>
  <si>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</si>
  <si>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</si>
  <si>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</si>
  <si>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</si>
  <si>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</si>
  <si>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</si>
  <si>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</si>
  <si>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</si>
  <si>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</si>
  <si>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</si>
  <si>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</si>
  <si>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</si>
  <si>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</si>
  <si>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</si>
  <si>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</si>
  <si>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</si>
  <si>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</si>
  <si>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</si>
  <si>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</si>
  <si>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</si>
  <si>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</si>
  <si>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</si>
  <si>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</si>
  <si>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</si>
  <si>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</si>
  <si>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</si>
  <si>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</si>
  <si>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</si>
  <si>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</si>
  <si>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</si>
  <si>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</si>
  <si>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</si>
  <si>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</si>
  <si>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</si>
  <si>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</si>
  <si>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</si>
  <si>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</si>
  <si>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</si>
  <si>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</si>
  <si>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</si>
  <si>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</si>
  <si>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</si>
  <si>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</si>
  <si>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</si>
  <si>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</si>
  <si>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</si>
  <si>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</si>
  <si>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</si>
  <si>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</si>
  <si>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</si>
  <si>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</si>
  <si>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</si>
  <si>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</si>
  <si>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</si>
  <si>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</si>
  <si>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</si>
  <si>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</si>
  <si>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</si>
  <si>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</si>
  <si>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</si>
  <si>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</si>
  <si>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</si>
  <si>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</si>
  <si>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</si>
  <si>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</si>
  <si>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</si>
  <si>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</si>
  <si>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</si>
  <si>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</si>
  <si>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</si>
  <si>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</si>
  <si>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</si>
  <si>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</si>
  <si>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</si>
  <si>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</si>
  <si>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</si>
  <si>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</si>
  <si>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</si>
  <si>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</si>
  <si>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</si>
  <si>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</si>
  <si>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</si>
  <si>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</si>
  <si>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</si>
  <si>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</si>
  <si>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</si>
  <si>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</si>
  <si>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</si>
  <si>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</si>
  <si>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</si>
  <si>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</si>
  <si>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</si>
  <si>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</si>
  <si>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</si>
  <si>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</si>
  <si>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</si>
  <si>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</si>
  <si>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</si>
  <si>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</si>
  <si>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</si>
  <si>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</si>
  <si>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</si>
  <si>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</si>
  <si>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</si>
  <si>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</si>
  <si>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</si>
  <si>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</si>
  <si>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</si>
  <si>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</si>
  <si>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</si>
  <si>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</si>
  <si>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</si>
  <si>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</si>
  <si>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</si>
  <si>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</si>
  <si>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</si>
  <si>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</si>
  <si>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</si>
  <si>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</si>
  <si>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</si>
  <si>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</si>
  <si>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</si>
  <si>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</si>
  <si>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</si>
  <si>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</si>
  <si>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</si>
  <si>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</si>
  <si>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</si>
  <si>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</si>
  <si>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</si>
  <si>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</si>
  <si>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</si>
  <si>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</si>
  <si>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</si>
  <si>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</si>
  <si>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</si>
  <si>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</si>
  <si>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</si>
  <si>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</si>
  <si>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</si>
  <si>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</si>
  <si>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</si>
  <si>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</si>
  <si>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</si>
  <si>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</si>
  <si>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</si>
  <si>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</si>
  <si>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</si>
  <si>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</si>
  <si>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</si>
  <si>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</si>
  <si>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</si>
  <si>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</si>
  <si>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</si>
  <si>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</si>
  <si>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</si>
  <si>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</si>
  <si>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</si>
  <si>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</si>
  <si>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</si>
  <si>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</si>
  <si>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</si>
  <si>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</si>
  <si>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</si>
  <si>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</si>
  <si>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</si>
  <si>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</si>
  <si>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</si>
  <si>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</si>
  <si>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</si>
  <si>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</si>
  <si>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</si>
  <si>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</si>
  <si>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</si>
  <si>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</si>
  <si>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</si>
  <si>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</si>
  <si>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</si>
  <si>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</si>
  <si>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</si>
  <si>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</si>
  <si>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</si>
  <si>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</si>
  <si>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</si>
  <si>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</si>
  <si>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</si>
  <si>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</si>
  <si>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</si>
  <si>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</si>
  <si>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</si>
  <si>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</si>
  <si>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</si>
  <si>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</si>
  <si>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</si>
  <si>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</si>
  <si>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</si>
  <si>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</si>
  <si>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</si>
  <si>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</si>
  <si>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</si>
  <si>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</si>
  <si>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</si>
  <si>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</si>
  <si>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</si>
  <si>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</si>
  <si>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</si>
  <si>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</si>
  <si>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</si>
  <si>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</si>
  <si>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</si>
  <si>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</si>
  <si>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</si>
  <si>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</si>
  <si>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</si>
  <si>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</si>
  <si>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</si>
  <si>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</si>
  <si>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</si>
  <si>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</si>
  <si>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</si>
  <si>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</si>
  <si>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</si>
  <si>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</si>
  <si>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</si>
  <si>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</si>
  <si>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</si>
  <si>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</si>
  <si>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</si>
  <si>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</si>
  <si>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</si>
  <si>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</si>
  <si>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</si>
  <si>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</si>
  <si>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</si>
  <si>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</si>
  <si>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</si>
  <si>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</si>
  <si>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</si>
  <si>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</si>
  <si>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</si>
  <si>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</si>
  <si>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</si>
  <si>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</si>
  <si>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</si>
  <si>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</si>
  <si>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</si>
  <si>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</si>
  <si>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</si>
  <si>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</si>
  <si>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</si>
  <si>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</si>
  <si>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</si>
  <si>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</si>
  <si>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</si>
  <si>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</si>
  <si>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</si>
  <si>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</si>
  <si>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</si>
  <si>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</si>
  <si>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</si>
  <si>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</si>
  <si>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</si>
  <si>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</si>
  <si>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</si>
  <si>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</si>
  <si>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</si>
  <si>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</si>
  <si>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</si>
  <si>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</si>
  <si>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</si>
  <si>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</si>
  <si>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</si>
  <si>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</si>
  <si>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</si>
  <si>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</si>
  <si>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</si>
  <si>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</si>
  <si>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</si>
  <si>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</si>
  <si>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</si>
  <si>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</si>
  <si>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</si>
  <si>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</si>
  <si>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</si>
  <si>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</si>
  <si>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</si>
  <si>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</si>
  <si>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</si>
  <si>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</si>
  <si>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</si>
  <si>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</si>
  <si>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</si>
  <si>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</si>
  <si>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</si>
  <si>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</si>
  <si>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</si>
  <si>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</si>
  <si>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</si>
  <si>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</si>
  <si>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</si>
  <si>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</si>
  <si>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</si>
  <si>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</si>
  <si>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</si>
  <si>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</si>
  <si>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</si>
  <si>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</si>
  <si>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</si>
  <si>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</si>
  <si>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</si>
  <si>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</si>
  <si>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</si>
  <si>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</si>
  <si>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</si>
  <si>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</si>
  <si>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</si>
  <si>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</si>
  <si>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</si>
  <si>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</si>
  <si>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</si>
  <si>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</si>
  <si>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</si>
  <si>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</si>
  <si>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</si>
  <si>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</si>
  <si>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</si>
  <si>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</si>
  <si>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</si>
  <si>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</si>
  <si>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</si>
  <si>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</si>
  <si>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</si>
  <si>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</si>
  <si>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</si>
  <si>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</si>
  <si>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</si>
  <si>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</si>
  <si>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</si>
  <si>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</si>
  <si>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</si>
  <si>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</si>
  <si>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</si>
  <si>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</si>
  <si>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</si>
  <si>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</si>
  <si>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</si>
  <si>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</si>
  <si>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</si>
  <si>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</si>
  <si>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</si>
  <si>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</si>
  <si>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</si>
  <si>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</si>
  <si>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</si>
  <si>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</si>
  <si>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</si>
  <si>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</si>
  <si>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</si>
  <si>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</si>
  <si>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</si>
  <si>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</si>
  <si>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</si>
  <si>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</si>
  <si>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</si>
  <si>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</si>
  <si>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</si>
  <si>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</si>
  <si>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</si>
  <si>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</si>
  <si>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</si>
  <si>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</si>
  <si>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</si>
  <si>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</si>
  <si>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</si>
  <si>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</si>
  <si>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</si>
  <si>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</si>
  <si>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</si>
  <si>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</si>
  <si>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</si>
  <si>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</si>
  <si>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</si>
  <si>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</si>
  <si>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</si>
  <si>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</si>
  <si>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</si>
  <si>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</si>
  <si>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</si>
  <si>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</si>
  <si>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</si>
  <si>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</si>
  <si>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</si>
  <si>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</si>
  <si>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</si>
  <si>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</si>
  <si>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</si>
  <si>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</si>
  <si>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</si>
  <si>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</si>
  <si>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</si>
  <si>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</si>
  <si>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</si>
  <si>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</si>
  <si>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</si>
  <si>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</si>
  <si>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</si>
  <si>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</si>
  <si>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</si>
  <si>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</si>
  <si>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</si>
  <si>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</si>
  <si>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</si>
  <si>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</si>
  <si>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</si>
  <si>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</si>
  <si>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</si>
  <si>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</si>
  <si>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</si>
  <si>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</si>
  <si>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</si>
  <si>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</si>
  <si>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</si>
  <si>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</si>
  <si>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</si>
  <si>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</si>
  <si>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</si>
  <si>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</si>
  <si>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</si>
  <si>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</si>
  <si>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</si>
  <si>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</si>
  <si>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</si>
  <si>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</si>
  <si>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</si>
  <si>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</si>
  <si>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</si>
  <si>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</si>
  <si>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</si>
  <si>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</si>
  <si>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</si>
  <si>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</si>
  <si>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</si>
  <si>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</si>
  <si>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</si>
  <si>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</si>
  <si>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</si>
  <si>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</si>
  <si>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</si>
  <si>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</si>
  <si>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</si>
  <si>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</si>
  <si>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</si>
  <si>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</si>
  <si>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</si>
  <si>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</si>
  <si>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</si>
  <si>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</si>
  <si>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</si>
  <si>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</si>
  <si>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</si>
  <si>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</si>
  <si>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</si>
  <si>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</si>
  <si>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</si>
  <si>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</si>
  <si>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</si>
  <si>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</si>
  <si>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</si>
  <si>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</si>
  <si>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</si>
  <si>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</si>
  <si>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</si>
  <si>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</si>
  <si>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</si>
  <si>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</si>
  <si>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</si>
  <si>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</si>
  <si>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</si>
  <si>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</si>
  <si>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</si>
  <si>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</si>
  <si>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</si>
  <si>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</si>
  <si>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</si>
  <si>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</si>
  <si>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</si>
  <si>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</si>
  <si>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</si>
  <si>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</si>
  <si>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</si>
  <si>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</si>
  <si>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</si>
  <si>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</si>
  <si>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</si>
  <si>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</si>
  <si>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</si>
  <si>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</si>
  <si>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</si>
  <si>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</si>
  <si>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</si>
  <si>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</si>
  <si>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</si>
  <si>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</si>
  <si>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</si>
  <si>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</si>
  <si>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</si>
  <si>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</si>
  <si>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</si>
  <si>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</si>
  <si>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</si>
  <si>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</si>
  <si>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</si>
  <si>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</si>
  <si>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</si>
  <si>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</si>
  <si>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</si>
  <si>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</si>
  <si>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</si>
  <si>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</si>
  <si>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</si>
  <si>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</si>
  <si>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</si>
  <si>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</si>
  <si>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</si>
  <si>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</si>
  <si>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</si>
  <si>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</si>
  <si>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</si>
  <si>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</si>
  <si>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</si>
  <si>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</si>
  <si>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</si>
  <si>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</si>
  <si>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</si>
  <si>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</si>
  <si>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</si>
  <si>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</si>
  <si>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</si>
  <si>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</si>
  <si>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</si>
  <si>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</si>
  <si>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</si>
  <si>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</si>
  <si>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</si>
  <si>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</si>
  <si>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</si>
  <si>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</si>
  <si>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</si>
  <si>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</si>
  <si>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</si>
  <si>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</si>
  <si>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</si>
  <si>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</si>
  <si>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</si>
  <si>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</si>
  <si>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</si>
  <si>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</si>
  <si>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</si>
  <si>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</si>
  <si>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</si>
  <si>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</si>
  <si>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</si>
  <si>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</si>
  <si>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</si>
  <si>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</si>
  <si>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</si>
  <si>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</si>
  <si>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</si>
  <si>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</si>
  <si>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</si>
  <si>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</si>
  <si>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</si>
  <si>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</si>
  <si>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</si>
  <si>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</si>
  <si>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</si>
  <si>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</si>
  <si>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</si>
  <si>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</si>
  <si>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</si>
  <si>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</si>
  <si>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</si>
  <si>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</si>
  <si>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</si>
  <si>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</si>
  <si>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</si>
  <si>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</si>
  <si>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</si>
  <si>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</si>
  <si>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</si>
  <si>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</si>
  <si>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</si>
  <si>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</si>
  <si>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</si>
  <si>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</si>
  <si>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</si>
  <si>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</si>
  <si>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</si>
  <si>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</si>
  <si>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</si>
  <si>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</si>
  <si>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</si>
  <si>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</si>
  <si>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</si>
  <si>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</si>
  <si>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</si>
  <si>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</si>
  <si>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</si>
  <si>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</si>
  <si>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</si>
  <si>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</si>
  <si>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</si>
  <si>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</si>
  <si>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</si>
  <si>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</si>
  <si>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</si>
  <si>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</si>
  <si>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</si>
  <si>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</si>
  <si>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</si>
  <si>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</si>
  <si>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</si>
  <si>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</si>
  <si>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</si>
  <si>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</si>
  <si>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</si>
  <si>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</si>
  <si>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</si>
  <si>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</si>
  <si>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</si>
  <si>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</si>
  <si>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</si>
  <si>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</si>
  <si>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</si>
  <si>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</si>
  <si>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</si>
  <si>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</si>
  <si>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</si>
  <si>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</si>
  <si>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</si>
  <si>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</si>
  <si>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</si>
  <si>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</si>
  <si>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</si>
  <si>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</si>
  <si>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</si>
  <si>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</si>
  <si>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</si>
  <si>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</si>
  <si>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</si>
  <si>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</si>
  <si>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</si>
  <si>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</si>
  <si>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</si>
  <si>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</si>
  <si>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</si>
  <si>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</si>
  <si>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</si>
  <si>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</si>
  <si>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</si>
  <si>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</si>
  <si>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</si>
  <si>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</si>
  <si>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</si>
  <si>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</si>
  <si>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</si>
  <si>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</si>
  <si>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</si>
  <si>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</si>
  <si>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</si>
  <si>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</si>
  <si>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</si>
  <si>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</si>
  <si>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</si>
  <si>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</si>
  <si>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</si>
  <si>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</si>
  <si>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</si>
  <si>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</si>
  <si>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</si>
  <si>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</si>
  <si>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</si>
  <si>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</si>
  <si>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</si>
  <si>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</si>
  <si>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</si>
  <si>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</si>
  <si>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</si>
  <si>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</si>
  <si>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</si>
  <si>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</si>
  <si>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</si>
  <si>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</si>
  <si>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</si>
  <si>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</si>
  <si>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</si>
  <si>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</si>
  <si>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</si>
  <si>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</si>
  <si>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</si>
  <si>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</si>
  <si>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</si>
  <si>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</si>
  <si>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</si>
  <si>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</si>
  <si>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</si>
  <si>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</si>
  <si>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</si>
  <si>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</si>
  <si>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</si>
  <si>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</si>
  <si>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</si>
  <si>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</si>
  <si>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</si>
  <si>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</si>
  <si>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</si>
  <si>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</si>
  <si>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</si>
  <si>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</si>
  <si>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</si>
  <si>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</si>
  <si>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</si>
  <si>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</si>
  <si>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</si>
  <si>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</si>
  <si>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</si>
  <si>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</si>
  <si>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</si>
  <si>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</si>
  <si>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</si>
  <si>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</si>
  <si>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</si>
  <si>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</si>
  <si>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</si>
  <si>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</si>
  <si>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</si>
  <si>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</si>
  <si>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</si>
  <si>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</si>
  <si>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</si>
  <si>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</si>
  <si>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</si>
  <si>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</si>
  <si>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</si>
  <si>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</si>
  <si>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</si>
  <si>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</si>
  <si>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</si>
  <si>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</si>
  <si>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</si>
  <si>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</si>
  <si>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</si>
  <si>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</si>
  <si>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</si>
  <si>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</si>
  <si>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</si>
  <si>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</si>
  <si>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</si>
  <si>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</si>
  <si>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</si>
  <si>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</si>
  <si>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</si>
  <si>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</si>
  <si>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</si>
  <si>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</si>
  <si>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</si>
  <si>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</si>
  <si>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</si>
  <si>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</si>
  <si>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</si>
  <si>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</si>
  <si>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</si>
  <si>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</si>
  <si>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</si>
  <si>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</si>
  <si>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</si>
  <si>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</si>
  <si>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</si>
  <si>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</si>
  <si>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</si>
  <si>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</si>
  <si>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</si>
  <si>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</si>
  <si>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</si>
  <si>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</si>
  <si>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</si>
  <si>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</si>
  <si>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</si>
  <si>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</si>
  <si>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</si>
  <si>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</si>
  <si>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</si>
  <si>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</si>
  <si>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</si>
  <si>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</si>
  <si>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</si>
  <si>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</si>
  <si>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</si>
  <si>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</si>
  <si>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</si>
  <si>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</si>
  <si>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</si>
  <si>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</si>
  <si>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</si>
  <si>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</si>
  <si>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</si>
  <si>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</si>
  <si>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</si>
  <si>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</si>
  <si>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</si>
  <si>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</si>
  <si>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</si>
  <si>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</si>
  <si>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</si>
  <si>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</si>
  <si>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</si>
  <si>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</si>
  <si>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</si>
  <si>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</si>
  <si>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</si>
  <si>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</si>
  <si>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</si>
  <si>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</si>
  <si>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</si>
  <si>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</si>
  <si>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</si>
  <si>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</si>
  <si>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</si>
  <si>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</si>
  <si>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</si>
  <si>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</si>
  <si>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</si>
  <si>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</si>
  <si>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</si>
  <si>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</si>
  <si>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</si>
  <si>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</si>
  <si>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</si>
  <si>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</si>
  <si>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</si>
  <si>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</si>
  <si>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</si>
  <si>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</si>
  <si>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</si>
  <si>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</si>
  <si>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</si>
  <si>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</si>
  <si>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</si>
  <si>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</si>
  <si>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</si>
  <si>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</si>
  <si>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</si>
  <si>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</si>
  <si>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</si>
  <si>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</si>
  <si>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</si>
  <si>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</si>
  <si>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</si>
  <si>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</si>
  <si>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</si>
  <si>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</si>
  <si>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</si>
  <si>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</si>
  <si>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</si>
  <si>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</si>
  <si>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</si>
  <si>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</si>
  <si>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</si>
  <si>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</si>
  <si>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</si>
  <si>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</si>
  <si>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</si>
  <si>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</si>
  <si>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</si>
  <si>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</si>
  <si>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</si>
  <si>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</si>
  <si>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</si>
  <si>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</si>
  <si>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</si>
  <si>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</si>
  <si>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</si>
  <si>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</si>
  <si>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</si>
  <si>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</si>
  <si>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</si>
  <si>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</si>
  <si>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</si>
  <si>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</si>
  <si>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</si>
  <si>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</si>
  <si>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</si>
  <si>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</si>
  <si>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</si>
  <si>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</si>
  <si>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</si>
  <si>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</si>
  <si>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</si>
  <si>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</si>
  <si>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</si>
  <si>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</si>
  <si>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</si>
  <si>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</si>
  <si>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</si>
  <si>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</si>
  <si>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</si>
  <si>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</si>
  <si>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</si>
  <si>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</si>
  <si>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</si>
  <si>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</si>
  <si>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</si>
  <si>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</si>
  <si>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</si>
  <si>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</si>
  <si>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</si>
  <si>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</si>
  <si>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</si>
  <si>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</si>
  <si>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</si>
  <si>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</si>
  <si>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</si>
  <si>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</si>
  <si>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</si>
  <si>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</si>
  <si>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</si>
  <si>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</si>
  <si>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</si>
  <si>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</si>
  <si>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</si>
  <si>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</si>
  <si>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</si>
  <si>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</si>
  <si>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</si>
  <si>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</si>
  <si>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</si>
  <si>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</si>
  <si>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</si>
  <si>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</si>
  <si>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</si>
  <si>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</si>
  <si>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</si>
  <si>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</si>
  <si>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</si>
  <si>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</si>
  <si>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</si>
  <si>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</si>
  <si>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</si>
  <si>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</si>
  <si>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</si>
  <si>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</si>
  <si>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</si>
  <si>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</si>
  <si>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</si>
  <si>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</si>
  <si>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</si>
  <si>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</si>
  <si>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</si>
  <si>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</si>
  <si>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</si>
  <si>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</si>
  <si>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</si>
  <si>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</si>
  <si>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</si>
  <si>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</si>
  <si>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</si>
  <si>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</si>
  <si>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</si>
  <si>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</si>
  <si>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</si>
  <si>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</si>
  <si>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</si>
  <si>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</si>
  <si>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</si>
  <si>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</si>
  <si>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</si>
  <si>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</si>
  <si>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</si>
  <si>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</si>
  <si>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</si>
  <si>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</si>
  <si>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</si>
  <si>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</si>
  <si>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</si>
  <si>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</si>
  <si>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</si>
  <si>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</si>
  <si>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</si>
  <si>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</si>
  <si>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</si>
  <si>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</si>
  <si>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</si>
  <si>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</si>
  <si>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</si>
  <si>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</si>
  <si>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</si>
  <si>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</si>
  <si>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</si>
  <si>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</si>
  <si>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</si>
  <si>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</si>
  <si>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</si>
  <si>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</si>
  <si>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</si>
  <si>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</si>
  <si>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</si>
  <si>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</si>
  <si>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</si>
  <si>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</si>
  <si>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</si>
  <si>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</si>
  <si>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</si>
  <si>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</si>
  <si>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</si>
  <si>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</si>
  <si>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</si>
  <si>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</si>
  <si>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</si>
  <si>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</si>
  <si>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</si>
  <si>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</si>
  <si>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</si>
  <si>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</si>
  <si>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</si>
  <si>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</si>
  <si>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</si>
  <si>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</si>
  <si>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</si>
  <si>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</si>
  <si>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</si>
  <si>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</si>
  <si>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</si>
  <si>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</si>
  <si>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</si>
  <si>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</si>
  <si>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</si>
  <si>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</si>
  <si>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</si>
  <si>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</si>
  <si>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</si>
  <si>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</si>
  <si>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</si>
  <si>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</si>
  <si>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</si>
  <si>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</si>
  <si>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</si>
  <si>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</si>
  <si>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</si>
  <si>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</si>
  <si>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</si>
  <si>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</si>
  <si>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</si>
  <si>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</si>
  <si>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</si>
  <si>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</si>
  <si>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</si>
  <si>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</si>
  <si>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</si>
  <si>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</si>
  <si>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</si>
  <si>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</si>
  <si>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</si>
  <si>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</si>
  <si>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</si>
  <si>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</si>
  <si>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</si>
  <si>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</si>
  <si>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</si>
  <si>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</si>
  <si>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</si>
  <si>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</si>
  <si>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</si>
  <si>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</si>
  <si>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</si>
  <si>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</si>
  <si>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</si>
  <si>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</si>
  <si>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</si>
  <si>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</si>
  <si>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</si>
  <si>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</si>
  <si>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</si>
  <si>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</si>
  <si>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</si>
  <si>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</si>
  <si>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</si>
  <si>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</si>
  <si>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</si>
  <si>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</si>
  <si>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</si>
  <si>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</si>
  <si>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</si>
  <si>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</si>
  <si>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</si>
  <si>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</si>
  <si>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</si>
  <si>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</si>
  <si>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</si>
  <si>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</si>
  <si>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</si>
  <si>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</si>
  <si>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</si>
  <si>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</si>
  <si>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</si>
  <si>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</si>
  <si>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</si>
  <si>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</si>
  <si>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</si>
  <si>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</si>
  <si>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</si>
  <si>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</si>
  <si>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</si>
  <si>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</si>
  <si>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</si>
  <si>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</si>
  <si>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</si>
  <si>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</si>
  <si>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</si>
  <si>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</si>
  <si>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</si>
  <si>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</si>
  <si>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</si>
  <si>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</si>
  <si>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</si>
  <si>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</si>
  <si>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</si>
  <si>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</si>
  <si>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</si>
  <si>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</si>
  <si>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</si>
  <si>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</si>
  <si>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</si>
  <si>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</si>
  <si>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</si>
  <si>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</si>
  <si>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</si>
  <si>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</si>
  <si>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</si>
  <si>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</si>
  <si>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</si>
  <si>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</si>
  <si>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</si>
  <si>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</si>
  <si>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</si>
  <si>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</si>
  <si>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</si>
  <si>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</si>
  <si>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</si>
  <si>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</si>
  <si>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</si>
  <si>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</si>
  <si>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</si>
  <si>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</si>
  <si>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</si>
  <si>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</si>
  <si>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</si>
  <si>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</si>
  <si>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</si>
  <si>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</si>
  <si>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</si>
  <si>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</si>
  <si>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</si>
  <si>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</si>
  <si>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</si>
  <si>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</si>
  <si>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</si>
  <si>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</si>
  <si>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</si>
  <si>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</si>
  <si>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</si>
  <si>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</si>
  <si>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</si>
  <si>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</si>
  <si>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</si>
  <si>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</si>
  <si>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</si>
  <si>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</si>
  <si>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</si>
  <si>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</si>
  <si>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</si>
  <si>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</si>
  <si>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</si>
  <si>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</si>
  <si>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</si>
  <si>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</si>
  <si>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</si>
  <si>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</si>
  <si>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</si>
  <si>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</si>
  <si>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</si>
  <si>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</si>
  <si>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</si>
  <si>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</si>
  <si>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</si>
  <si>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</si>
  <si>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</si>
  <si>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</si>
  <si>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</si>
  <si>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</si>
  <si>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</si>
  <si>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</si>
  <si>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</si>
  <si>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</si>
  <si>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</si>
  <si>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</si>
  <si>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</si>
  <si>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</si>
  <si>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</si>
  <si>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</si>
  <si>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</si>
  <si>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8/2004</t>
  </si>
  <si>
    <t>8/2024</t>
  </si>
  <si>
    <t>7/2020</t>
  </si>
  <si>
    <t>8/2028</t>
  </si>
  <si>
    <t>Other Deletions due to rounding adjustments</t>
  </si>
  <si>
    <t>Other Additions due to rounding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</si>
</sst>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0" fontId="15" fillId="41" borderId="0" xfId="0" applyFon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30" zoomScaleNormal="13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1118</v>
      </c>
      <c r="B2" s="126">
        <f>INDEX('School Tables'!$AH$3:$AH$208,MATCH('DOE25'!A2,'School Tables'!$AJ$3:$AJ$208,0))</f>
        <v>260</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3260982.22</v>
      </c>
      <c r="G9" s="18">
        <v>16398.75</v>
      </c>
      <c r="H9" s="18">
        <f>0.01+3130.56</f>
        <v>3130.57</v>
      </c>
      <c r="I9" s="18">
        <v>-481.6</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195379.69</v>
      </c>
      <c r="G13" s="18">
        <v>217455.37</v>
      </c>
      <c r="H13" s="18">
        <f>167498.53</f>
        <v>167498.53</v>
      </c>
      <c r="I13" s="18"/>
      <c r="J13" s="67">
        <f>SUM(I443)</f>
        <v>371773.13</v>
      </c>
      <c r="K13" s="24" t="s">
        <v>288</v>
      </c>
      <c r="L13" s="24" t="s">
        <v>288</v>
      </c>
      <c r="M13" s="8"/>
      <c r="N13" s="265"/>
    </row>
    <row r="14" spans="1:14" s="3" customFormat="1" ht="12.2" customHeight="1" x14ac:dyDescent="0.15">
      <c r="A14" s="1" t="s">
        <v>565</v>
      </c>
      <c r="B14" s="2" t="s">
        <v>289</v>
      </c>
      <c r="C14" s="6">
        <v>6</v>
      </c>
      <c r="D14" s="2" t="s">
        <v>428</v>
      </c>
      <c r="E14" s="6">
        <v>150</v>
      </c>
      <c r="F14" s="18">
        <v>851.4</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16621.349999999999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28373.68</v>
      </c>
      <c r="G17" s="18"/>
      <c r="H17" s="18">
        <f>6890+3690</f>
        <v>10580</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3485586.99</v>
      </c>
      <c r="G19" s="41">
        <f>SUM(G9:G18)</f>
        <v>250475.47</v>
      </c>
      <c r="H19" s="41">
        <f>SUM(H9:H18)</f>
        <v>181209.1</v>
      </c>
      <c r="I19" s="41">
        <f>SUM(I9:I18)</f>
        <v>-481.6</v>
      </c>
      <c r="J19" s="41">
        <f>SUM(J9:J18)</f>
        <v>371773.13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-499242.42*-1</f>
        <v>499242.42</v>
      </c>
      <c r="G22" s="18">
        <v>-321819.03000000003</v>
      </c>
      <c r="H22" s="18">
        <f>-258300.78+-87000.52</f>
        <v>-345301.3</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f>-244777.4*-1</f>
        <v>244777.4</v>
      </c>
      <c r="G23" s="18"/>
      <c r="H23" s="18">
        <f>3210+167877.91</f>
        <v>171087.91</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-151092.51*-1</f>
        <v>151092.51</v>
      </c>
      <c r="G24" s="18">
        <v>495</v>
      </c>
      <c r="H24" s="18">
        <f>1800.62+933.13</f>
        <v>2733.75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(130767.73-59631.17)*-1</f>
        <v>-71136.56</v>
      </c>
      <c r="G28" s="18">
        <v>1818.04</v>
      </c>
      <c r="H28" s="18">
        <f>1500+1200.67</f>
        <v>2700.67</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5002.54+4939.84</f>
        <v>9942.380000000001</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34982.620000000003</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833918.15</v>
      </c>
      <c r="G32" s="41">
        <f>SUM(G22:G31)</f>
        <v>-284523.37000000005</v>
      </c>
      <c r="H32" s="41">
        <f>SUM(H22:H31)</f>
        <v>-168778.96999999997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16621.349999999999</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28373.68</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-481.6</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v>518377.49</v>
      </c>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225000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700299.73</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f>180760+7799</f>
        <v>188559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262987.55+87000.52</f>
        <v>349988.07</v>
      </c>
      <c r="I48" s="18"/>
      <c r="J48" s="13">
        <f>SUM(I460)</f>
        <v>371773.13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1517235.43-7799</f>
        <v>1509436.43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2651668.84</v>
      </c>
      <c r="G51" s="41">
        <f>SUM(G35:G50)</f>
        <v>534998.84</v>
      </c>
      <c r="H51" s="41">
        <f>SUM(H35:H50)</f>
        <v>349988.07</v>
      </c>
      <c r="I51" s="41">
        <f>SUM(I35:I50)</f>
        <v>-481.6</v>
      </c>
      <c r="J51" s="41">
        <f>SUM(J35:J50)</f>
        <v>371773.13</v>
      </c>
      <c r="K51" s="45" t="s">
        <v>288</v>
      </c>
      <c r="L51" s="45" t="s">
        <v>288</v>
      </c>
      <c r="N51" s="263"/>
    </row>
    <row r="52" spans="1:14" s="3" customFormat="1" ht="12.2" customHeight="1" thickTop="1" x14ac:dyDescent="0.15">
      <c r="A52" s="38" t="s">
        <v>455</v>
      </c>
      <c r="B52" s="39" t="s">
        <v>289</v>
      </c>
      <c r="C52" s="6">
        <v>37</v>
      </c>
      <c r="D52" s="39" t="s">
        <v>653</v>
      </c>
      <c r="E52" s="39"/>
      <c r="F52" s="41">
        <f>F51+F32</f>
        <v>3485586.9899999998</v>
      </c>
      <c r="G52" s="41">
        <f>G51+G32</f>
        <v>250475.46999999991</v>
      </c>
      <c r="H52" s="41">
        <f>H51+H32</f>
        <v>181209.10000000003</v>
      </c>
      <c r="I52" s="41">
        <f>I51+I32</f>
        <v>-481.6</v>
      </c>
      <c r="J52" s="41">
        <f>J51+J32</f>
        <v>371773.13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7579079.59+9210801.28</f>
        <v>16789880.869999997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16789880.869999997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34935.81</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34935.81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2634.54</v>
      </c>
      <c r="G96" s="18">
        <v>0.68</v>
      </c>
      <c r="H96" s="18"/>
      <c r="I96" s="18"/>
      <c r="J96" s="18">
        <f>932.35</f>
        <v>932.35</v>
      </c>
      <c r="K96" s="24" t="s">
        <v>288</v>
      </c>
      <c r="L96" s="24" t="s">
        <v>288</v>
      </c>
      <c r="M96" s="8"/>
      <c r="N96" s="265"/>
    </row>
    <row r="97" spans="1:14" s="3" customFormat="1" ht="12.2" customHeight="1" x14ac:dyDescent="0.15">
      <c r="A97" s="1" t="s">
        <v>503</v>
      </c>
      <c r="B97" s="2" t="s">
        <v>315</v>
      </c>
      <c r="C97" s="6">
        <v>12</v>
      </c>
      <c r="D97" s="2" t="s">
        <v>430</v>
      </c>
      <c r="E97" s="6">
        <v>1600</v>
      </c>
      <c r="F97" s="24" t="s">
        <v>288</v>
      </c>
      <c r="G97" s="18">
        <f>47094.51+105227.94+8602.28+20671.34+2032.35+6168.15</f>
        <v>189796.57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f>118837.64+129861.22-34766.26</f>
        <v>213932.59999999998</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1742</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754.94</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25943.7+180728.73+845.26</f>
        <v>207517.69000000003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211894.23000000004</v>
      </c>
      <c r="G111" s="41">
        <f>SUM(G96:G110)</f>
        <v>189797.25</v>
      </c>
      <c r="H111" s="41">
        <f>SUM(H96:H110)</f>
        <v>214687.53999999998</v>
      </c>
      <c r="I111" s="41">
        <f>SUM(I96:I110)</f>
        <v>0</v>
      </c>
      <c r="J111" s="41">
        <f>SUM(J96:J110)</f>
        <v>932.35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17036710.909999996</v>
      </c>
      <c r="G112" s="41">
        <f>G60+G111</f>
        <v>189797.25</v>
      </c>
      <c r="H112" s="41">
        <f>H60+H79+H94+H111</f>
        <v>214687.53999999998</v>
      </c>
      <c r="I112" s="41">
        <f>I60+I111</f>
        <v>0</v>
      </c>
      <c r="J112" s="41">
        <f>J60+J111</f>
        <v>932.35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3287543.13</f>
        <v>3287543.13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2065992.13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5353535.26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209361.95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512190.31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5981.7</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12683.5-0.01</f>
        <v>12683.49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8752.81</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727533.96</v>
      </c>
      <c r="G136" s="41">
        <f>SUM(G123:G135)</f>
        <v>12683.49</v>
      </c>
      <c r="H136" s="41">
        <f>SUM(H123:H135)</f>
        <v>8752.81</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6081069.2199999997</v>
      </c>
      <c r="G140" s="41">
        <f>G121+SUM(G136:G137)</f>
        <v>12683.49</v>
      </c>
      <c r="H140" s="41">
        <f>H121+SUM(H136:H139)</f>
        <v>8752.81</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v>25268.22</v>
      </c>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25268.22</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27536.24+1600</f>
        <v>29136.240000000002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190005.43+393706.54</f>
        <v>583711.97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322800.83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78026.759999999995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80419.929999999993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78026.759999999995</v>
      </c>
      <c r="G163" s="41">
        <f>SUM(G150:G162)</f>
        <v>583711.97</v>
      </c>
      <c r="H163" s="41">
        <f>SUM(H150:H162)</f>
        <v>432357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78026.759999999995</v>
      </c>
      <c r="G170" s="41">
        <f>G147+G163+SUM(G164:G169)</f>
        <v>608980.18999999994</v>
      </c>
      <c r="H170" s="41">
        <f>H147+H163+SUM(H164:H169)</f>
        <v>432357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v>34766.26</v>
      </c>
      <c r="I180" s="18"/>
      <c r="J180" s="18">
        <f>115000</f>
        <v>115000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34766.26</v>
      </c>
      <c r="I184" s="41">
        <f>SUM(I180:I183)</f>
        <v>0</v>
      </c>
      <c r="J184" s="41">
        <f>SUM(J180:J183)</f>
        <v>115000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34766.26</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v>6413.2</v>
      </c>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41179.46</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41179.46</v>
      </c>
      <c r="G193" s="41">
        <f>G184+SUM(G189:G192)</f>
        <v>0</v>
      </c>
      <c r="H193" s="41">
        <f>+H184+SUM(H189:H192)</f>
        <v>34766.26</v>
      </c>
      <c r="I193" s="41">
        <f>I178+I184+SUM(I189:I192)</f>
        <v>0</v>
      </c>
      <c r="J193" s="41">
        <f>J184</f>
        <v>115000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23236986.349999998</v>
      </c>
      <c r="G194" s="47">
        <f>G112+G140+G170+G193</f>
        <v>811460.92999999993</v>
      </c>
      <c r="H194" s="47">
        <f>H112+H140+H170+H193</f>
        <v>690563.61</v>
      </c>
      <c r="I194" s="47">
        <f>I112+I140+I170+I193</f>
        <v>0</v>
      </c>
      <c r="J194" s="47">
        <f>J112+J140+J193</f>
        <v>115932.35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2080151.59+2038.64+19772.16+315.07</f>
        <v>2102277.46</v>
      </c>
      <c r="G216" s="18">
        <v>988770</v>
      </c>
      <c r="H216" s="18">
        <f>5086.9+1845+1900+2880</f>
        <v>11711.9</v>
      </c>
      <c r="I216" s="18">
        <f>62156.93+511.36+2.56+423.68+484</f>
        <v>63578.53</v>
      </c>
      <c r="J216" s="18">
        <v>10574.56</v>
      </c>
      <c r="K216" s="18">
        <v>1246.5</v>
      </c>
      <c r="L216" s="19">
        <f>SUM(F216:K216)</f>
        <v>3178158.9499999997</v>
      </c>
      <c r="M216" s="8"/>
      <c r="N216" s="265"/>
    </row>
    <row r="217" spans="1:14" s="3" customFormat="1" ht="12.2" customHeight="1" x14ac:dyDescent="0.15">
      <c r="A217" s="1" t="s">
        <v>439</v>
      </c>
      <c r="B217" s="2" t="s">
        <v>346</v>
      </c>
      <c r="C217" s="2" t="s">
        <v>291</v>
      </c>
      <c r="D217" s="2" t="s">
        <v>431</v>
      </c>
      <c r="E217" s="6">
        <v>1200</v>
      </c>
      <c r="F217" s="18">
        <f>543491.38+27447.36+1490.38+18258.15+3345.2</f>
        <v>594032.47</v>
      </c>
      <c r="G217" s="18">
        <v>279393</v>
      </c>
      <c r="H217" s="18">
        <f>281764.25+7325.02</f>
        <v>289089.27</v>
      </c>
      <c r="I217" s="18">
        <v>7497.11</v>
      </c>
      <c r="J217" s="18">
        <v>115</v>
      </c>
      <c r="K217" s="18">
        <v>780</v>
      </c>
      <c r="L217" s="19">
        <f>SUM(F217:K217)</f>
        <v>1170906.8500000001</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f>75685+27373.44</f>
        <v>103058.44</v>
      </c>
      <c r="G219" s="18">
        <v>48472</v>
      </c>
      <c r="H219" s="18">
        <f>19245.27+2856-10208.27</f>
        <v>11893</v>
      </c>
      <c r="I219" s="18">
        <f>8831.47+180</f>
        <v>9011.4699999999993</v>
      </c>
      <c r="J219" s="18">
        <f>2046.89+4023.87+4962.99</f>
        <v>11033.75</v>
      </c>
      <c r="K219" s="18">
        <v>1040</v>
      </c>
      <c r="L219" s="19">
        <f>SUM(F219:K219)</f>
        <v>184508.66</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276066+10914.18+9395.33</f>
        <v>296375.51</v>
      </c>
      <c r="G221" s="18">
        <v>139395</v>
      </c>
      <c r="H221" s="18">
        <f>132037.29+25566.73+3014.77</f>
        <v>160618.79</v>
      </c>
      <c r="I221" s="18">
        <v>3672.63</v>
      </c>
      <c r="J221" s="18">
        <v>0</v>
      </c>
      <c r="K221" s="18">
        <v>0</v>
      </c>
      <c r="L221" s="19">
        <f t="shared" ref="L221:L227" si="2">SUM(F221:K221)</f>
        <v>600061.93000000005</v>
      </c>
      <c r="M221" s="8"/>
      <c r="N221" s="265"/>
    </row>
    <row r="222" spans="1:14" s="3" customFormat="1" ht="12.2" customHeight="1" x14ac:dyDescent="0.15">
      <c r="A222" s="1" t="s">
        <v>443</v>
      </c>
      <c r="B222" s="2" t="s">
        <v>346</v>
      </c>
      <c r="C222" s="2" t="s">
        <v>295</v>
      </c>
      <c r="D222" s="2" t="s">
        <v>431</v>
      </c>
      <c r="E222" s="6">
        <v>2200</v>
      </c>
      <c r="F222" s="18">
        <f>102392.26+624+201.15+23707.01</f>
        <v>126924.41999999998</v>
      </c>
      <c r="G222" s="18">
        <v>59697</v>
      </c>
      <c r="H222" s="18">
        <f>352.68+96+96</f>
        <v>544.68000000000006</v>
      </c>
      <c r="I222" s="18">
        <f>11677.84+439.03</f>
        <v>12116.87</v>
      </c>
      <c r="J222" s="18">
        <f>54320.12+2375.76</f>
        <v>56695.880000000005</v>
      </c>
      <c r="K222" s="18">
        <v>0</v>
      </c>
      <c r="L222" s="19">
        <f t="shared" si="2"/>
        <v>255978.84999999998</v>
      </c>
      <c r="M222" s="8"/>
      <c r="N222" s="265"/>
    </row>
    <row r="223" spans="1:14" s="3" customFormat="1" ht="12.2" customHeight="1" x14ac:dyDescent="0.15">
      <c r="A223" s="1" t="s">
        <v>444</v>
      </c>
      <c r="B223" s="2" t="s">
        <v>346</v>
      </c>
      <c r="C223" s="2" t="s">
        <v>296</v>
      </c>
      <c r="D223" s="2" t="s">
        <v>431</v>
      </c>
      <c r="E223" s="6">
        <v>2300</v>
      </c>
      <c r="F223" s="18">
        <f>1056+320</f>
        <v>1376</v>
      </c>
      <c r="G223" s="18">
        <v>647</v>
      </c>
      <c r="H223" s="18">
        <f>325.76+2115.45+2150.41+935.84+690.88+4480+11247.63+319327.68+628.53</f>
        <v>341902.18000000005</v>
      </c>
      <c r="I223" s="18">
        <f>181.92</f>
        <v>181.92</v>
      </c>
      <c r="J223" s="18">
        <v>3477.09</v>
      </c>
      <c r="K223" s="18">
        <v>1587.88</v>
      </c>
      <c r="L223" s="19">
        <f t="shared" si="2"/>
        <v>349172.07000000007</v>
      </c>
      <c r="M223" s="8"/>
      <c r="N223" s="265"/>
    </row>
    <row r="224" spans="1:14" s="3" customFormat="1" ht="12.2" customHeight="1" x14ac:dyDescent="0.15">
      <c r="A224" s="1" t="s">
        <v>445</v>
      </c>
      <c r="B224" s="2" t="s">
        <v>346</v>
      </c>
      <c r="C224" s="2" t="s">
        <v>297</v>
      </c>
      <c r="D224" s="2" t="s">
        <v>431</v>
      </c>
      <c r="E224" s="6">
        <v>2400</v>
      </c>
      <c r="F224" s="18">
        <f>271582.23+160+2489.91</f>
        <v>274232.13999999996</v>
      </c>
      <c r="G224" s="18">
        <v>128980</v>
      </c>
      <c r="H224" s="18">
        <f>30296.55+848.04+11006.92</f>
        <v>42151.51</v>
      </c>
      <c r="I224" s="18">
        <f>256.62+46745.49+3199.25+826.67</f>
        <v>51028.03</v>
      </c>
      <c r="J224" s="18">
        <v>5198.3999999999996</v>
      </c>
      <c r="K224" s="18">
        <f>1060+36.27</f>
        <v>1096.27</v>
      </c>
      <c r="L224" s="19">
        <f t="shared" si="2"/>
        <v>502686.35</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700.57</v>
      </c>
      <c r="L225" s="19">
        <f t="shared" si="2"/>
        <v>700.57</v>
      </c>
      <c r="M225" s="8"/>
      <c r="N225" s="265"/>
    </row>
    <row r="226" spans="1:14" s="3" customFormat="1" ht="12.2" customHeight="1" x14ac:dyDescent="0.15">
      <c r="A226" s="1" t="s">
        <v>447</v>
      </c>
      <c r="B226" s="2" t="s">
        <v>346</v>
      </c>
      <c r="C226" s="2" t="s">
        <v>299</v>
      </c>
      <c r="D226" s="2" t="s">
        <v>431</v>
      </c>
      <c r="E226" s="6">
        <v>2600</v>
      </c>
      <c r="F226" s="18">
        <f>180250.67+6943.32</f>
        <v>187193.99000000002</v>
      </c>
      <c r="G226" s="18">
        <v>88043</v>
      </c>
      <c r="H226" s="18">
        <f>94197.98+16055.39+76+76</f>
        <v>110405.37</v>
      </c>
      <c r="I226" s="18">
        <f>156954.54+5297.48+1068.56</f>
        <v>163320.58000000002</v>
      </c>
      <c r="J226" s="18">
        <f>3537.74+820.19</f>
        <v>4357.93</v>
      </c>
      <c r="K226" s="18">
        <f>40283.25+21927.36+38718.81</f>
        <v>100929.42</v>
      </c>
      <c r="L226" s="19">
        <f t="shared" si="2"/>
        <v>654250.29</v>
      </c>
      <c r="M226" s="8"/>
      <c r="N226" s="265"/>
    </row>
    <row r="227" spans="1:14" s="3" customFormat="1" ht="12.2" customHeight="1" x14ac:dyDescent="0.15">
      <c r="A227" s="1" t="s">
        <v>448</v>
      </c>
      <c r="B227" s="2" t="s">
        <v>346</v>
      </c>
      <c r="C227" s="2" t="s">
        <v>300</v>
      </c>
      <c r="D227" s="2" t="s">
        <v>431</v>
      </c>
      <c r="E227" s="6">
        <v>2700</v>
      </c>
      <c r="F227" s="18">
        <v>0</v>
      </c>
      <c r="G227" s="18">
        <v>0</v>
      </c>
      <c r="H227" s="18">
        <f>324236.8+22.05+43.2+10208.27</f>
        <v>334510.32</v>
      </c>
      <c r="I227" s="18">
        <f>33527.18+493.96</f>
        <v>34021.14</v>
      </c>
      <c r="J227" s="18">
        <v>0</v>
      </c>
      <c r="K227" s="18">
        <v>0</v>
      </c>
      <c r="L227" s="19">
        <f t="shared" si="2"/>
        <v>368531.46</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3685470.43</v>
      </c>
      <c r="G230" s="41">
        <f>SUM(G216:G229)</f>
        <v>1733397</v>
      </c>
      <c r="H230" s="41">
        <f>SUM(H216:H229)</f>
        <v>1302827.02</v>
      </c>
      <c r="I230" s="41">
        <f>SUM(I216:I229)</f>
        <v>344428.28</v>
      </c>
      <c r="J230" s="41">
        <f>SUM(J216:J229)</f>
        <v>91452.609999999986</v>
      </c>
      <c r="K230" s="41">
        <f t="shared" si="3"/>
        <v>107380.64</v>
      </c>
      <c r="L230" s="41">
        <f t="shared" si="3"/>
        <v>7264955.9799999995</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3770284.45+4332.11+42015.84+669.53</f>
        <v>3817301.9299999997</v>
      </c>
      <c r="G234" s="18">
        <v>1901358</v>
      </c>
      <c r="H234" s="18">
        <f>5726.9+435+6120</f>
        <v>12281.9</v>
      </c>
      <c r="I234" s="18">
        <f>107148.92+1086.64+5.44+900.32+445</f>
        <v>109586.32</v>
      </c>
      <c r="J234" s="18">
        <f>21549.62+11719.6+769</f>
        <v>34038.22</v>
      </c>
      <c r="K234" s="18">
        <f>4138+5000</f>
        <v>9138</v>
      </c>
      <c r="L234" s="19">
        <f>SUM(F234:K234)</f>
        <v>5883704.3700000001</v>
      </c>
      <c r="M234" s="8"/>
      <c r="N234" s="265"/>
    </row>
    <row r="235" spans="1:14" s="3" customFormat="1" ht="12.2" customHeight="1" x14ac:dyDescent="0.15">
      <c r="A235" s="1" t="s">
        <v>439</v>
      </c>
      <c r="B235" s="2" t="s">
        <v>350</v>
      </c>
      <c r="C235" s="2" t="s">
        <v>291</v>
      </c>
      <c r="D235" s="2" t="s">
        <v>431</v>
      </c>
      <c r="E235" s="6">
        <v>1200</v>
      </c>
      <c r="F235" s="18">
        <f>1154791.49+58325.64+3167.06+38798.56+7108.56</f>
        <v>1262191.31</v>
      </c>
      <c r="G235" s="18">
        <v>628684</v>
      </c>
      <c r="H235" s="18">
        <f>765263.99+15565.67</f>
        <v>780829.66</v>
      </c>
      <c r="I235" s="18">
        <v>27745.35</v>
      </c>
      <c r="J235" s="18">
        <v>8018.26</v>
      </c>
      <c r="K235" s="18">
        <v>780</v>
      </c>
      <c r="L235" s="19">
        <f>SUM(F235:K235)</f>
        <v>2708248.58</v>
      </c>
      <c r="M235" s="8"/>
      <c r="N235" s="265"/>
    </row>
    <row r="236" spans="1:14" s="3" customFormat="1" ht="12.2" customHeight="1" x14ac:dyDescent="0.15">
      <c r="A236" s="1" t="s">
        <v>440</v>
      </c>
      <c r="B236" s="2" t="s">
        <v>350</v>
      </c>
      <c r="C236" s="2" t="s">
        <v>292</v>
      </c>
      <c r="D236" s="2" t="s">
        <v>431</v>
      </c>
      <c r="E236" s="6">
        <v>1300</v>
      </c>
      <c r="F236" s="18">
        <v>0</v>
      </c>
      <c r="G236" s="18">
        <v>0</v>
      </c>
      <c r="H236" s="18">
        <f>40712.49+20631.14</f>
        <v>61343.63</v>
      </c>
      <c r="I236" s="18">
        <v>0</v>
      </c>
      <c r="J236" s="18">
        <v>0</v>
      </c>
      <c r="K236" s="18">
        <v>0</v>
      </c>
      <c r="L236" s="19">
        <f>SUM(F236:K236)</f>
        <v>61343.63</v>
      </c>
      <c r="M236" s="8"/>
      <c r="N236" s="265"/>
    </row>
    <row r="237" spans="1:14" s="3" customFormat="1" ht="12.2" customHeight="1" x14ac:dyDescent="0.15">
      <c r="A237" s="1" t="s">
        <v>441</v>
      </c>
      <c r="B237" s="2" t="s">
        <v>350</v>
      </c>
      <c r="C237" s="2" t="s">
        <v>293</v>
      </c>
      <c r="D237" s="2" t="s">
        <v>431</v>
      </c>
      <c r="E237" s="6">
        <v>1400</v>
      </c>
      <c r="F237" s="18">
        <f>370740+58168.56</f>
        <v>428908.56</v>
      </c>
      <c r="G237" s="18">
        <v>213635</v>
      </c>
      <c r="H237" s="18">
        <f>155594.06+6069-80386.73+8300</f>
        <v>89576.33</v>
      </c>
      <c r="I237" s="18">
        <f>39469.56+382.5</f>
        <v>39852.06</v>
      </c>
      <c r="J237" s="18">
        <f>5455.33+8550.73</f>
        <v>14006.06</v>
      </c>
      <c r="K237" s="18">
        <v>17584.740000000002</v>
      </c>
      <c r="L237" s="19">
        <f>SUM(F237:K237)</f>
        <v>803562.75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828821.51+23192.62+19965.08</f>
        <v>871979.21</v>
      </c>
      <c r="G239" s="18">
        <v>434324</v>
      </c>
      <c r="H239" s="18">
        <f>181233.73+54329.29+6406.39</f>
        <v>241969.41000000003</v>
      </c>
      <c r="I239" s="18">
        <v>7682.76</v>
      </c>
      <c r="J239" s="18">
        <v>291.82</v>
      </c>
      <c r="K239" s="18">
        <v>400</v>
      </c>
      <c r="L239" s="19">
        <f t="shared" ref="L239:L245" si="4">SUM(F239:K239)</f>
        <v>1556647.2000000002</v>
      </c>
      <c r="M239" s="8"/>
      <c r="N239" s="265"/>
    </row>
    <row r="240" spans="1:14" s="3" customFormat="1" ht="12.2" customHeight="1" x14ac:dyDescent="0.15">
      <c r="A240" s="1" t="s">
        <v>443</v>
      </c>
      <c r="B240" s="2" t="s">
        <v>350</v>
      </c>
      <c r="C240" s="2" t="s">
        <v>295</v>
      </c>
      <c r="D240" s="2" t="s">
        <v>431</v>
      </c>
      <c r="E240" s="6">
        <v>2200</v>
      </c>
      <c r="F240" s="18">
        <f>166140.9+1326+427.44+50377.4</f>
        <v>218271.74</v>
      </c>
      <c r="G240" s="18">
        <v>108719</v>
      </c>
      <c r="H240" s="18">
        <f>1399.81+204+204</f>
        <v>1807.81</v>
      </c>
      <c r="I240" s="18">
        <f>32455.16+932.95</f>
        <v>33388.11</v>
      </c>
      <c r="J240" s="18">
        <f>171906.48+26910</f>
        <v>198816.48</v>
      </c>
      <c r="K240" s="18">
        <v>0</v>
      </c>
      <c r="L240" s="19">
        <f t="shared" si="4"/>
        <v>561003.14</v>
      </c>
      <c r="M240" s="8"/>
      <c r="N240" s="265"/>
    </row>
    <row r="241" spans="1:14" s="3" customFormat="1" ht="12.2" customHeight="1" x14ac:dyDescent="0.15">
      <c r="A241" s="1" t="s">
        <v>444</v>
      </c>
      <c r="B241" s="2" t="s">
        <v>350</v>
      </c>
      <c r="C241" s="2" t="s">
        <v>296</v>
      </c>
      <c r="D241" s="2" t="s">
        <v>431</v>
      </c>
      <c r="E241" s="6">
        <v>2300</v>
      </c>
      <c r="F241" s="18">
        <f>2244+680</f>
        <v>2924</v>
      </c>
      <c r="G241" s="18">
        <v>1456</v>
      </c>
      <c r="H241" s="18">
        <f>692.24+4495.26+4569.62+1988.66+1468.12+9520+23901.2+678571.32+1335.62</f>
        <v>726542.03999999992</v>
      </c>
      <c r="I241" s="18">
        <f>386.58</f>
        <v>386.58</v>
      </c>
      <c r="J241" s="18">
        <v>7388.83</v>
      </c>
      <c r="K241" s="18">
        <f>3374.24</f>
        <v>3374.24</v>
      </c>
      <c r="L241" s="19">
        <f t="shared" si="4"/>
        <v>742071.68999999983</v>
      </c>
      <c r="M241" s="8"/>
      <c r="N241" s="265"/>
    </row>
    <row r="242" spans="1:14" s="3" customFormat="1" ht="12.2" customHeight="1" x14ac:dyDescent="0.15">
      <c r="A242" s="1" t="s">
        <v>445</v>
      </c>
      <c r="B242" s="2" t="s">
        <v>350</v>
      </c>
      <c r="C242" s="2" t="s">
        <v>297</v>
      </c>
      <c r="D242" s="2" t="s">
        <v>431</v>
      </c>
      <c r="E242" s="6">
        <v>2400</v>
      </c>
      <c r="F242" s="18">
        <f>437893.29+340+5291.05</f>
        <v>443524.33999999997</v>
      </c>
      <c r="G242" s="18">
        <v>220915</v>
      </c>
      <c r="H242" s="18">
        <f>47303.45+1802.07+23389.71</f>
        <v>72495.23</v>
      </c>
      <c r="I242" s="18">
        <f>1310.76+99334.18+6799.9+1756.66</f>
        <v>109201.49999999999</v>
      </c>
      <c r="J242" s="18">
        <v>11046.6</v>
      </c>
      <c r="K242" s="18">
        <f>16312.49+77.07</f>
        <v>16389.560000000001</v>
      </c>
      <c r="L242" s="19">
        <f t="shared" si="4"/>
        <v>873572.23</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1488.72</v>
      </c>
      <c r="L243" s="19">
        <f t="shared" si="4"/>
        <v>1488.72</v>
      </c>
      <c r="M243" s="8"/>
      <c r="N243" s="265"/>
    </row>
    <row r="244" spans="1:14" s="3" customFormat="1" ht="12.2" customHeight="1" x14ac:dyDescent="0.15">
      <c r="A244" s="1" t="s">
        <v>447</v>
      </c>
      <c r="B244" s="2" t="s">
        <v>350</v>
      </c>
      <c r="C244" s="2" t="s">
        <v>299</v>
      </c>
      <c r="D244" s="2" t="s">
        <v>431</v>
      </c>
      <c r="E244" s="6">
        <v>2600</v>
      </c>
      <c r="F244" s="18">
        <f>298996.76+14754.57</f>
        <v>313751.33</v>
      </c>
      <c r="G244" s="18">
        <v>156276</v>
      </c>
      <c r="H244" s="18">
        <f>171083.43+34117.71+161.5+161.5</f>
        <v>205524.13999999998</v>
      </c>
      <c r="I244" s="18">
        <f>271719.14+11257.13+2270.68</f>
        <v>285246.95</v>
      </c>
      <c r="J244" s="18">
        <f>1291.17+1742.91</f>
        <v>3034.08</v>
      </c>
      <c r="K244" s="18">
        <f>59347.5+46595.64+10945.5</f>
        <v>116888.64</v>
      </c>
      <c r="L244" s="19">
        <f t="shared" si="4"/>
        <v>1080721.1399999999</v>
      </c>
      <c r="M244" s="8"/>
      <c r="N244" s="265"/>
    </row>
    <row r="245" spans="1:14" s="3" customFormat="1" ht="12.2" customHeight="1" x14ac:dyDescent="0.15">
      <c r="A245" s="1" t="s">
        <v>448</v>
      </c>
      <c r="B245" s="2" t="s">
        <v>350</v>
      </c>
      <c r="C245" s="2" t="s">
        <v>300</v>
      </c>
      <c r="D245" s="2" t="s">
        <v>431</v>
      </c>
      <c r="E245" s="6">
        <v>2700</v>
      </c>
      <c r="F245" s="18">
        <v>49984.85</v>
      </c>
      <c r="G245" s="18">
        <v>24897</v>
      </c>
      <c r="H245" s="18">
        <f>485576.44+46.85+91.8+3461.97+80386.73</f>
        <v>569563.78999999992</v>
      </c>
      <c r="I245" s="18">
        <f>33527.23+1049.65+317.82+6531.07</f>
        <v>41425.770000000004</v>
      </c>
      <c r="J245" s="18">
        <v>0</v>
      </c>
      <c r="K245" s="18">
        <v>0</v>
      </c>
      <c r="L245" s="19">
        <f t="shared" si="4"/>
        <v>685871.40999999992</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7408837.2699999996</v>
      </c>
      <c r="G248" s="41">
        <f t="shared" si="5"/>
        <v>3690264</v>
      </c>
      <c r="H248" s="41">
        <f t="shared" si="5"/>
        <v>2761933.9400000004</v>
      </c>
      <c r="I248" s="41">
        <f t="shared" si="5"/>
        <v>654515.4</v>
      </c>
      <c r="J248" s="41">
        <f t="shared" si="5"/>
        <v>276640.35000000003</v>
      </c>
      <c r="K248" s="41">
        <f t="shared" si="5"/>
        <v>166043.90000000002</v>
      </c>
      <c r="L248" s="41">
        <f t="shared" si="5"/>
        <v>14958234.860000003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v>347382.24</v>
      </c>
      <c r="K256" s="18"/>
      <c r="L256" s="19">
        <f t="shared" si="6"/>
        <v>347382.24</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347382.24</v>
      </c>
      <c r="K257" s="41">
        <f t="shared" si="7"/>
        <v>0</v>
      </c>
      <c r="L257" s="41">
        <f>SUM(F257:K257)</f>
        <v>347382.24</v>
      </c>
      <c r="M257" s="8"/>
      <c r="N257" s="265"/>
    </row>
    <row r="258" spans="1:14" s="3" customFormat="1" ht="12.2" customHeight="1" thickTop="1" x14ac:dyDescent="0.15">
      <c r="A258" s="38" t="s">
        <v>462</v>
      </c>
      <c r="B258" s="40">
        <v>10</v>
      </c>
      <c r="C258" s="40">
        <v>8</v>
      </c>
      <c r="D258" s="39" t="s">
        <v>431</v>
      </c>
      <c r="E258" s="40"/>
      <c r="F258" s="41">
        <f t="shared" ref="F258:L258" si="8">F212+F230+F248+F257</f>
        <v>11094307.699999999</v>
      </c>
      <c r="G258" s="41">
        <f t="shared" si="8"/>
        <v>5423661</v>
      </c>
      <c r="H258" s="41">
        <f t="shared" si="8"/>
        <v>4064760.9600000004</v>
      </c>
      <c r="I258" s="41">
        <f t="shared" si="8"/>
        <v>998943.68</v>
      </c>
      <c r="J258" s="41">
        <f t="shared" si="8"/>
        <v>715475.2</v>
      </c>
      <c r="K258" s="41">
        <f t="shared" si="8"/>
        <v>273424.54000000004</v>
      </c>
      <c r="L258" s="41">
        <f t="shared" si="8"/>
        <v>22570573.080000002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682769.22</v>
      </c>
      <c r="L261" s="19">
        <f>SUM(F261:K261)</f>
        <v>682769.22</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114530.37</v>
      </c>
      <c r="L262" s="19">
        <f>SUM(F262:K262)</f>
        <v>114530.37</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34766.26</v>
      </c>
      <c r="L265" s="19">
        <f t="shared" ref="L265:L271" si="9">SUM(F265:K265)</f>
        <v>34766.26</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115000</f>
        <v>115000</v>
      </c>
      <c r="L267" s="19">
        <f t="shared" si="9"/>
        <v>115000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947065.85</v>
      </c>
      <c r="L271" s="41">
        <f t="shared" si="9"/>
        <v>947065.85</v>
      </c>
      <c r="M271" s="8"/>
      <c r="N271" s="265"/>
    </row>
    <row r="272" spans="1:14" s="34" customFormat="1" ht="12.2" customHeight="1" thickTop="1" x14ac:dyDescent="0.2">
      <c r="A272" s="43" t="s">
        <v>464</v>
      </c>
      <c r="B272" s="40">
        <v>10</v>
      </c>
      <c r="C272" s="40">
        <v>18</v>
      </c>
      <c r="D272" s="39" t="s">
        <v>431</v>
      </c>
      <c r="E272" s="40"/>
      <c r="F272" s="42">
        <f t="shared" ref="F272:L272" si="11">F258+F271</f>
        <v>11094307.699999999</v>
      </c>
      <c r="G272" s="42">
        <f t="shared" si="11"/>
        <v>5423661</v>
      </c>
      <c r="H272" s="42">
        <f t="shared" si="11"/>
        <v>4064760.9600000004</v>
      </c>
      <c r="I272" s="42">
        <f t="shared" si="11"/>
        <v>998943.68</v>
      </c>
      <c r="J272" s="42">
        <f t="shared" si="11"/>
        <v>715475.2</v>
      </c>
      <c r="K272" s="42">
        <f t="shared" si="11"/>
        <v>1220490.3900000001</v>
      </c>
      <c r="L272" s="42">
        <f t="shared" si="11"/>
        <v>23517638.930000003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9537.17+13415</f>
        <v>22952.17</v>
      </c>
      <c r="G296" s="18"/>
      <c r="H296" s="18">
        <v>1870.34</v>
      </c>
      <c r="I296" s="18"/>
      <c r="J296" s="18">
        <v>2600</v>
      </c>
      <c r="K296" s="18"/>
      <c r="L296" s="19">
        <f>SUM(F296:K296)</f>
        <v>27422.51</v>
      </c>
      <c r="M296" s="8"/>
      <c r="N296" s="265"/>
    </row>
    <row r="297" spans="1:14" s="3" customFormat="1" ht="12.2" customHeight="1" x14ac:dyDescent="0.15">
      <c r="A297" s="1" t="s">
        <v>439</v>
      </c>
      <c r="B297" s="2" t="s">
        <v>358</v>
      </c>
      <c r="C297" s="2" t="s">
        <v>291</v>
      </c>
      <c r="D297" s="2" t="s">
        <v>431</v>
      </c>
      <c r="E297" s="6">
        <v>1200</v>
      </c>
      <c r="F297" s="18">
        <f>12544.28+99657.18+20297.75</f>
        <v>132499.21</v>
      </c>
      <c r="G297" s="18"/>
      <c r="H297" s="18"/>
      <c r="I297" s="18"/>
      <c r="J297" s="18"/>
      <c r="K297" s="18"/>
      <c r="L297" s="19">
        <f>SUM(F297:K297)</f>
        <v>132499.21</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f>9855.79+4376.41</f>
        <v>14232.2</v>
      </c>
      <c r="J299" s="18"/>
      <c r="K299" s="18"/>
      <c r="L299" s="19">
        <f>SUM(F299:K299)</f>
        <v>14232.2</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200</v>
      </c>
      <c r="G301" s="18"/>
      <c r="H301" s="18"/>
      <c r="I301" s="18"/>
      <c r="J301" s="18"/>
      <c r="K301" s="18"/>
      <c r="L301" s="19">
        <f t="shared" ref="L301:L307" si="14">SUM(F301:K301)</f>
        <v>200</v>
      </c>
      <c r="M301" s="8"/>
      <c r="N301" s="265"/>
    </row>
    <row r="302" spans="1:14" s="3" customFormat="1" ht="12.2" customHeight="1" x14ac:dyDescent="0.15">
      <c r="A302" s="1" t="s">
        <v>443</v>
      </c>
      <c r="B302" s="2" t="s">
        <v>358</v>
      </c>
      <c r="C302" s="2" t="s">
        <v>295</v>
      </c>
      <c r="D302" s="2" t="s">
        <v>431</v>
      </c>
      <c r="E302" s="6">
        <v>2200</v>
      </c>
      <c r="F302" s="18">
        <f>750+17257.8</f>
        <v>18007.8</v>
      </c>
      <c r="G302" s="18"/>
      <c r="H302" s="18">
        <f>2487.2+5506.1+649.82+4.67+500</f>
        <v>9147.7900000000009</v>
      </c>
      <c r="I302" s="18"/>
      <c r="J302" s="18"/>
      <c r="K302" s="18"/>
      <c r="L302" s="19">
        <f t="shared" si="14"/>
        <v>27155.59</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v>27401.22</v>
      </c>
      <c r="I307" s="18"/>
      <c r="J307" s="18"/>
      <c r="K307" s="18"/>
      <c r="L307" s="19">
        <f t="shared" si="14"/>
        <v>27401.22</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173659.18</v>
      </c>
      <c r="G310" s="42">
        <f t="shared" si="15"/>
        <v>0</v>
      </c>
      <c r="H310" s="42">
        <f t="shared" si="15"/>
        <v>38419.350000000006</v>
      </c>
      <c r="I310" s="42">
        <f t="shared" si="15"/>
        <v>14232.2</v>
      </c>
      <c r="J310" s="42">
        <f t="shared" si="15"/>
        <v>2600</v>
      </c>
      <c r="K310" s="42">
        <f t="shared" si="15"/>
        <v>0</v>
      </c>
      <c r="L310" s="41">
        <f t="shared" si="15"/>
        <v>228910.73</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22952.17</v>
      </c>
      <c r="G315" s="18"/>
      <c r="H315" s="18">
        <v>1870.34</v>
      </c>
      <c r="I315" s="18">
        <v>783.64</v>
      </c>
      <c r="J315" s="18">
        <v>2600</v>
      </c>
      <c r="K315" s="18"/>
      <c r="L315" s="19">
        <f>SUM(F315:K315)</f>
        <v>28206.149999999998</v>
      </c>
      <c r="M315" s="8"/>
      <c r="N315" s="265"/>
    </row>
    <row r="316" spans="1:14" s="3" customFormat="1" ht="12.2" customHeight="1" x14ac:dyDescent="0.15">
      <c r="A316" s="1" t="s">
        <v>439</v>
      </c>
      <c r="B316" s="2" t="s">
        <v>359</v>
      </c>
      <c r="C316" s="2" t="s">
        <v>291</v>
      </c>
      <c r="D316" s="2" t="s">
        <v>431</v>
      </c>
      <c r="E316" s="6">
        <v>1200</v>
      </c>
      <c r="F316" s="18">
        <v>132499.21</v>
      </c>
      <c r="G316" s="18"/>
      <c r="H316" s="18"/>
      <c r="I316" s="18"/>
      <c r="J316" s="18"/>
      <c r="K316" s="18"/>
      <c r="L316" s="19">
        <f>SUM(F316:K316)</f>
        <v>132499.21</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96</v>
      </c>
      <c r="G318" s="18"/>
      <c r="H318" s="18">
        <f>910.14+29671.77</f>
        <v>30581.91</v>
      </c>
      <c r="I318" s="18">
        <f>81622.18-783.64-218.1+10804.93+2384+4376.41</f>
        <v>98185.78</v>
      </c>
      <c r="J318" s="18">
        <v>30100</v>
      </c>
      <c r="K318" s="18">
        <v>12965.98</v>
      </c>
      <c r="L318" s="19">
        <f>SUM(F318:K318)</f>
        <v>171929.67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200</v>
      </c>
      <c r="G320" s="18"/>
      <c r="H320" s="18"/>
      <c r="I320" s="18">
        <v>218.1</v>
      </c>
      <c r="J320" s="18"/>
      <c r="K320" s="18"/>
      <c r="L320" s="19">
        <f t="shared" ref="L320:L326" si="16">SUM(F320:K320)</f>
        <v>418.1</v>
      </c>
      <c r="M320" s="8"/>
      <c r="N320" s="265"/>
    </row>
    <row r="321" spans="1:14" s="3" customFormat="1" ht="12.2" customHeight="1" x14ac:dyDescent="0.15">
      <c r="A321" s="1" t="s">
        <v>443</v>
      </c>
      <c r="B321" s="2" t="s">
        <v>359</v>
      </c>
      <c r="C321" s="2" t="s">
        <v>295</v>
      </c>
      <c r="D321" s="2" t="s">
        <v>431</v>
      </c>
      <c r="E321" s="6">
        <v>2200</v>
      </c>
      <c r="F321" s="18">
        <v>18007.8</v>
      </c>
      <c r="G321" s="18"/>
      <c r="H321" s="18">
        <f>2487.2+5506.1+649.82+4.67+500</f>
        <v>9147.7900000000009</v>
      </c>
      <c r="I321" s="18"/>
      <c r="J321" s="18"/>
      <c r="K321" s="18"/>
      <c r="L321" s="19">
        <f t="shared" si="16"/>
        <v>27155.59</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v>27401.22</v>
      </c>
      <c r="I326" s="18"/>
      <c r="J326" s="18"/>
      <c r="K326" s="18"/>
      <c r="L326" s="19">
        <f t="shared" si="16"/>
        <v>27401.22</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173755.18</v>
      </c>
      <c r="G329" s="42">
        <f t="shared" si="17"/>
        <v>0</v>
      </c>
      <c r="H329" s="42">
        <f t="shared" si="17"/>
        <v>69001.260000000009</v>
      </c>
      <c r="I329" s="42">
        <f t="shared" si="17"/>
        <v>99187.520000000004</v>
      </c>
      <c r="J329" s="42">
        <f t="shared" si="17"/>
        <v>32700</v>
      </c>
      <c r="K329" s="42">
        <f t="shared" si="17"/>
        <v>12965.98</v>
      </c>
      <c r="L329" s="41">
        <f t="shared" si="17"/>
        <v>387609.94000000006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347414.36</v>
      </c>
      <c r="G339" s="41">
        <f t="shared" si="20"/>
        <v>0</v>
      </c>
      <c r="H339" s="41">
        <f t="shared" si="20"/>
        <v>107420.61000000002</v>
      </c>
      <c r="I339" s="41">
        <f t="shared" si="20"/>
        <v>113419.72</v>
      </c>
      <c r="J339" s="41">
        <f t="shared" si="20"/>
        <v>35300</v>
      </c>
      <c r="K339" s="41">
        <f t="shared" si="20"/>
        <v>12965.98</v>
      </c>
      <c r="L339" s="41">
        <f t="shared" si="20"/>
        <v>616520.67000000004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3000</v>
      </c>
      <c r="L345" s="19">
        <f t="shared" ref="L345:L351" si="21">SUM(F345:K345)</f>
        <v>3000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3000</v>
      </c>
      <c r="L352" s="41">
        <f>SUM(L342:L351)</f>
        <v>3000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347414.36</v>
      </c>
      <c r="G353" s="41">
        <f>G339</f>
        <v>0</v>
      </c>
      <c r="H353" s="41">
        <f>H339</f>
        <v>107420.61000000002</v>
      </c>
      <c r="I353" s="41">
        <f>I339</f>
        <v>113419.72</v>
      </c>
      <c r="J353" s="41">
        <f>J339</f>
        <v>35300</v>
      </c>
      <c r="K353" s="47">
        <f>K339+K352</f>
        <v>15965.98</v>
      </c>
      <c r="L353" s="41">
        <f>L339+L352</f>
        <v>619520.67000000004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f>46714.65+11734.42+1230.73</f>
        <v>59679.8</v>
      </c>
      <c r="G360" s="18">
        <f>53.28</f>
        <v>53.28</v>
      </c>
      <c r="H360" s="18">
        <f>692+86.4+55.43</f>
        <v>833.82999999999993</v>
      </c>
      <c r="I360" s="18">
        <f>80844+8085.83+831.74</f>
        <v>89761.57</v>
      </c>
      <c r="J360" s="18"/>
      <c r="K360" s="18">
        <v>106.24</v>
      </c>
      <c r="L360" s="19">
        <f>SUM(F360:K360)</f>
        <v>150434.72</v>
      </c>
      <c r="M360" s="8"/>
      <c r="N360" s="265"/>
    </row>
    <row r="361" spans="1:22" s="3" customFormat="1" ht="12.2" customHeight="1" x14ac:dyDescent="0.15">
      <c r="A361" s="3" t="s">
        <v>543</v>
      </c>
      <c r="B361" s="2" t="s">
        <v>366</v>
      </c>
      <c r="C361" s="6">
        <v>3</v>
      </c>
      <c r="D361" s="2" t="s">
        <v>431</v>
      </c>
      <c r="E361" s="6"/>
      <c r="F361" s="18">
        <f>85956.41+24935.63+2615.29</f>
        <v>113507.33</v>
      </c>
      <c r="G361" s="18">
        <v>113.22</v>
      </c>
      <c r="H361" s="18">
        <f>1693.67+183.6+117.8</f>
        <v>1995.07</v>
      </c>
      <c r="I361" s="18">
        <f>177685.81+17182.39+1767.46</f>
        <v>196635.66</v>
      </c>
      <c r="J361" s="18">
        <v>2811.97</v>
      </c>
      <c r="K361" s="18">
        <v>225.76</v>
      </c>
      <c r="L361" s="19">
        <f>SUM(F361:K361)</f>
        <v>315289.01</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173187.13</v>
      </c>
      <c r="G363" s="47">
        <f t="shared" si="22"/>
        <v>166.5</v>
      </c>
      <c r="H363" s="47">
        <f t="shared" si="22"/>
        <v>2828.8999999999996</v>
      </c>
      <c r="I363" s="47">
        <f t="shared" si="22"/>
        <v>286397.23</v>
      </c>
      <c r="J363" s="47">
        <f t="shared" si="22"/>
        <v>2811.97</v>
      </c>
      <c r="K363" s="47">
        <f t="shared" si="22"/>
        <v>332</v>
      </c>
      <c r="L363" s="47">
        <f t="shared" si="22"/>
        <v>465723.73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v>77112.44</v>
      </c>
      <c r="H368" s="18">
        <v>171942.02</v>
      </c>
      <c r="I368" s="56">
        <f>SUM(F368:H368)</f>
        <v>249054.46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v>12649.13</v>
      </c>
      <c r="H369" s="63">
        <v>24693.64</v>
      </c>
      <c r="I369" s="56">
        <f>SUM(F369:H369)</f>
        <v>37342.769999999997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89761.57</v>
      </c>
      <c r="H370" s="47">
        <f>SUM(H368:H369)</f>
        <v>196635.65999999997</v>
      </c>
      <c r="I370" s="47">
        <f>SUM(I368:I369)</f>
        <v>286397.23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v>630</v>
      </c>
      <c r="I380" s="18"/>
      <c r="J380" s="18"/>
      <c r="K380" s="18"/>
      <c r="L380" s="13">
        <f t="shared" si="23"/>
        <v>630</v>
      </c>
      <c r="M380" s="8"/>
      <c r="N380" s="265"/>
    </row>
    <row r="381" spans="1:14" s="3" customFormat="1" ht="12.2" customHeight="1" x14ac:dyDescent="0.15">
      <c r="A381" s="1" t="s">
        <v>510</v>
      </c>
      <c r="B381" s="2" t="s">
        <v>366</v>
      </c>
      <c r="C381" s="2" t="s">
        <v>347</v>
      </c>
      <c r="D381" s="2" t="s">
        <v>431</v>
      </c>
      <c r="E381" s="6">
        <v>4900</v>
      </c>
      <c r="F381" s="18"/>
      <c r="G381" s="18"/>
      <c r="H381" s="18">
        <v>32000</v>
      </c>
      <c r="I381" s="18"/>
      <c r="J381" s="18"/>
      <c r="K381" s="18"/>
      <c r="L381" s="13">
        <f t="shared" si="23"/>
        <v>32000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32630</v>
      </c>
      <c r="I383" s="41">
        <f t="shared" si="24"/>
        <v>0</v>
      </c>
      <c r="J383" s="47">
        <f t="shared" si="24"/>
        <v>0</v>
      </c>
      <c r="K383" s="47">
        <f t="shared" si="24"/>
        <v>0</v>
      </c>
      <c r="L383" s="47">
        <f t="shared" si="24"/>
        <v>32630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f>819.34+113.01</f>
        <v>932.35</v>
      </c>
      <c r="I392" s="18"/>
      <c r="J392" s="24" t="s">
        <v>288</v>
      </c>
      <c r="K392" s="24" t="s">
        <v>288</v>
      </c>
      <c r="L392" s="56">
        <f t="shared" si="25"/>
        <v>932.35</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932.35</v>
      </c>
      <c r="I394" s="65">
        <f>SUM(I388:I393)</f>
        <v>0</v>
      </c>
      <c r="J394" s="45" t="s">
        <v>288</v>
      </c>
      <c r="K394" s="45" t="s">
        <v>288</v>
      </c>
      <c r="L394" s="47">
        <f>SUM(L388:L393)</f>
        <v>932.35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115000</v>
      </c>
      <c r="H397" s="18"/>
      <c r="I397" s="18"/>
      <c r="J397" s="24" t="s">
        <v>288</v>
      </c>
      <c r="K397" s="24" t="s">
        <v>288</v>
      </c>
      <c r="L397" s="56">
        <f t="shared" si="26"/>
        <v>115000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115000</v>
      </c>
      <c r="H402" s="47">
        <f>SUM(H396:H401)</f>
        <v>0</v>
      </c>
      <c r="I402" s="47">
        <f>SUM(I396:I401)</f>
        <v>0</v>
      </c>
      <c r="J402" s="45" t="s">
        <v>288</v>
      </c>
      <c r="K402" s="45" t="s">
        <v>288</v>
      </c>
      <c r="L402" s="47">
        <f>SUM(L396:L401)</f>
        <v>115000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115000</v>
      </c>
      <c r="H409" s="47">
        <f>H394+H402+H408</f>
        <v>932.35</v>
      </c>
      <c r="I409" s="47">
        <f>I394+I402+I408</f>
        <v>0</v>
      </c>
      <c r="J409" s="24" t="s">
        <v>288</v>
      </c>
      <c r="K409" s="24" t="s">
        <v>288</v>
      </c>
      <c r="L409" s="47">
        <f>L394+L402+L408</f>
        <v>115932.35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v>34766.06</v>
      </c>
      <c r="L418" s="56">
        <f t="shared" si="27"/>
        <v>34766.06</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34766.06</v>
      </c>
      <c r="L420" s="47">
        <f t="shared" si="28"/>
        <v>34766.06</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v>112506</v>
      </c>
      <c r="K423" s="18"/>
      <c r="L423" s="56">
        <f t="shared" si="29"/>
        <v>112506</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112506</v>
      </c>
      <c r="K428" s="47">
        <f t="shared" si="30"/>
        <v>0</v>
      </c>
      <c r="L428" s="47">
        <f t="shared" si="30"/>
        <v>112506</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112506</v>
      </c>
      <c r="K435" s="47">
        <f t="shared" si="32"/>
        <v>34766.06</v>
      </c>
      <c r="L435" s="47">
        <f t="shared" si="32"/>
        <v>147272.06</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371773.13</v>
      </c>
      <c r="H443" s="18"/>
      <c r="I443" s="56">
        <f t="shared" si="33"/>
        <v>371773.13</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371773.13</v>
      </c>
      <c r="H447" s="13">
        <f>SUM(H440:H446)</f>
        <v>0</v>
      </c>
      <c r="I447" s="13">
        <f>SUM(I440:I446)</f>
        <v>371773.13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371773.13</v>
      </c>
      <c r="H460" s="18"/>
      <c r="I460" s="56">
        <f t="shared" si="34"/>
        <v>371773.13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371773.13</v>
      </c>
      <c r="H461" s="83">
        <f>SUM(H455:H460)</f>
        <v>0</v>
      </c>
      <c r="I461" s="83">
        <f>SUM(I455:I460)</f>
        <v>371773.13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371773.13</v>
      </c>
      <c r="H462" s="42">
        <f>H453+H461</f>
        <v>0</v>
      </c>
      <c r="I462" s="42">
        <f>I453+I461</f>
        <v>371773.13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2932321.43</v>
      </c>
      <c r="G466" s="18">
        <v>189261.64</v>
      </c>
      <c r="H466" s="18">
        <f>278945.06</f>
        <v>278945.06</v>
      </c>
      <c r="I466" s="18">
        <f>32148+0.4</f>
        <v>32148.400000000001</v>
      </c>
      <c r="J466" s="18">
        <f>403112.84</f>
        <v>403112.84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23236986.350000001</v>
      </c>
      <c r="G469" s="18">
        <v>811460.93</v>
      </c>
      <c r="H469" s="18">
        <f>690563.61</f>
        <v>690563.61</v>
      </c>
      <c r="I469" s="18">
        <v>0</v>
      </c>
      <c r="J469" s="18">
        <f>115932.35</f>
        <v>115932.35</v>
      </c>
      <c r="K469" s="24" t="s">
        <v>288</v>
      </c>
      <c r="L469" s="24" t="s">
        <v>288</v>
      </c>
      <c r="N469" s="264"/>
    </row>
    <row r="470" spans="1:14" s="52" customFormat="1" ht="12.2" customHeight="1" x14ac:dyDescent="0.2">
      <c r="A470" s="93" t="s">
        <v>611</v>
      </c>
      <c r="B470" s="75">
        <v>19</v>
      </c>
      <c r="C470" s="80">
        <v>3</v>
      </c>
      <c r="D470" s="2" t="s">
        <v>432</v>
      </c>
      <c r="E470" s="80"/>
      <c r="F470" s="18"/>
      <c r="G470" s="18"/>
      <c r="H470" s="18">
        <v>7.0000000000000007E-2</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23236986.350000001</v>
      </c>
      <c r="G471" s="53">
        <f>SUM(G469:G470)</f>
        <v>811460.93</v>
      </c>
      <c r="H471" s="53">
        <f>SUM(H469:H470)</f>
        <v>690563.67999999993</v>
      </c>
      <c r="I471" s="53">
        <f>SUM(I469:I470)</f>
        <v>0</v>
      </c>
      <c r="J471" s="53">
        <f>SUM(J469:J470)</f>
        <v>115932.35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23517638.93</v>
      </c>
      <c r="G473" s="18">
        <v>465723.73</v>
      </c>
      <c r="H473" s="18">
        <f>619520.67</f>
        <v>619520.67000000004</v>
      </c>
      <c r="I473" s="18">
        <v>32630</v>
      </c>
      <c r="J473" s="18">
        <f>147272.06</f>
        <v>147272.06</v>
      </c>
      <c r="K473" s="24" t="s">
        <v>288</v>
      </c>
      <c r="L473" s="24" t="s">
        <v>288</v>
      </c>
      <c r="N473" s="264"/>
    </row>
    <row r="474" spans="1:14" s="52" customFormat="1" ht="12.2" customHeight="1" x14ac:dyDescent="0.2">
      <c r="A474" s="93" t="s">
        <v>613</v>
      </c>
      <c r="B474" s="75">
        <v>19</v>
      </c>
      <c r="C474" s="80">
        <v>6</v>
      </c>
      <c r="D474" s="2" t="s">
        <v>432</v>
      </c>
      <c r="E474" s="80"/>
      <c r="F474" s="18">
        <v>0.01</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23517638.940000001</v>
      </c>
      <c r="G475" s="53">
        <f>SUM(G473:G474)</f>
        <v>465723.73</v>
      </c>
      <c r="H475" s="53">
        <f>SUM(H473:H474)</f>
        <v>619520.67000000004</v>
      </c>
      <c r="I475" s="53">
        <f>SUM(I473:I474)</f>
        <v>32630</v>
      </c>
      <c r="J475" s="53">
        <f>SUM(J473:J474)</f>
        <v>147272.06</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2651668.84</v>
      </c>
      <c r="G477" s="53">
        <f>(G466+G471)- G475</f>
        <v>534998.84000000008</v>
      </c>
      <c r="H477" s="53">
        <f>(H466+H471)- H475</f>
        <v>349988.06999999995</v>
      </c>
      <c r="I477" s="53">
        <f>(I466+I471)- I475</f>
        <v>-481.59999999999854</v>
      </c>
      <c r="J477" s="53">
        <f>(J466+J471)- J475</f>
        <v>371773.13000000006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74" t="s">
        <v>1807</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1806</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1804</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7703400</v>
      </c>
      <c r="G494" s="18">
        <v>1553374.28</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4.54</v>
      </c>
      <c r="G495" s="18">
        <v>2</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2200000</v>
      </c>
      <c r="G496" s="18">
        <v>1369679.02</v>
      </c>
      <c r="H496" s="18"/>
      <c r="I496" s="18"/>
      <c r="J496" s="18"/>
      <c r="K496" s="53">
        <f>SUM(F496:J496)</f>
        <v>3569679.02</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510000</v>
      </c>
      <c r="G498" s="18">
        <v>159581.03</v>
      </c>
      <c r="H498" s="18"/>
      <c r="I498" s="18"/>
      <c r="J498" s="18"/>
      <c r="K498" s="53">
        <f t="shared" si="35"/>
        <v>669581.03</v>
      </c>
      <c r="L498" s="24" t="s">
        <v>288</v>
      </c>
      <c r="N498" s="264"/>
    </row>
    <row r="499" spans="1:14" s="52" customFormat="1" ht="12.2" customHeight="1" x14ac:dyDescent="0.2">
      <c r="A499" s="199" t="s">
        <v>622</v>
      </c>
      <c r="B499" s="200">
        <v>20</v>
      </c>
      <c r="C499" s="201">
        <v>9</v>
      </c>
      <c r="D499" s="202" t="s">
        <v>432</v>
      </c>
      <c r="E499" s="201"/>
      <c r="F499" s="203">
        <v>1690000</v>
      </c>
      <c r="G499" s="203">
        <f>G496-G498</f>
        <v>1210097.99</v>
      </c>
      <c r="H499" s="203"/>
      <c r="I499" s="203"/>
      <c r="J499" s="203"/>
      <c r="K499" s="204">
        <f t="shared" si="35"/>
        <v>2900097.99</v>
      </c>
      <c r="L499" s="205" t="s">
        <v>288</v>
      </c>
      <c r="N499" s="264"/>
    </row>
    <row r="500" spans="1:14" s="52" customFormat="1" ht="12.2" customHeight="1" thickBot="1" x14ac:dyDescent="0.25">
      <c r="A500" s="22" t="s">
        <v>623</v>
      </c>
      <c r="B500" s="75">
        <v>20</v>
      </c>
      <c r="C500" s="115">
        <v>10</v>
      </c>
      <c r="D500" s="2" t="s">
        <v>432</v>
      </c>
      <c r="E500" s="115"/>
      <c r="F500" s="18">
        <v>99427</v>
      </c>
      <c r="G500" s="18">
        <v>98724.26</v>
      </c>
      <c r="H500" s="18"/>
      <c r="I500" s="18"/>
      <c r="J500" s="18"/>
      <c r="K500" s="53">
        <f t="shared" si="35"/>
        <v>198151.26</v>
      </c>
      <c r="L500" s="24" t="s">
        <v>288</v>
      </c>
      <c r="N500" s="264"/>
    </row>
    <row r="501" spans="1:14" s="52" customFormat="1" ht="12.2" customHeight="1" thickTop="1" x14ac:dyDescent="0.2">
      <c r="A501" s="139" t="s">
        <v>624</v>
      </c>
      <c r="B501" s="44">
        <v>20</v>
      </c>
      <c r="C501" s="194">
        <v>11</v>
      </c>
      <c r="D501" s="39" t="s">
        <v>432</v>
      </c>
      <c r="E501" s="194"/>
      <c r="F501" s="42">
        <f>SUM(F499:F500)</f>
        <v>1789427</v>
      </c>
      <c r="G501" s="42">
        <f>SUM(G499:G500)</f>
        <v>1308822.25</v>
      </c>
      <c r="H501" s="42">
        <f>SUM(H499:H500)</f>
        <v>0</v>
      </c>
      <c r="I501" s="42">
        <f>SUM(I499:I500)</f>
        <v>0</v>
      </c>
      <c r="J501" s="42">
        <f>SUM(J499:J500)</f>
        <v>0</v>
      </c>
      <c r="K501" s="42">
        <f t="shared" si="35"/>
        <v>3098249.25</v>
      </c>
      <c r="L501" s="45" t="s">
        <v>288</v>
      </c>
      <c r="N501" s="264"/>
    </row>
    <row r="502" spans="1:14" s="52" customFormat="1" ht="12.2" customHeight="1" x14ac:dyDescent="0.2">
      <c r="A502" s="199" t="s">
        <v>651</v>
      </c>
      <c r="B502" s="200">
        <v>20</v>
      </c>
      <c r="C502" s="201">
        <v>12</v>
      </c>
      <c r="D502" s="202" t="s">
        <v>432</v>
      </c>
      <c r="E502" s="201"/>
      <c r="F502" s="203">
        <v>535000</v>
      </c>
      <c r="G502" s="203">
        <v>162772.65</v>
      </c>
      <c r="H502" s="203"/>
      <c r="I502" s="203"/>
      <c r="J502" s="203"/>
      <c r="K502" s="204">
        <f t="shared" si="35"/>
        <v>697772.65</v>
      </c>
      <c r="L502" s="205" t="s">
        <v>288</v>
      </c>
      <c r="N502" s="264"/>
    </row>
    <row r="503" spans="1:14" s="52" customFormat="1" ht="12.2" customHeight="1" thickBot="1" x14ac:dyDescent="0.25">
      <c r="A503" s="22" t="s">
        <v>625</v>
      </c>
      <c r="B503" s="75">
        <v>20</v>
      </c>
      <c r="C503" s="115">
        <v>13</v>
      </c>
      <c r="D503" s="2" t="s">
        <v>432</v>
      </c>
      <c r="E503" s="115"/>
      <c r="F503" s="18">
        <f>30698+28875</f>
        <v>59573</v>
      </c>
      <c r="G503" s="18">
        <f>24201.96</f>
        <v>24201.96</v>
      </c>
      <c r="H503" s="18"/>
      <c r="I503" s="18"/>
      <c r="J503" s="18"/>
      <c r="K503" s="53">
        <f t="shared" si="35"/>
        <v>83774.959999999992</v>
      </c>
      <c r="L503" s="24" t="s">
        <v>288</v>
      </c>
      <c r="N503" s="264"/>
    </row>
    <row r="504" spans="1:14" s="52" customFormat="1" ht="12.2" customHeight="1" thickTop="1" x14ac:dyDescent="0.2">
      <c r="A504" s="139" t="s">
        <v>626</v>
      </c>
      <c r="B504" s="44">
        <v>20</v>
      </c>
      <c r="C504" s="194">
        <v>14</v>
      </c>
      <c r="D504" s="39" t="s">
        <v>432</v>
      </c>
      <c r="E504" s="194"/>
      <c r="F504" s="42">
        <f>SUM(F502:F503)</f>
        <v>594573</v>
      </c>
      <c r="G504" s="42">
        <f>SUM(G502:G503)</f>
        <v>186974.61</v>
      </c>
      <c r="H504" s="42">
        <f>SUM(H502:H503)</f>
        <v>0</v>
      </c>
      <c r="I504" s="42">
        <f>SUM(I502:I503)</f>
        <v>0</v>
      </c>
      <c r="J504" s="42">
        <f>SUM(J502:J503)</f>
        <v>0</v>
      </c>
      <c r="K504" s="42">
        <f t="shared" si="35"/>
        <v>781547.61</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6"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f>4970.58+27447.36+273881.95+139160.96+18258.15+31699.65</f>
        <v>495418.65</v>
      </c>
      <c r="G523" s="18">
        <f>F523*0.49</f>
        <v>242755.1385</v>
      </c>
      <c r="H523" s="18">
        <f>38012+177756.11+14844+25566.73+79+380.27+89893.5+2768.52+38916+3014.77+22.05+43.2</f>
        <v>391296.15</v>
      </c>
      <c r="I523" s="18">
        <f>9432.35+493.96</f>
        <v>9926.31</v>
      </c>
      <c r="J523" s="18">
        <v>115</v>
      </c>
      <c r="K523" s="18"/>
      <c r="L523" s="88">
        <f>SUM(F523:K523)</f>
        <v>1139511.2485000002</v>
      </c>
      <c r="N523" s="264"/>
    </row>
    <row r="524" spans="1:14" s="52" customFormat="1" ht="12.2" customHeight="1" thickBot="1" x14ac:dyDescent="0.25">
      <c r="A524" s="22" t="s">
        <v>635</v>
      </c>
      <c r="B524" s="105">
        <v>21</v>
      </c>
      <c r="C524" s="115">
        <v>3</v>
      </c>
      <c r="D524" s="2" t="s">
        <v>432</v>
      </c>
      <c r="E524" s="115"/>
      <c r="F524" s="18">
        <f>32140.66+58325.64+536612.45+408197.45+38798.56+27210.21</f>
        <v>1101284.97</v>
      </c>
      <c r="G524" s="18">
        <f>F524*0.49</f>
        <v>539629.63529999997</v>
      </c>
      <c r="H524" s="18">
        <f>77960.26+575639.8+22026.18+7183.75+54329.29+900+79+145395+2861.73+3234+28764+6406.39+46.85+91.8</f>
        <v>924918.05000000016</v>
      </c>
      <c r="I524" s="18">
        <f>28610.2+1049.65</f>
        <v>29659.850000000002</v>
      </c>
      <c r="J524" s="18">
        <v>8018.26</v>
      </c>
      <c r="K524" s="18"/>
      <c r="L524" s="88">
        <f>SUM(F524:K524)</f>
        <v>2603510.7653000001</v>
      </c>
      <c r="N524" s="264"/>
    </row>
    <row r="525" spans="1:14" s="52" customFormat="1" ht="12.2" customHeight="1" thickTop="1" x14ac:dyDescent="0.2">
      <c r="A525" s="139" t="s">
        <v>63</v>
      </c>
      <c r="B525" s="107">
        <v>21</v>
      </c>
      <c r="C525" s="194">
        <v>4</v>
      </c>
      <c r="D525" s="195" t="s">
        <v>432</v>
      </c>
      <c r="E525" s="194"/>
      <c r="F525" s="108">
        <f>SUM(F522:F524)</f>
        <v>1596703.62</v>
      </c>
      <c r="G525" s="108">
        <f t="shared" ref="G525:L525" si="36">SUM(G522:G524)</f>
        <v>782384.77379999997</v>
      </c>
      <c r="H525" s="108">
        <f t="shared" si="36"/>
        <v>1316214.2000000002</v>
      </c>
      <c r="I525" s="108">
        <f t="shared" si="36"/>
        <v>39586.160000000003</v>
      </c>
      <c r="J525" s="108">
        <f t="shared" si="36"/>
        <v>8133.26</v>
      </c>
      <c r="K525" s="108">
        <f t="shared" si="36"/>
        <v>0</v>
      </c>
      <c r="L525" s="89">
        <f t="shared" si="36"/>
        <v>3743022.0138000003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f>14628.19+519.8+14.45+1490.38+3282.86+60282+9395.33</f>
        <v>89613.01</v>
      </c>
      <c r="G528" s="18">
        <f>F528*0.49</f>
        <v>43910.374899999995</v>
      </c>
      <c r="H528" s="18">
        <v>51152.14</v>
      </c>
      <c r="I528" s="18"/>
      <c r="J528" s="18"/>
      <c r="K528" s="18"/>
      <c r="L528" s="88">
        <f>SUM(F528:K528)</f>
        <v>184675.52490000002</v>
      </c>
      <c r="M528" s="8"/>
      <c r="N528" s="265"/>
    </row>
    <row r="529" spans="1:14" s="3" customFormat="1" ht="12.2" customHeight="1" thickBot="1" x14ac:dyDescent="0.2">
      <c r="A529" s="22" t="s">
        <v>635</v>
      </c>
      <c r="B529" s="118">
        <v>21</v>
      </c>
      <c r="C529" s="118">
        <v>7</v>
      </c>
      <c r="D529" s="2" t="s">
        <v>432</v>
      </c>
      <c r="E529" s="118"/>
      <c r="F529" s="18">
        <f>26822.87+6480+2588.66+3167.06+1214.83+85773+150441+19965.08</f>
        <v>296452.5</v>
      </c>
      <c r="G529" s="18">
        <f>F529*0.49</f>
        <v>145261.72500000001</v>
      </c>
      <c r="H529" s="18">
        <v>82454</v>
      </c>
      <c r="I529" s="18"/>
      <c r="J529" s="18"/>
      <c r="K529" s="18"/>
      <c r="L529" s="88">
        <f>SUM(F529:K529)</f>
        <v>524168.22499999998</v>
      </c>
      <c r="M529" s="8"/>
      <c r="N529" s="265"/>
    </row>
    <row r="530" spans="1:14" s="3" customFormat="1" ht="12.2" customHeight="1" thickTop="1" x14ac:dyDescent="0.15">
      <c r="A530" s="139" t="s">
        <v>65</v>
      </c>
      <c r="B530" s="107">
        <v>21</v>
      </c>
      <c r="C530" s="107">
        <v>8</v>
      </c>
      <c r="D530" s="158" t="s">
        <v>432</v>
      </c>
      <c r="E530" s="107"/>
      <c r="F530" s="89">
        <f>SUM(F527:F529)</f>
        <v>386065.51</v>
      </c>
      <c r="G530" s="89">
        <f t="shared" ref="G530:L530" si="37">SUM(G527:G529)</f>
        <v>189172.0999</v>
      </c>
      <c r="H530" s="89">
        <f t="shared" si="37"/>
        <v>133606.14000000001</v>
      </c>
      <c r="I530" s="89">
        <f t="shared" si="37"/>
        <v>0</v>
      </c>
      <c r="J530" s="89">
        <f t="shared" si="37"/>
        <v>0</v>
      </c>
      <c r="K530" s="89">
        <f t="shared" si="37"/>
        <v>0</v>
      </c>
      <c r="L530" s="89">
        <f t="shared" si="37"/>
        <v>708843.74989999994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v>74803.679999999993</v>
      </c>
      <c r="G533" s="18">
        <f>F533*0.49</f>
        <v>36653.803199999995</v>
      </c>
      <c r="H533" s="18"/>
      <c r="I533" s="18"/>
      <c r="J533" s="18"/>
      <c r="K533" s="18"/>
      <c r="L533" s="88">
        <f>SUM(F533:K533)</f>
        <v>111457.48319999999</v>
      </c>
      <c r="M533" s="8"/>
      <c r="N533" s="265"/>
    </row>
    <row r="534" spans="1:14" s="3" customFormat="1" ht="12.2" customHeight="1" thickBot="1" x14ac:dyDescent="0.2">
      <c r="A534" s="22" t="s">
        <v>635</v>
      </c>
      <c r="B534" s="105">
        <v>21</v>
      </c>
      <c r="C534" s="105">
        <v>11</v>
      </c>
      <c r="D534" s="2" t="s">
        <v>432</v>
      </c>
      <c r="E534" s="105"/>
      <c r="F534" s="18">
        <v>46944.74</v>
      </c>
      <c r="G534" s="18">
        <f>F534*0.49</f>
        <v>23002.922599999998</v>
      </c>
      <c r="H534" s="18"/>
      <c r="I534" s="18"/>
      <c r="J534" s="18"/>
      <c r="K534" s="18"/>
      <c r="L534" s="88">
        <f>SUM(F534:K534)</f>
        <v>69947.662599999996</v>
      </c>
      <c r="M534" s="8"/>
      <c r="N534" s="265"/>
    </row>
    <row r="535" spans="1:14" s="3" customFormat="1" ht="12.2" customHeight="1" thickTop="1" x14ac:dyDescent="0.15">
      <c r="A535" s="139" t="s">
        <v>67</v>
      </c>
      <c r="B535" s="107">
        <v>21</v>
      </c>
      <c r="C535" s="107">
        <v>12</v>
      </c>
      <c r="D535" s="158" t="s">
        <v>432</v>
      </c>
      <c r="E535" s="107"/>
      <c r="F535" s="89">
        <f>SUM(F532:F534)</f>
        <v>121748.41999999998</v>
      </c>
      <c r="G535" s="89">
        <f t="shared" ref="G535:L535" si="38">SUM(G532:G534)</f>
        <v>59656.725799999993</v>
      </c>
      <c r="H535" s="89">
        <f t="shared" si="38"/>
        <v>0</v>
      </c>
      <c r="I535" s="89">
        <f t="shared" si="38"/>
        <v>0</v>
      </c>
      <c r="J535" s="89">
        <f t="shared" si="38"/>
        <v>0</v>
      </c>
      <c r="K535" s="89">
        <f t="shared" si="38"/>
        <v>0</v>
      </c>
      <c r="L535" s="89">
        <f t="shared" si="38"/>
        <v>181405.1458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v>15565.67</v>
      </c>
      <c r="I538" s="18"/>
      <c r="J538" s="18"/>
      <c r="K538" s="18"/>
      <c r="L538" s="88">
        <f>SUM(F538:K538)</f>
        <v>15565.67</v>
      </c>
      <c r="M538" s="8"/>
      <c r="N538" s="265"/>
    </row>
    <row r="539" spans="1:14" s="3" customFormat="1" ht="12.2" customHeight="1" thickBot="1" x14ac:dyDescent="0.2">
      <c r="A539" s="22" t="s">
        <v>635</v>
      </c>
      <c r="B539" s="105">
        <v>21</v>
      </c>
      <c r="C539" s="105">
        <v>15</v>
      </c>
      <c r="D539" s="2" t="s">
        <v>432</v>
      </c>
      <c r="E539" s="105"/>
      <c r="F539" s="18"/>
      <c r="G539" s="18"/>
      <c r="H539" s="18">
        <v>7325.02</v>
      </c>
      <c r="I539" s="18"/>
      <c r="J539" s="18"/>
      <c r="K539" s="18"/>
      <c r="L539" s="88">
        <f>SUM(F539:K539)</f>
        <v>7325.02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22890.690000000002</v>
      </c>
      <c r="I540" s="89">
        <f t="shared" si="39"/>
        <v>0</v>
      </c>
      <c r="J540" s="89">
        <f t="shared" si="39"/>
        <v>0</v>
      </c>
      <c r="K540" s="89">
        <f t="shared" si="39"/>
        <v>0</v>
      </c>
      <c r="L540" s="89">
        <f t="shared" si="39"/>
        <v>22890.690000000002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v>37602.660000000003</v>
      </c>
      <c r="I543" s="18"/>
      <c r="J543" s="18"/>
      <c r="K543" s="18"/>
      <c r="L543" s="88">
        <f>SUM(F543:K543)</f>
        <v>37602.660000000003</v>
      </c>
      <c r="M543" s="8"/>
      <c r="N543" s="265"/>
    </row>
    <row r="544" spans="1:14" s="3" customFormat="1" ht="12.2" customHeight="1" thickBot="1" x14ac:dyDescent="0.2">
      <c r="A544" s="22" t="s">
        <v>635</v>
      </c>
      <c r="B544" s="105">
        <v>21</v>
      </c>
      <c r="C544" s="105">
        <v>19</v>
      </c>
      <c r="D544" s="2" t="s">
        <v>432</v>
      </c>
      <c r="E544" s="105"/>
      <c r="F544" s="18"/>
      <c r="G544" s="18"/>
      <c r="H544" s="18">
        <f>144345.47+2263.53+1747.51</f>
        <v>148356.51</v>
      </c>
      <c r="I544" s="18"/>
      <c r="J544" s="18"/>
      <c r="K544" s="18"/>
      <c r="L544" s="88">
        <f>SUM(F544:K544)</f>
        <v>148356.51</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185959.17</v>
      </c>
      <c r="I545" s="192">
        <f t="shared" si="40"/>
        <v>0</v>
      </c>
      <c r="J545" s="192">
        <f t="shared" si="40"/>
        <v>0</v>
      </c>
      <c r="K545" s="192">
        <f t="shared" si="40"/>
        <v>0</v>
      </c>
      <c r="L545" s="192">
        <f t="shared" si="40"/>
        <v>185959.17</v>
      </c>
      <c r="M545" s="8"/>
      <c r="N545" s="265"/>
    </row>
    <row r="546" spans="1:14" s="3" customFormat="1" ht="12.2" customHeight="1" thickTop="1" x14ac:dyDescent="0.15">
      <c r="A546" s="98" t="s">
        <v>72</v>
      </c>
      <c r="B546" s="107">
        <v>21</v>
      </c>
      <c r="C546" s="107">
        <v>21</v>
      </c>
      <c r="D546" s="158" t="s">
        <v>432</v>
      </c>
      <c r="E546" s="107"/>
      <c r="F546" s="89">
        <f>F525+F530+F535+F540+F545</f>
        <v>2104517.5500000003</v>
      </c>
      <c r="G546" s="89">
        <f t="shared" ref="G546:L546" si="41">G525+G530+G535+G540+G545</f>
        <v>1031213.5995</v>
      </c>
      <c r="H546" s="89">
        <f t="shared" si="41"/>
        <v>1658670.2000000002</v>
      </c>
      <c r="I546" s="89">
        <f t="shared" si="41"/>
        <v>39586.160000000003</v>
      </c>
      <c r="J546" s="89">
        <f t="shared" si="41"/>
        <v>8133.26</v>
      </c>
      <c r="K546" s="89">
        <f t="shared" si="41"/>
        <v>0</v>
      </c>
      <c r="L546" s="89">
        <f t="shared" si="41"/>
        <v>4842120.7695000004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1139511.2485000002</v>
      </c>
      <c r="G551" s="87">
        <f>L528</f>
        <v>184675.52490000002</v>
      </c>
      <c r="H551" s="87">
        <f>L533</f>
        <v>111457.48319999999</v>
      </c>
      <c r="I551" s="87">
        <f>L538</f>
        <v>15565.67</v>
      </c>
      <c r="J551" s="87">
        <f>L543</f>
        <v>37602.660000000003</v>
      </c>
      <c r="K551" s="87">
        <f>SUM(F551:J551)</f>
        <v>1488812.5866</v>
      </c>
      <c r="L551" s="24" t="s">
        <v>288</v>
      </c>
      <c r="M551" s="8"/>
      <c r="N551" s="265"/>
    </row>
    <row r="552" spans="1:14" s="3" customFormat="1" ht="12.2" customHeight="1" thickBot="1" x14ac:dyDescent="0.2">
      <c r="A552" s="22" t="s">
        <v>635</v>
      </c>
      <c r="B552" s="75">
        <v>21</v>
      </c>
      <c r="C552" s="75">
        <v>24</v>
      </c>
      <c r="D552" s="2" t="s">
        <v>432</v>
      </c>
      <c r="E552" s="75"/>
      <c r="F552" s="87">
        <f>L524</f>
        <v>2603510.7653000001</v>
      </c>
      <c r="G552" s="87">
        <f>L529</f>
        <v>524168.22499999998</v>
      </c>
      <c r="H552" s="87">
        <f>L534</f>
        <v>69947.662599999996</v>
      </c>
      <c r="I552" s="87">
        <f>L539</f>
        <v>7325.02</v>
      </c>
      <c r="J552" s="87">
        <f>L544</f>
        <v>148356.51</v>
      </c>
      <c r="K552" s="87">
        <f>SUM(F552:J552)</f>
        <v>3353308.1829000004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3743022.0138000003</v>
      </c>
      <c r="G553" s="89">
        <f t="shared" si="42"/>
        <v>708843.74989999994</v>
      </c>
      <c r="H553" s="89">
        <f t="shared" si="42"/>
        <v>181405.1458</v>
      </c>
      <c r="I553" s="89">
        <f t="shared" si="42"/>
        <v>22890.690000000002</v>
      </c>
      <c r="J553" s="89">
        <f t="shared" si="42"/>
        <v>185959.17</v>
      </c>
      <c r="K553" s="89">
        <f t="shared" si="42"/>
        <v>4842120.7695000004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97930.91</v>
      </c>
      <c r="H583" s="18">
        <v>204579.52</v>
      </c>
      <c r="I583" s="87">
        <f t="shared" si="47"/>
        <v>302510.43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289499.28999999998</v>
      </c>
      <c r="I584" s="87">
        <f t="shared" si="47"/>
        <v>289499.28999999998</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f>275954.24+33527.18+10679.9</f>
        <v>320161.32</v>
      </c>
      <c r="J592" s="18">
        <f>275954.34+33527.23+9745.5</f>
        <v>319227.07</v>
      </c>
      <c r="K592" s="104">
        <f t="shared" ref="K592:K598" si="48">SUM(H592:J592)</f>
        <v>639388.39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f>37602.66+22.05+43.2+493.96</f>
        <v>38161.870000000003</v>
      </c>
      <c r="J593" s="18">
        <f>146609+46.85+91.8+1049.65</f>
        <v>147797.29999999999</v>
      </c>
      <c r="K593" s="104">
        <f t="shared" si="48"/>
        <v>185959.16999999998</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f>53267.6+3461.97+317.82+6531.07+49984.85+24897</f>
        <v>138460.31</v>
      </c>
      <c r="K594" s="104">
        <f t="shared" si="48"/>
        <v>138460.31</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10208.27</v>
      </c>
      <c r="J595" s="18">
        <v>80386.73</v>
      </c>
      <c r="K595" s="104">
        <f t="shared" si="48"/>
        <v>90595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368531.46</v>
      </c>
      <c r="J599" s="108">
        <f>SUM(J592:J598)</f>
        <v>685871.40999999992</v>
      </c>
      <c r="K599" s="108">
        <f>SUM(K592:K598)</f>
        <v>1054402.8700000001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f>91452.62+4962.99+2375.76</f>
        <v>98791.37</v>
      </c>
      <c r="J605" s="18">
        <f>276640.34+282.25+769+26910</f>
        <v>304601.59000000003</v>
      </c>
      <c r="K605" s="104">
        <f>SUM(H605:J605)</f>
        <v>403392.96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98791.37</v>
      </c>
      <c r="J606" s="108">
        <f>SUM(J603:J605)</f>
        <v>304601.59000000003</v>
      </c>
      <c r="K606" s="108">
        <f>SUM(K603:K605)</f>
        <v>403392.96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3485586.99</v>
      </c>
      <c r="H618" s="109">
        <f>SUM(F52)</f>
        <v>3485586.9899999998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250475.47</v>
      </c>
      <c r="H619" s="109">
        <f>SUM(G52)</f>
        <v>250475.46999999991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181209.1</v>
      </c>
      <c r="H620" s="109">
        <f>SUM(H52)</f>
        <v>181209.10000000003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-481.6</v>
      </c>
      <c r="H621" s="109">
        <f>SUM(I52)</f>
        <v>-481.6</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371773.13</v>
      </c>
      <c r="H622" s="109">
        <f>SUM(J52)</f>
        <v>371773.13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2651668.84</v>
      </c>
      <c r="H623" s="109">
        <f>F477</f>
        <v>2651668.84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534998.84</v>
      </c>
      <c r="H624" s="109">
        <f>G477</f>
        <v>534998.84000000008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349988.07</v>
      </c>
      <c r="H625" s="109">
        <f>H477</f>
        <v>349988.06999999995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-481.6</v>
      </c>
      <c r="H626" s="109">
        <f>I477</f>
        <v>-481.59999999999854</v>
      </c>
      <c r="I626" s="121" t="s">
        <v>104</v>
      </c>
      <c r="J626" s="109">
        <f t="shared" si="50"/>
        <v>-1.4779288903810084E-12</v>
      </c>
      <c r="K626" s="109"/>
      <c r="L626" s="109"/>
      <c r="M626" s="8"/>
    </row>
    <row r="627" spans="1:13" s="3" customFormat="1" ht="12.2" customHeight="1" x14ac:dyDescent="0.15">
      <c r="A627" s="22"/>
      <c r="B627" s="105"/>
      <c r="C627" s="105"/>
      <c r="D627" s="105"/>
      <c r="E627" s="105"/>
      <c r="F627" s="120" t="s">
        <v>869</v>
      </c>
      <c r="G627" s="109">
        <f>J51</f>
        <v>371773.13</v>
      </c>
      <c r="H627" s="109">
        <f>J477</f>
        <v>371773.13000000006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23236986.349999998</v>
      </c>
      <c r="H628" s="104">
        <f>SUM(F469)</f>
        <v>23236986.350000001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811460.92999999993</v>
      </c>
      <c r="H629" s="104">
        <f>SUM(G469)</f>
        <v>811460.93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690563.61</v>
      </c>
      <c r="H630" s="104">
        <f>SUM(H469)</f>
        <v>690563.61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115932.35</v>
      </c>
      <c r="H632" s="104">
        <f>SUM(J469)</f>
        <v>115932.35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23517638.930000003</v>
      </c>
      <c r="H633" s="104">
        <f>SUM(F473)</f>
        <v>23517638.93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619520.67000000004</v>
      </c>
      <c r="H634" s="104">
        <f>SUM(H473)</f>
        <v>619520.67000000004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286397.23</v>
      </c>
      <c r="H635" s="104">
        <f>I370</f>
        <v>286397.23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465723.73</v>
      </c>
      <c r="H636" s="104">
        <f>SUM(G473)</f>
        <v>465723.73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32630</v>
      </c>
      <c r="H637" s="104">
        <f>SUM(I473)</f>
        <v>32630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115932.35</v>
      </c>
      <c r="H638" s="164">
        <f>SUM(J469)</f>
        <v>115932.35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147272.06</v>
      </c>
      <c r="H639" s="164">
        <f>SUM(J473)</f>
        <v>147272.06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371773.13</v>
      </c>
      <c r="H641" s="104">
        <f>SUM(G462)</f>
        <v>371773.13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371773.13</v>
      </c>
      <c r="H643" s="104">
        <f>SUM(I462)</f>
        <v>371773.13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932.35</v>
      </c>
      <c r="H645" s="104">
        <f>H409</f>
        <v>932.35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115000</v>
      </c>
      <c r="H646" s="104">
        <f>G409</f>
        <v>115000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115932.35</v>
      </c>
      <c r="H647" s="104">
        <f>L409</f>
        <v>115932.35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1054402.8700000001</v>
      </c>
      <c r="H648" s="104">
        <f>L209+L227+L245</f>
        <v>1054402.8699999999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403392.96</v>
      </c>
      <c r="H649" s="104">
        <f>(J258+J339)-(J256+J337)</f>
        <v>403392.95999999996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368531.46</v>
      </c>
      <c r="H651" s="104">
        <f>I599</f>
        <v>368531.46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685871.40999999992</v>
      </c>
      <c r="H652" s="104">
        <f>J599</f>
        <v>685871.40999999992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34766.26</v>
      </c>
      <c r="H654" s="104">
        <f>K265</f>
        <v>34766.26</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115000</v>
      </c>
      <c r="H656" s="104">
        <f>K267+K348</f>
        <v>115000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0</v>
      </c>
      <c r="G661" s="19">
        <f>(L230+L310+L360)</f>
        <v>7644301.4299999997</v>
      </c>
      <c r="H661" s="19">
        <f>(L248+L329+L361)</f>
        <v>15661133.810000002</v>
      </c>
      <c r="I661" s="19">
        <f>SUM(F661:H661)</f>
        <v>23305435.240000002</v>
      </c>
      <c r="J661" s="13"/>
      <c r="K661" s="13"/>
      <c r="L661" s="13"/>
      <c r="M661" s="9"/>
    </row>
    <row r="662" spans="1:13" s="3" customFormat="1" ht="12.2" customHeight="1" x14ac:dyDescent="0.2">
      <c r="A662" s="1" t="s">
        <v>127</v>
      </c>
      <c r="F662" s="19">
        <f>(L359/IF(SUM(L359:L361)=0,1,SUM(L359:L361))*(SUM(G97:G110)))</f>
        <v>0</v>
      </c>
      <c r="G662" s="19">
        <f>(L360/IF(SUM(L359:L361)=0,1,SUM(L359:L361))*(SUM(G97:G110)))</f>
        <v>61306.719039011397</v>
      </c>
      <c r="H662" s="19">
        <f>(L361/IF(SUM(L359:L361)=0,1,SUM(L359:L361))*(SUM(G97:G110)))</f>
        <v>128489.85096098862</v>
      </c>
      <c r="I662" s="19">
        <f>SUM(F662:H662)</f>
        <v>189796.57</v>
      </c>
      <c r="J662"/>
      <c r="K662" s="13"/>
      <c r="L662" s="13"/>
      <c r="M662" s="8"/>
    </row>
    <row r="663" spans="1:13" s="3" customFormat="1" ht="12.2" customHeight="1" x14ac:dyDescent="0.2">
      <c r="A663" s="1" t="s">
        <v>128</v>
      </c>
      <c r="F663" s="19">
        <f>(L209+L288)-(J209+J288)</f>
        <v>0</v>
      </c>
      <c r="G663" s="19">
        <f>(L227+L307)-(J227+J307)</f>
        <v>395932.68000000005</v>
      </c>
      <c r="H663" s="19">
        <f>(L245+L326)-(J245+J326)</f>
        <v>713272.62999999989</v>
      </c>
      <c r="I663" s="19">
        <f>SUM(F663:H663)</f>
        <v>1109205.31</v>
      </c>
      <c r="J663"/>
      <c r="K663" s="13"/>
      <c r="L663" s="13"/>
      <c r="M663" s="9"/>
    </row>
    <row r="664" spans="1:13" s="3" customFormat="1" ht="12.2" customHeight="1" x14ac:dyDescent="0.15">
      <c r="A664" s="197" t="s">
        <v>129</v>
      </c>
      <c r="B664" s="169"/>
      <c r="C664" s="169"/>
      <c r="D664" s="169"/>
      <c r="E664" s="169"/>
      <c r="F664" s="198">
        <f>SUM(F576:F588)+SUM(H603:H605)+SUM(L612)</f>
        <v>0</v>
      </c>
      <c r="G664" s="198">
        <f>SUM(G576:G588)+SUM(I603:I605)+L613</f>
        <v>196722.28</v>
      </c>
      <c r="H664" s="198">
        <f>SUM(H576:H588)+SUM(J603:J605)+L614</f>
        <v>798680.39999999991</v>
      </c>
      <c r="I664" s="19">
        <f>SUM(F664:H664)</f>
        <v>995402.67999999993</v>
      </c>
      <c r="J664" s="13"/>
      <c r="K664" s="13"/>
      <c r="L664" s="13"/>
      <c r="M664" s="9"/>
    </row>
    <row r="665" spans="1:13" s="3" customFormat="1" ht="12.2" customHeight="1" x14ac:dyDescent="0.15">
      <c r="A665" s="1" t="s">
        <v>130</v>
      </c>
      <c r="F665" s="19">
        <f>F661-SUM(F662:F664)</f>
        <v>0</v>
      </c>
      <c r="G665" s="19">
        <f>G661-SUM(G662:G664)</f>
        <v>6990339.750960988</v>
      </c>
      <c r="H665" s="19">
        <f>H661-SUM(H662:H664)</f>
        <v>14020690.929039015</v>
      </c>
      <c r="I665" s="19">
        <f>I661-SUM(I662:I664)</f>
        <v>21011030.680000003</v>
      </c>
      <c r="J665" s="13"/>
      <c r="K665" s="13"/>
      <c r="L665" s="13"/>
      <c r="M665" s="8"/>
    </row>
    <row r="666" spans="1:13" s="3" customFormat="1" ht="12.2" customHeight="1" x14ac:dyDescent="0.2">
      <c r="A666" s="1" t="s">
        <v>131</v>
      </c>
      <c r="F666" s="245"/>
      <c r="G666" s="246">
        <v>367.24</v>
      </c>
      <c r="H666" s="246">
        <v>821.84</v>
      </c>
      <c r="I666" s="19">
        <f>SUM(F666:H666)</f>
        <v>1189.08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19034.8</v>
      </c>
      <c r="H668" s="19">
        <f>ROUND(H665/H666,2)</f>
        <v>17060.12</v>
      </c>
      <c r="I668" s="19">
        <f>ROUND(I665/I666,2)</f>
        <v>17669.990000000002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-11.23</v>
      </c>
      <c r="I671" s="19">
        <f>SUM(F671:H671)</f>
        <v>-11.23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19034.8</v>
      </c>
      <c r="H673" s="19">
        <f>ROUND((H665+H670)/(H666+H671),2)</f>
        <v>17296.47</v>
      </c>
      <c r="I673" s="19">
        <f>ROUND((I665+I670)/(I666+I671),2)</f>
        <v>17838.46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2" t="s">
        <v>1643</v>
      </c>
      <c r="D2" s="372"/>
      <c r="E2" s="372"/>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29136.240000000002</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20186.240000000002</v>
      </c>
      <c r="F9" s="348" t="s">
        <v>1644</v>
      </c>
    </row>
    <row r="10" spans="2:8" x14ac:dyDescent="0.25">
      <c r="B10" s="347"/>
      <c r="C10" s="347"/>
      <c r="D10" s="347"/>
      <c r="E10" s="347"/>
      <c r="F10" s="347"/>
    </row>
    <row r="11" spans="2:8" x14ac:dyDescent="0.25">
      <c r="B11" s="347"/>
      <c r="C11" s="351" t="s">
        <v>1648</v>
      </c>
      <c r="D11" s="348" t="s">
        <v>1651</v>
      </c>
      <c r="E11" s="335"/>
      <c r="F11" s="348" t="s">
        <v>1645</v>
      </c>
    </row>
    <row r="12" spans="2:8" x14ac:dyDescent="0.25">
      <c r="B12" s="347"/>
      <c r="C12" s="347"/>
      <c r="D12" s="348"/>
      <c r="E12" s="347"/>
      <c r="F12" s="347"/>
    </row>
    <row r="13" spans="2:8" x14ac:dyDescent="0.25">
      <c r="B13" s="347"/>
      <c r="C13" s="348" t="s">
        <v>1638</v>
      </c>
      <c r="D13" s="348" t="s">
        <v>1652</v>
      </c>
      <c r="E13" s="335">
        <v>8950</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Hollis-Brookline Cooperative</v>
      </c>
      <c r="C5" s="375"/>
      <c r="D5" s="375"/>
      <c r="E5" s="375"/>
      <c r="F5" s="375"/>
    </row>
    <row r="8" spans="1:9" ht="18" x14ac:dyDescent="0.25">
      <c r="A8" s="312" t="s">
        <v>1568</v>
      </c>
      <c r="F8" s="319" t="s">
        <v>1586</v>
      </c>
    </row>
    <row r="9" spans="1:9" ht="15" x14ac:dyDescent="0.2">
      <c r="A9" s="310" t="s">
        <v>1569</v>
      </c>
      <c r="B9" s="313">
        <f>'DOE25'!G97</f>
        <v>189796.57</v>
      </c>
      <c r="F9" s="310" t="s">
        <v>1582</v>
      </c>
    </row>
    <row r="10" spans="1:9" ht="15" x14ac:dyDescent="0.2">
      <c r="A10" s="310" t="s">
        <v>1570</v>
      </c>
      <c r="B10" s="313">
        <f>'DOE25'!G112-'DOE25'!G97</f>
        <v>0.67999999999301508</v>
      </c>
      <c r="F10" s="310" t="s">
        <v>1583</v>
      </c>
    </row>
    <row r="11" spans="1:9" ht="15" x14ac:dyDescent="0.2">
      <c r="A11" s="310" t="s">
        <v>1571</v>
      </c>
      <c r="B11" s="313">
        <f>'DOE25'!G140</f>
        <v>12683.49</v>
      </c>
      <c r="F11" s="310" t="s">
        <v>1584</v>
      </c>
    </row>
    <row r="12" spans="1:9" ht="15" x14ac:dyDescent="0.2">
      <c r="A12" s="310" t="s">
        <v>1572</v>
      </c>
      <c r="B12" s="313">
        <f>'DOE25'!G170</f>
        <v>608980.18999999994</v>
      </c>
      <c r="F12" s="310" t="s">
        <v>1585</v>
      </c>
    </row>
    <row r="13" spans="1:9" ht="15" x14ac:dyDescent="0.2">
      <c r="A13" s="310" t="s">
        <v>1573</v>
      </c>
      <c r="B13" s="313">
        <f>'DOE25'!G193-'DOE25'!G180</f>
        <v>0</v>
      </c>
      <c r="F13" s="310" t="s">
        <v>1595</v>
      </c>
    </row>
    <row r="14" spans="1:9" ht="18" x14ac:dyDescent="0.25">
      <c r="A14" s="312" t="s">
        <v>732</v>
      </c>
      <c r="B14" s="314">
        <f>SUM(B9:B13)</f>
        <v>811460.92999999993</v>
      </c>
    </row>
    <row r="16" spans="1:9" ht="18" x14ac:dyDescent="0.25">
      <c r="A16" s="312" t="s">
        <v>786</v>
      </c>
      <c r="F16" s="319" t="s">
        <v>1587</v>
      </c>
    </row>
    <row r="17" spans="1:6" ht="15" x14ac:dyDescent="0.2">
      <c r="A17" s="310" t="s">
        <v>1574</v>
      </c>
      <c r="B17" s="313">
        <f>'DOE25'!L363-'DOE25'!L362</f>
        <v>465723.73</v>
      </c>
      <c r="F17" s="310" t="s">
        <v>1588</v>
      </c>
    </row>
    <row r="18" spans="1:6" ht="15" x14ac:dyDescent="0.2">
      <c r="A18" s="310" t="s">
        <v>1575</v>
      </c>
      <c r="B18" s="323"/>
      <c r="F18" s="319" t="s">
        <v>1612</v>
      </c>
    </row>
    <row r="19" spans="1:6" ht="18" x14ac:dyDescent="0.25">
      <c r="A19" s="312" t="s">
        <v>725</v>
      </c>
      <c r="B19" s="314">
        <f>SUM(B17:B18)</f>
        <v>465723.73</v>
      </c>
    </row>
    <row r="21" spans="1:6" ht="18.75" thickBot="1" x14ac:dyDescent="0.3">
      <c r="A21" s="312" t="s">
        <v>1576</v>
      </c>
    </row>
    <row r="22" spans="1:6" ht="18.75" thickTop="1" x14ac:dyDescent="0.25">
      <c r="A22" s="312" t="s">
        <v>1577</v>
      </c>
      <c r="B22" s="318">
        <f>B14-B19</f>
        <v>345737.19999999995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189261.64</v>
      </c>
      <c r="F31" s="310" t="s">
        <v>1592</v>
      </c>
    </row>
    <row r="33" spans="1:6" ht="15" x14ac:dyDescent="0.2">
      <c r="A33" s="310" t="s">
        <v>1635</v>
      </c>
      <c r="B33" s="313">
        <f>'DOE25'!G477</f>
        <v>534998.84000000008</v>
      </c>
      <c r="F33" s="310" t="s">
        <v>1593</v>
      </c>
    </row>
    <row r="36" spans="1:6" ht="15" x14ac:dyDescent="0.2">
      <c r="A36" s="310" t="s">
        <v>1579</v>
      </c>
      <c r="B36" s="324">
        <v>25268.22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35" sqref="A3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Hollis-Brookline Cooperative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5965483.7299999995</v>
      </c>
      <c r="C9" s="228">
        <f>'DOE25'!G198+'DOE25'!G216+'DOE25'!G234+'DOE25'!G277+'DOE25'!G296+'DOE25'!G315</f>
        <v>2890128</v>
      </c>
    </row>
    <row r="10" spans="1:3" x14ac:dyDescent="0.2">
      <c r="A10" t="s">
        <v>775</v>
      </c>
      <c r="B10" s="239">
        <v>5792356.8099999996</v>
      </c>
      <c r="C10" s="239">
        <f>C9*0.97</f>
        <v>2803424.16</v>
      </c>
    </row>
    <row r="11" spans="1:3" x14ac:dyDescent="0.2">
      <c r="A11" t="s">
        <v>776</v>
      </c>
      <c r="B11" s="239">
        <v>0</v>
      </c>
      <c r="C11" s="239"/>
    </row>
    <row r="12" spans="1:3" x14ac:dyDescent="0.2">
      <c r="A12" t="s">
        <v>777</v>
      </c>
      <c r="B12" s="239">
        <v>173126.92</v>
      </c>
      <c r="C12" s="239">
        <f>C9*0.03</f>
        <v>86703.84</v>
      </c>
    </row>
    <row r="13" spans="1:3" x14ac:dyDescent="0.2">
      <c r="A13" t="str">
        <f>IF(B9=B13,IF(C9=C13,"Check Total OK","Check Total Error"),"Check Total Error")</f>
        <v>Check Total OK</v>
      </c>
      <c r="B13" s="230">
        <f>SUM(B10:B12)</f>
        <v>5965483.7299999995</v>
      </c>
      <c r="C13" s="230">
        <f>SUM(C10:C12)</f>
        <v>2890128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2121222.2000000002</v>
      </c>
      <c r="C18" s="228">
        <f>'DOE25'!G199+'DOE25'!G217+'DOE25'!G235+'DOE25'!G278+'DOE25'!G297+'DOE25'!G316</f>
        <v>908077</v>
      </c>
    </row>
    <row r="19" spans="1:3" x14ac:dyDescent="0.2">
      <c r="A19" t="s">
        <v>775</v>
      </c>
      <c r="B19" s="239">
        <v>1190529.1599999999</v>
      </c>
      <c r="C19" s="239">
        <f>C18*0.56</f>
        <v>508523.12000000005</v>
      </c>
    </row>
    <row r="20" spans="1:3" x14ac:dyDescent="0.2">
      <c r="A20" t="s">
        <v>776</v>
      </c>
      <c r="B20" s="239">
        <v>724118.54</v>
      </c>
      <c r="C20" s="239">
        <f>C18*0.34</f>
        <v>308746.18000000005</v>
      </c>
    </row>
    <row r="21" spans="1:3" x14ac:dyDescent="0.2">
      <c r="A21" t="s">
        <v>777</v>
      </c>
      <c r="B21" s="239">
        <v>206574.5</v>
      </c>
      <c r="C21" s="239">
        <f>C18*0.1</f>
        <v>90807.700000000012</v>
      </c>
    </row>
    <row r="22" spans="1:3" x14ac:dyDescent="0.2">
      <c r="A22" t="str">
        <f>IF(B18=B22,IF(C18=C22,"Check Total OK","Check Total Error"),"Check Total Error")</f>
        <v>Check Total OK</v>
      </c>
      <c r="B22" s="230">
        <f>SUM(B19:B21)</f>
        <v>2121222.2000000002</v>
      </c>
      <c r="C22" s="230">
        <f>SUM(C19:C21)</f>
        <v>908077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532063</v>
      </c>
      <c r="C36" s="234">
        <f>'DOE25'!G201+'DOE25'!G219+'DOE25'!G237+'DOE25'!G280+'DOE25'!G299+'DOE25'!G318</f>
        <v>262107</v>
      </c>
    </row>
    <row r="37" spans="1:3" x14ac:dyDescent="0.2">
      <c r="A37" t="s">
        <v>775</v>
      </c>
      <c r="B37" s="239">
        <v>323575</v>
      </c>
      <c r="C37" s="239">
        <f>C36*0.61</f>
        <v>159885.26999999999</v>
      </c>
    </row>
    <row r="38" spans="1:3" x14ac:dyDescent="0.2">
      <c r="A38" t="s">
        <v>776</v>
      </c>
      <c r="B38" s="239">
        <v>0</v>
      </c>
      <c r="C38" s="239"/>
    </row>
    <row r="39" spans="1:3" x14ac:dyDescent="0.2">
      <c r="A39" t="s">
        <v>777</v>
      </c>
      <c r="B39" s="239">
        <v>208488</v>
      </c>
      <c r="C39" s="239">
        <f>C36*0.39</f>
        <v>102221.73000000001</v>
      </c>
    </row>
    <row r="40" spans="1:3" x14ac:dyDescent="0.2">
      <c r="A40" t="str">
        <f>IF(B36=B40,IF(C36=C40,"Check Total OK","Check Total Error"),"Check Total Error")</f>
        <v>Check Total OK</v>
      </c>
      <c r="B40" s="230">
        <f>SUM(B37:B39)</f>
        <v>532063</v>
      </c>
      <c r="C40" s="230">
        <f>SUM(C37:C39)</f>
        <v>262107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Hollis-Brookline Cooperative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13990433.789999999</v>
      </c>
      <c r="D5" s="20">
        <f>SUM('DOE25'!L198:L201)+SUM('DOE25'!L216:L219)+SUM('DOE25'!L234:L237)-F5-G5-H5</f>
        <v>13563967.699999999</v>
      </c>
      <c r="E5" s="242"/>
      <c r="F5" s="243">
        <f>79762+69415+69727+55027-15000+59180</f>
        <v>318111</v>
      </c>
      <c r="G5" s="53">
        <f>SUM('DOE25'!J198:J201)+SUM('DOE25'!J216:J219)+SUM('DOE25'!J234:J237)</f>
        <v>77785.850000000006</v>
      </c>
      <c r="H5" s="53">
        <f>SUM('DOE25'!K198:K201)+SUM('DOE25'!K216:K219)+SUM('DOE25'!K234:K237)</f>
        <v>30569.24</v>
      </c>
      <c r="I5" s="255"/>
    </row>
    <row r="6" spans="1:9" x14ac:dyDescent="0.2">
      <c r="A6" s="32">
        <v>2100</v>
      </c>
      <c r="B6" t="s">
        <v>796</v>
      </c>
      <c r="C6" s="274">
        <f t="shared" si="0"/>
        <v>2156709.1300000004</v>
      </c>
      <c r="D6" s="20">
        <f>'DOE25'!L203+'DOE25'!L221+'DOE25'!L239-F6-G6-H6</f>
        <v>1766893.3100000003</v>
      </c>
      <c r="E6" s="242"/>
      <c r="F6" s="243">
        <f>309228+79896</f>
        <v>389124</v>
      </c>
      <c r="G6" s="53">
        <f>'DOE25'!J203+'DOE25'!J221+'DOE25'!J239</f>
        <v>291.82</v>
      </c>
      <c r="H6" s="53">
        <f>'DOE25'!K203+'DOE25'!K221+'DOE25'!K239</f>
        <v>400</v>
      </c>
      <c r="I6" s="255"/>
    </row>
    <row r="7" spans="1:9" x14ac:dyDescent="0.2">
      <c r="A7" s="32">
        <v>2200</v>
      </c>
      <c r="B7" t="s">
        <v>821</v>
      </c>
      <c r="C7" s="274">
        <f t="shared" si="0"/>
        <v>816981.99</v>
      </c>
      <c r="D7" s="20">
        <f>'DOE25'!L204+'DOE25'!L222+'DOE25'!L240-F7-G7-H7</f>
        <v>561469.63</v>
      </c>
      <c r="E7" s="242"/>
      <c r="F7" s="243"/>
      <c r="G7" s="53">
        <f>'DOE25'!J204+'DOE25'!J222+'DOE25'!J240</f>
        <v>255512.36000000002</v>
      </c>
      <c r="H7" s="53">
        <f>'DOE25'!K204+'DOE25'!K222+'DOE25'!K240</f>
        <v>0</v>
      </c>
      <c r="I7" s="255"/>
    </row>
    <row r="8" spans="1:9" x14ac:dyDescent="0.2">
      <c r="A8" s="32">
        <v>2300</v>
      </c>
      <c r="B8" t="s">
        <v>797</v>
      </c>
      <c r="C8" s="274">
        <f t="shared" si="0"/>
        <v>796763.5299999998</v>
      </c>
      <c r="D8" s="242"/>
      <c r="E8" s="20">
        <f>'DOE25'!L205+'DOE25'!L223+'DOE25'!L241-F8-G8-H8-D9-D11</f>
        <v>780935.48999999976</v>
      </c>
      <c r="F8" s="243"/>
      <c r="G8" s="53">
        <f>'DOE25'!J205+'DOE25'!J223+'DOE25'!J241</f>
        <v>10865.92</v>
      </c>
      <c r="H8" s="53">
        <f>'DOE25'!K205+'DOE25'!K223+'DOE25'!K241</f>
        <v>4962.12</v>
      </c>
      <c r="I8" s="255"/>
    </row>
    <row r="9" spans="1:9" ht="14.25" x14ac:dyDescent="0.2">
      <c r="A9" s="32">
        <v>2310</v>
      </c>
      <c r="B9" s="184" t="s">
        <v>888</v>
      </c>
      <c r="C9" s="274">
        <f t="shared" si="0"/>
        <v>77241.73</v>
      </c>
      <c r="D9" s="243">
        <v>77241.73</v>
      </c>
      <c r="E9" s="242"/>
      <c r="F9" s="252"/>
      <c r="G9" s="252"/>
      <c r="H9" s="252"/>
      <c r="I9" s="255"/>
    </row>
    <row r="10" spans="1:9" ht="14.25" x14ac:dyDescent="0.2">
      <c r="A10" s="32">
        <v>2317</v>
      </c>
      <c r="B10" s="184" t="s">
        <v>889</v>
      </c>
      <c r="C10" s="274">
        <f t="shared" si="0"/>
        <v>14000</v>
      </c>
      <c r="D10" s="242"/>
      <c r="E10" s="243">
        <v>14000</v>
      </c>
      <c r="F10" s="252"/>
      <c r="G10" s="252"/>
      <c r="H10" s="252"/>
      <c r="I10" s="255"/>
    </row>
    <row r="11" spans="1:9" ht="14.25" x14ac:dyDescent="0.2">
      <c r="A11" s="32">
        <v>2321</v>
      </c>
      <c r="B11" s="184" t="s">
        <v>890</v>
      </c>
      <c r="C11" s="274">
        <f t="shared" si="0"/>
        <v>217238.5</v>
      </c>
      <c r="D11" s="243">
        <v>217238.5</v>
      </c>
      <c r="E11" s="242"/>
      <c r="F11" s="252"/>
      <c r="G11" s="252"/>
      <c r="H11" s="252"/>
      <c r="I11" s="255"/>
    </row>
    <row r="12" spans="1:9" x14ac:dyDescent="0.2">
      <c r="A12" s="32">
        <v>2400</v>
      </c>
      <c r="B12" t="s">
        <v>711</v>
      </c>
      <c r="C12" s="274">
        <f t="shared" si="0"/>
        <v>1376258.58</v>
      </c>
      <c r="D12" s="20">
        <f>'DOE25'!L206+'DOE25'!L224+'DOE25'!L242-F12-G12-H12</f>
        <v>1275927.75</v>
      </c>
      <c r="E12" s="242"/>
      <c r="F12" s="243">
        <f>34396+32204</f>
        <v>66600</v>
      </c>
      <c r="G12" s="53">
        <f>'DOE25'!J206+'DOE25'!J224+'DOE25'!J242</f>
        <v>16245</v>
      </c>
      <c r="H12" s="53">
        <f>'DOE25'!K206+'DOE25'!K224+'DOE25'!K242</f>
        <v>17485.830000000002</v>
      </c>
      <c r="I12" s="255"/>
    </row>
    <row r="13" spans="1:9" x14ac:dyDescent="0.2">
      <c r="A13" s="32">
        <v>2500</v>
      </c>
      <c r="B13" t="s">
        <v>798</v>
      </c>
      <c r="C13" s="274">
        <f t="shared" si="0"/>
        <v>2189.29</v>
      </c>
      <c r="D13" s="242"/>
      <c r="E13" s="20">
        <f>'DOE25'!L207+'DOE25'!L225+'DOE25'!L243-F13-G13-H13</f>
        <v>0</v>
      </c>
      <c r="F13" s="243"/>
      <c r="G13" s="53">
        <f>'DOE25'!J207+'DOE25'!J225+'DOE25'!J243</f>
        <v>0</v>
      </c>
      <c r="H13" s="53">
        <f>'DOE25'!K207+'DOE25'!K225+'DOE25'!K243</f>
        <v>2189.29</v>
      </c>
      <c r="I13" s="255"/>
    </row>
    <row r="14" spans="1:9" x14ac:dyDescent="0.2">
      <c r="A14" s="32">
        <v>2600</v>
      </c>
      <c r="B14" t="s">
        <v>819</v>
      </c>
      <c r="C14" s="274">
        <f t="shared" si="0"/>
        <v>1734971.43</v>
      </c>
      <c r="D14" s="20">
        <f>'DOE25'!L208+'DOE25'!L226+'DOE25'!L244-F14-G14-H14</f>
        <v>1272783.3599999999</v>
      </c>
      <c r="E14" s="242"/>
      <c r="F14" s="243">
        <f>116977+34966+50173+34862</f>
        <v>236978</v>
      </c>
      <c r="G14" s="53">
        <f>'DOE25'!J208+'DOE25'!J226+'DOE25'!J244</f>
        <v>7392.01</v>
      </c>
      <c r="H14" s="53">
        <f>'DOE25'!K208+'DOE25'!K226+'DOE25'!K244</f>
        <v>217818.06</v>
      </c>
      <c r="I14" s="255"/>
    </row>
    <row r="15" spans="1:9" x14ac:dyDescent="0.2">
      <c r="A15" s="32">
        <v>2700</v>
      </c>
      <c r="B15" t="s">
        <v>799</v>
      </c>
      <c r="C15" s="274">
        <f t="shared" si="0"/>
        <v>1054402.8699999999</v>
      </c>
      <c r="D15" s="20">
        <f>'DOE25'!L209+'DOE25'!L227+'DOE25'!L245-F15-G15-H15</f>
        <v>205170.86999999988</v>
      </c>
      <c r="E15" s="242"/>
      <c r="F15" s="243">
        <f>780086+69146</f>
        <v>849232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347382.24</v>
      </c>
      <c r="D22" s="242"/>
      <c r="E22" s="242"/>
      <c r="F22" s="242"/>
      <c r="G22" s="53">
        <f>'DOE25'!L256+'DOE25'!L337</f>
        <v>347382.24</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797299.59</v>
      </c>
      <c r="D25" s="242"/>
      <c r="E25" s="242"/>
      <c r="F25" s="254"/>
      <c r="G25" s="252"/>
      <c r="H25" s="252"/>
      <c r="I25" s="253">
        <f>'DOE25'!L261+'DOE25'!L262+'DOE25'!L342+'DOE25'!L343</f>
        <v>797299.59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216669.27</v>
      </c>
      <c r="D29" s="282">
        <f>'DOE25'!L359+'DOE25'!L360+'DOE25'!L361-'DOE25'!I368-F29-G29-H29</f>
        <v>213525.3</v>
      </c>
      <c r="E29" s="242"/>
      <c r="F29" s="243"/>
      <c r="G29" s="53">
        <f>'DOE25'!J359+'DOE25'!J360+'DOE25'!J361</f>
        <v>2811.97</v>
      </c>
      <c r="H29" s="53">
        <f>'DOE25'!K359+'DOE25'!K360+'DOE25'!K361</f>
        <v>332</v>
      </c>
      <c r="I29" s="255"/>
    </row>
    <row r="30" spans="1:9" x14ac:dyDescent="0.2">
      <c r="A30" s="32"/>
      <c r="C30" s="275"/>
      <c r="D30" s="20"/>
      <c r="E30" s="279"/>
      <c r="F30" s="269"/>
      <c r="G30" s="53"/>
      <c r="H30" s="53"/>
      <c r="I30" s="255"/>
    </row>
    <row r="31" spans="1:9" x14ac:dyDescent="0.2">
      <c r="A31" s="32" t="s">
        <v>818</v>
      </c>
      <c r="B31" t="s">
        <v>817</v>
      </c>
      <c r="C31" s="274">
        <f>SUM(D31:I31)</f>
        <v>616520.67000000004</v>
      </c>
      <c r="D31" s="20">
        <f>'DOE25'!L291+'DOE25'!L310+'DOE25'!L329+'DOE25'!L334+'DOE25'!L335+'DOE25'!L336-F31-G31-H31</f>
        <v>568254.69000000006</v>
      </c>
      <c r="E31" s="242"/>
      <c r="F31" s="243"/>
      <c r="G31" s="53">
        <f>'DOE25'!J291+'DOE25'!J310+'DOE25'!J329+'DOE25'!J334+'DOE25'!J335+'DOE25'!J336</f>
        <v>35300</v>
      </c>
      <c r="H31" s="53">
        <f>'DOE25'!K291+'DOE25'!K310+'DOE25'!K329+'DOE25'!K334+'DOE25'!K335+'DOE25'!K336</f>
        <v>12965.98</v>
      </c>
      <c r="I31" s="255"/>
    </row>
    <row r="32" spans="1:9" ht="12" thickBot="1" x14ac:dyDescent="0.25">
      <c r="C32" s="275"/>
      <c r="G32" s="250"/>
      <c r="H32" s="250"/>
      <c r="I32" s="257"/>
    </row>
    <row r="33" spans="1:9" ht="12" thickTop="1" x14ac:dyDescent="0.2">
      <c r="B33" t="s">
        <v>809</v>
      </c>
      <c r="D33" s="244">
        <f t="shared" ref="D33:I33" si="1">SUM(D5:D31)</f>
        <v>19722472.840000004</v>
      </c>
      <c r="E33" s="244">
        <f t="shared" si="1"/>
        <v>794935.48999999976</v>
      </c>
      <c r="F33" s="244">
        <f>SUM(F5:F31)</f>
        <v>1860045</v>
      </c>
      <c r="G33" s="244">
        <f t="shared" si="1"/>
        <v>753587.16999999993</v>
      </c>
      <c r="H33" s="244">
        <f t="shared" si="1"/>
        <v>286722.51999999996</v>
      </c>
      <c r="I33" s="244">
        <f t="shared" si="1"/>
        <v>797299.59</v>
      </c>
    </row>
    <row r="35" spans="1:9" ht="12" thickBot="1" x14ac:dyDescent="0.25">
      <c r="B35" s="250" t="s">
        <v>831</v>
      </c>
      <c r="D35" s="251">
        <f>E33</f>
        <v>794935.48999999976</v>
      </c>
      <c r="E35" s="247"/>
      <c r="F35" s="328" t="s">
        <v>1617</v>
      </c>
      <c r="G35" s="329"/>
      <c r="H35" s="329"/>
      <c r="I35" s="329"/>
    </row>
    <row r="36" spans="1:9" ht="12" thickTop="1" x14ac:dyDescent="0.2">
      <c r="B36" t="s">
        <v>810</v>
      </c>
      <c r="D36" s="20">
        <f>D33</f>
        <v>19722472.840000004</v>
      </c>
      <c r="F36" s="37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26" sqref="A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Hollis-Brookline Cooperative</v>
      </c>
      <c r="B2" s="126">
        <f>'DOE25'!B2</f>
        <v>260</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0</v>
      </c>
      <c r="G4" s="299">
        <f>'DOE25'!L212+'DOE25'!L291</f>
        <v>0</v>
      </c>
      <c r="H4" s="339">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0"/>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0"/>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0"/>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7">
        <f>SUM(D5:D20)</f>
        <v>0</v>
      </c>
      <c r="E21" s="337">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7493866.71</v>
      </c>
      <c r="G24" s="299">
        <f>'DOE25'!L230+'DOE25'!L310</f>
        <v>7493866.71</v>
      </c>
      <c r="H24" s="339">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Hollis-Brookline Middle School</v>
      </c>
      <c r="B26" s="300">
        <f>IFERROR(VLOOKUP(A26,'School Tables'!$N$4:$O$75,2,FALSE),"")</f>
        <v>21805</v>
      </c>
      <c r="C26" s="293" t="str">
        <f>IFERROR(INDEX('School Tables'!$M$4:$M$75,MATCH('School Level Expenditures'!A26,'School Tables'!$N$4:$N$75,0)),"")</f>
        <v>Hollis-Brookline Cooperative</v>
      </c>
      <c r="D26" s="290">
        <v>7273311.7999999998</v>
      </c>
      <c r="E26" s="290">
        <v>220554.91</v>
      </c>
      <c r="F26" s="303">
        <f t="shared" ref="F26:F32" si="1">D26+E26</f>
        <v>7493866.71</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7">
        <f>SUM(D25:D32)</f>
        <v>7273311.7999999998</v>
      </c>
      <c r="E33" s="337">
        <f>SUM(E25:E32)</f>
        <v>220554.91</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15345844.800000001</v>
      </c>
      <c r="G36" s="299">
        <f>'DOE25'!L248+'DOE25'!L329</f>
        <v>15345844.800000003</v>
      </c>
      <c r="H36" s="339">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Hollis-Brookline High School</v>
      </c>
      <c r="B38" s="300">
        <f>IFERROR(VLOOKUP(A38,'School Tables'!$Y$4:$Z$100,2,FALSE),"")</f>
        <v>21810</v>
      </c>
      <c r="C38" s="293" t="str">
        <f>IFERROR(INDEX('School Tables'!$X$4:$X$100,MATCH('School Level Expenditures'!A38,'School Tables'!$Y$4:$Y$100,0)),"")</f>
        <v>Hollis-Brookline Cooperative</v>
      </c>
      <c r="D38" s="290">
        <v>15125289.890000001</v>
      </c>
      <c r="E38" s="290">
        <v>220554.91</v>
      </c>
      <c r="F38" s="303">
        <f t="shared" si="2"/>
        <v>15345844.800000001</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7">
        <f>SUM(D37:D42)</f>
        <v>15125289.890000001</v>
      </c>
      <c r="E43" s="338">
        <f>SUM(E37:E42)</f>
        <v>220554.91</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Hollis-Brookline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3260982.22</v>
      </c>
      <c r="D8" s="95">
        <f>'DOE25'!G9</f>
        <v>16398.75</v>
      </c>
      <c r="E8" s="95">
        <f>'DOE25'!H9</f>
        <v>3130.57</v>
      </c>
      <c r="F8" s="95">
        <f>'DOE25'!I9</f>
        <v>-481.6</v>
      </c>
      <c r="G8" s="95">
        <f>'DOE25'!J9</f>
        <v>0</v>
      </c>
      <c r="H8" s="124">
        <f>SUM(C8:G8)</f>
        <v>3280029.94</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195379.69</v>
      </c>
      <c r="D12" s="95">
        <f>'DOE25'!G13</f>
        <v>217455.37</v>
      </c>
      <c r="E12" s="95">
        <f>'DOE25'!H13</f>
        <v>167498.53</v>
      </c>
      <c r="F12" s="95">
        <f>'DOE25'!I13</f>
        <v>0</v>
      </c>
      <c r="G12" s="95">
        <f>'DOE25'!J13</f>
        <v>371773.13</v>
      </c>
      <c r="H12" s="124">
        <f t="shared" si="0"/>
        <v>952106.72</v>
      </c>
      <c r="I12" s="124"/>
    </row>
    <row r="13" spans="1:9" x14ac:dyDescent="0.2">
      <c r="A13" s="1" t="s">
        <v>144</v>
      </c>
      <c r="B13" s="6">
        <v>150</v>
      </c>
      <c r="C13" s="95">
        <f>'DOE25'!F14</f>
        <v>851.4</v>
      </c>
      <c r="D13" s="95">
        <f>'DOE25'!G14</f>
        <v>0</v>
      </c>
      <c r="E13" s="95">
        <f>'DOE25'!H14</f>
        <v>0</v>
      </c>
      <c r="F13" s="95">
        <f>'DOE25'!I14</f>
        <v>0</v>
      </c>
      <c r="G13" s="95">
        <f>'DOE25'!J14</f>
        <v>0</v>
      </c>
      <c r="H13" s="124">
        <f t="shared" si="0"/>
        <v>851.4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16621.349999999999</v>
      </c>
      <c r="E15" s="95">
        <f>'DOE25'!H16</f>
        <v>0</v>
      </c>
      <c r="F15" s="95">
        <f>'DOE25'!I16</f>
        <v>0</v>
      </c>
      <c r="G15" s="24" t="s">
        <v>288</v>
      </c>
      <c r="H15" s="124">
        <f t="shared" si="0"/>
        <v>16621.349999999999</v>
      </c>
      <c r="I15" s="124"/>
    </row>
    <row r="16" spans="1:9" x14ac:dyDescent="0.2">
      <c r="A16" s="1" t="s">
        <v>147</v>
      </c>
      <c r="B16" s="6">
        <v>180</v>
      </c>
      <c r="C16" s="95">
        <f>'DOE25'!F17</f>
        <v>28373.68</v>
      </c>
      <c r="D16" s="95">
        <f>'DOE25'!G17</f>
        <v>0</v>
      </c>
      <c r="E16" s="95">
        <f>'DOE25'!H17</f>
        <v>10580</v>
      </c>
      <c r="F16" s="95">
        <f>'DOE25'!I17</f>
        <v>0</v>
      </c>
      <c r="G16" s="95">
        <f>'DOE25'!J17</f>
        <v>0</v>
      </c>
      <c r="H16" s="124">
        <f t="shared" si="0"/>
        <v>38953.68</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3485586.99</v>
      </c>
      <c r="D18" s="41">
        <f>SUM(D8:D17)</f>
        <v>250475.47</v>
      </c>
      <c r="E18" s="41">
        <f>SUM(E8:E17)</f>
        <v>181209.1</v>
      </c>
      <c r="F18" s="41">
        <f>SUM(F8:F17)</f>
        <v>-481.6</v>
      </c>
      <c r="G18" s="41">
        <f>SUM(G8:G17)</f>
        <v>371773.13</v>
      </c>
      <c r="H18" s="41">
        <f t="shared" si="0"/>
        <v>4288563.0900000008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499242.42</v>
      </c>
      <c r="D21" s="95">
        <f>'DOE25'!G22</f>
        <v>-321819.03000000003</v>
      </c>
      <c r="E21" s="95">
        <f>'DOE25'!H22</f>
        <v>-345301.3</v>
      </c>
      <c r="F21" s="95">
        <f>'DOE25'!I22</f>
        <v>0</v>
      </c>
      <c r="G21" s="95">
        <f>'DOE25'!J22</f>
        <v>0</v>
      </c>
      <c r="H21" s="124">
        <f t="shared" ref="H21:H31" si="1">SUM(C21:G21)</f>
        <v>-167877.91000000003</v>
      </c>
      <c r="I21" s="124"/>
    </row>
    <row r="22" spans="1:9" x14ac:dyDescent="0.2">
      <c r="A22" s="1" t="s">
        <v>151</v>
      </c>
      <c r="B22" s="6">
        <v>410</v>
      </c>
      <c r="C22" s="95">
        <f>'DOE25'!F23</f>
        <v>244777.4</v>
      </c>
      <c r="D22" s="95">
        <f>'DOE25'!G23</f>
        <v>0</v>
      </c>
      <c r="E22" s="95">
        <f>'DOE25'!H23</f>
        <v>171087.91</v>
      </c>
      <c r="F22" s="95">
        <f>'DOE25'!I23</f>
        <v>0</v>
      </c>
      <c r="G22" s="95">
        <f>'DOE25'!J23</f>
        <v>0</v>
      </c>
      <c r="H22" s="124">
        <f t="shared" si="1"/>
        <v>415865.31</v>
      </c>
      <c r="I22" s="124"/>
    </row>
    <row r="23" spans="1:9" x14ac:dyDescent="0.2">
      <c r="A23" s="1" t="s">
        <v>152</v>
      </c>
      <c r="B23" s="6">
        <v>420</v>
      </c>
      <c r="C23" s="95">
        <f>'DOE25'!F24</f>
        <v>151092.51</v>
      </c>
      <c r="D23" s="95">
        <f>'DOE25'!G24</f>
        <v>495</v>
      </c>
      <c r="E23" s="95">
        <f>'DOE25'!H24</f>
        <v>2733.75</v>
      </c>
      <c r="F23" s="95">
        <f>'DOE25'!I24</f>
        <v>0</v>
      </c>
      <c r="G23" s="95">
        <f>'DOE25'!J24</f>
        <v>0</v>
      </c>
      <c r="H23" s="124">
        <f t="shared" si="1"/>
        <v>154321.26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-71136.56</v>
      </c>
      <c r="D27" s="95">
        <f>'DOE25'!G28</f>
        <v>1818.04</v>
      </c>
      <c r="E27" s="95">
        <f>'DOE25'!H28</f>
        <v>2700.67</v>
      </c>
      <c r="F27" s="95">
        <f>'DOE25'!I28</f>
        <v>0</v>
      </c>
      <c r="G27" s="24" t="s">
        <v>288</v>
      </c>
      <c r="H27" s="124">
        <f t="shared" si="1"/>
        <v>-66617.850000000006</v>
      </c>
      <c r="I27" s="124"/>
    </row>
    <row r="28" spans="1:9" x14ac:dyDescent="0.2">
      <c r="A28" s="1" t="s">
        <v>157</v>
      </c>
      <c r="B28" s="6">
        <v>470</v>
      </c>
      <c r="C28" s="95">
        <f>'DOE25'!F29</f>
        <v>9942.380000000001</v>
      </c>
      <c r="D28" s="95">
        <f>'DOE25'!G29</f>
        <v>0</v>
      </c>
      <c r="E28" s="95">
        <f>'DOE25'!H29</f>
        <v>0</v>
      </c>
      <c r="F28" s="95">
        <f>'DOE25'!I29</f>
        <v>0</v>
      </c>
      <c r="G28" s="24" t="s">
        <v>288</v>
      </c>
      <c r="H28" s="124">
        <f t="shared" si="1"/>
        <v>9942.380000000001</v>
      </c>
      <c r="I28" s="124"/>
    </row>
    <row r="29" spans="1:9" x14ac:dyDescent="0.2">
      <c r="A29" s="1" t="s">
        <v>158</v>
      </c>
      <c r="B29" s="6">
        <v>480</v>
      </c>
      <c r="C29" s="95">
        <f>'DOE25'!F30</f>
        <v>0</v>
      </c>
      <c r="D29" s="95">
        <f>'DOE25'!G30</f>
        <v>34982.620000000003</v>
      </c>
      <c r="E29" s="95">
        <f>'DOE25'!H30</f>
        <v>0</v>
      </c>
      <c r="F29" s="95">
        <f>'DOE25'!I30</f>
        <v>0</v>
      </c>
      <c r="G29" s="24" t="s">
        <v>288</v>
      </c>
      <c r="H29" s="124">
        <f t="shared" si="1"/>
        <v>34982.620000000003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833918.15</v>
      </c>
      <c r="D31" s="41">
        <f>SUM(D21:D30)</f>
        <v>-284523.37000000005</v>
      </c>
      <c r="E31" s="41">
        <f>SUM(E21:E30)</f>
        <v>-168778.96999999997</v>
      </c>
      <c r="F31" s="41">
        <f>SUM(F21:F30)</f>
        <v>0</v>
      </c>
      <c r="G31" s="41">
        <f>SUM(G21:G30)</f>
        <v>0</v>
      </c>
      <c r="H31" s="41">
        <f t="shared" si="1"/>
        <v>380615.81000000006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16621.349999999999</v>
      </c>
      <c r="E34" s="95">
        <f>'DOE25'!H35</f>
        <v>0</v>
      </c>
      <c r="F34" s="95">
        <f>'DOE25'!I35</f>
        <v>0</v>
      </c>
      <c r="G34" s="24" t="s">
        <v>288</v>
      </c>
      <c r="H34" s="124">
        <f t="shared" ref="H34:H51" si="2">SUM(C34:G34)</f>
        <v>16621.349999999999</v>
      </c>
      <c r="I34" s="124"/>
    </row>
    <row r="35" spans="1:9" x14ac:dyDescent="0.2">
      <c r="A35" s="1" t="s">
        <v>850</v>
      </c>
      <c r="B35" s="6">
        <v>752</v>
      </c>
      <c r="C35" s="95">
        <f>'DOE25'!F36</f>
        <v>28373.68</v>
      </c>
      <c r="D35" s="95">
        <f>'DOE25'!G36</f>
        <v>0</v>
      </c>
      <c r="E35" s="95">
        <f>'DOE25'!H36</f>
        <v>0</v>
      </c>
      <c r="F35" s="95">
        <f>'DOE25'!I36</f>
        <v>0</v>
      </c>
      <c r="G35" s="24" t="s">
        <v>288</v>
      </c>
      <c r="H35" s="124">
        <f t="shared" si="2"/>
        <v>28373.68</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-481.6</v>
      </c>
      <c r="G40" s="24" t="s">
        <v>288</v>
      </c>
      <c r="H40" s="124">
        <f t="shared" si="2"/>
        <v>-481.6</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518377.49</v>
      </c>
      <c r="E42" s="95">
        <f>'DOE25'!H43</f>
        <v>0</v>
      </c>
      <c r="F42" s="95">
        <f>'DOE25'!I43</f>
        <v>0</v>
      </c>
      <c r="G42" s="95">
        <f>'DOE25'!J43</f>
        <v>0</v>
      </c>
      <c r="H42" s="124">
        <f t="shared" si="2"/>
        <v>518377.49</v>
      </c>
      <c r="I42" s="124"/>
    </row>
    <row r="43" spans="1:9" x14ac:dyDescent="0.2">
      <c r="A43" s="1" t="s">
        <v>863</v>
      </c>
      <c r="B43" s="6">
        <v>755</v>
      </c>
      <c r="C43" s="95">
        <f>'DOE25'!F44</f>
        <v>225000</v>
      </c>
      <c r="D43" s="95">
        <f>'DOE25'!G44</f>
        <v>0</v>
      </c>
      <c r="E43" s="95">
        <f>'DOE25'!H44</f>
        <v>0</v>
      </c>
      <c r="F43" s="95">
        <f>'DOE25'!I44</f>
        <v>0</v>
      </c>
      <c r="G43" s="24" t="s">
        <v>288</v>
      </c>
      <c r="H43" s="124">
        <f t="shared" si="2"/>
        <v>225000</v>
      </c>
      <c r="I43" s="124"/>
    </row>
    <row r="44" spans="1:9" x14ac:dyDescent="0.2">
      <c r="A44" s="1" t="s">
        <v>864</v>
      </c>
      <c r="B44" s="6">
        <v>753</v>
      </c>
      <c r="C44" s="95">
        <f>'DOE25'!F45</f>
        <v>700299.73</v>
      </c>
      <c r="D44" s="95">
        <f>'DOE25'!G45</f>
        <v>0</v>
      </c>
      <c r="E44" s="95">
        <f>'DOE25'!H45</f>
        <v>0</v>
      </c>
      <c r="F44" s="95">
        <f>'DOE25'!I45</f>
        <v>0</v>
      </c>
      <c r="G44" s="95">
        <f>'DOE25'!J45</f>
        <v>0</v>
      </c>
      <c r="H44" s="124">
        <f t="shared" si="2"/>
        <v>700299.73</v>
      </c>
      <c r="I44" s="124"/>
    </row>
    <row r="45" spans="1:9" x14ac:dyDescent="0.2">
      <c r="A45" s="1" t="s">
        <v>880</v>
      </c>
      <c r="B45" s="6"/>
      <c r="C45" s="95">
        <f>'DOE25'!F46</f>
        <v>188559</v>
      </c>
      <c r="D45" s="24" t="s">
        <v>288</v>
      </c>
      <c r="E45" s="24" t="s">
        <v>288</v>
      </c>
      <c r="F45" s="24" t="s">
        <v>288</v>
      </c>
      <c r="G45" s="24" t="s">
        <v>288</v>
      </c>
      <c r="H45" s="124">
        <f t="shared" si="2"/>
        <v>188559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349988.07</v>
      </c>
      <c r="F47" s="95">
        <f>'DOE25'!I48</f>
        <v>0</v>
      </c>
      <c r="G47" s="95">
        <f>'DOE25'!J48</f>
        <v>371773.13</v>
      </c>
      <c r="H47" s="124">
        <f t="shared" si="2"/>
        <v>721761.2</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1509436.43</v>
      </c>
      <c r="D49" s="24" t="s">
        <v>288</v>
      </c>
      <c r="E49" s="24" t="s">
        <v>288</v>
      </c>
      <c r="F49" s="24" t="s">
        <v>288</v>
      </c>
      <c r="G49" s="24" t="s">
        <v>288</v>
      </c>
      <c r="H49" s="124">
        <f t="shared" si="2"/>
        <v>1509436.43</v>
      </c>
      <c r="I49" s="124"/>
    </row>
    <row r="50" spans="1:9" ht="12.75" thickTop="1" thickBot="1" x14ac:dyDescent="0.25">
      <c r="A50" s="38" t="s">
        <v>884</v>
      </c>
      <c r="B50" s="48"/>
      <c r="C50" s="41">
        <f>SUM(C34:C49)</f>
        <v>2651668.84</v>
      </c>
      <c r="D50" s="41">
        <f>SUM(D34:D49)</f>
        <v>534998.84</v>
      </c>
      <c r="E50" s="41">
        <f>SUM(E34:E49)</f>
        <v>349988.07</v>
      </c>
      <c r="F50" s="41">
        <f>SUM(F34:F49)</f>
        <v>-481.6</v>
      </c>
      <c r="G50" s="41">
        <f>SUM(G34:G49)</f>
        <v>371773.13</v>
      </c>
      <c r="H50" s="41">
        <f t="shared" si="2"/>
        <v>3907947.2799999993</v>
      </c>
      <c r="I50" s="124"/>
    </row>
    <row r="51" spans="1:9" ht="12" thickTop="1" x14ac:dyDescent="0.2">
      <c r="A51" s="38" t="s">
        <v>885</v>
      </c>
      <c r="B51" s="2"/>
      <c r="C51" s="41">
        <f>C50+C31</f>
        <v>3485586.9899999998</v>
      </c>
      <c r="D51" s="41">
        <f>D50+D31</f>
        <v>250475.46999999991</v>
      </c>
      <c r="E51" s="41">
        <f>E50+E31</f>
        <v>181209.10000000003</v>
      </c>
      <c r="F51" s="41">
        <f>F50+F31</f>
        <v>-481.6</v>
      </c>
      <c r="G51" s="41">
        <f>G50+G31</f>
        <v>371773.13</v>
      </c>
      <c r="H51" s="41">
        <f t="shared" si="2"/>
        <v>4288563.09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16789880.869999997</v>
      </c>
      <c r="D56" s="95">
        <f>'DOE25'!G60</f>
        <v>0</v>
      </c>
      <c r="E56" s="95">
        <f>'DOE25'!H60</f>
        <v>0</v>
      </c>
      <c r="F56" s="95">
        <f>'DOE25'!I60</f>
        <v>0</v>
      </c>
      <c r="G56" s="95">
        <f>'DOE25'!J60</f>
        <v>0</v>
      </c>
      <c r="H56" s="124">
        <f t="shared" ref="H56:H63" si="3">SUM(C56:G56)</f>
        <v>16789880.869999997</v>
      </c>
      <c r="I56"/>
    </row>
    <row r="57" spans="1:9" x14ac:dyDescent="0.2">
      <c r="A57" s="1" t="s">
        <v>164</v>
      </c>
      <c r="B57" s="6" t="s">
        <v>165</v>
      </c>
      <c r="C57" s="95">
        <f>'DOE25'!F79</f>
        <v>34935.81</v>
      </c>
      <c r="D57" s="24" t="s">
        <v>288</v>
      </c>
      <c r="E57" s="95">
        <f>'DOE25'!H79</f>
        <v>0</v>
      </c>
      <c r="F57" s="24" t="s">
        <v>288</v>
      </c>
      <c r="G57" s="24" t="s">
        <v>288</v>
      </c>
      <c r="H57" s="124">
        <f t="shared" si="3"/>
        <v>34935.81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2634.54</v>
      </c>
      <c r="D59" s="95">
        <f>'DOE25'!G96</f>
        <v>0.68</v>
      </c>
      <c r="E59" s="95">
        <f>'DOE25'!H96</f>
        <v>0</v>
      </c>
      <c r="F59" s="95">
        <f>'DOE25'!I96</f>
        <v>0</v>
      </c>
      <c r="G59" s="95">
        <f>'DOE25'!J96</f>
        <v>932.35</v>
      </c>
      <c r="H59" s="124">
        <f t="shared" si="3"/>
        <v>3567.5699999999997</v>
      </c>
      <c r="I59"/>
    </row>
    <row r="60" spans="1:9" x14ac:dyDescent="0.2">
      <c r="A60" s="1" t="s">
        <v>170</v>
      </c>
      <c r="B60" s="118" t="s">
        <v>171</v>
      </c>
      <c r="C60" s="24" t="s">
        <v>288</v>
      </c>
      <c r="D60" s="95">
        <f>'DOE25'!G97</f>
        <v>189796.57</v>
      </c>
      <c r="E60" s="24" t="s">
        <v>288</v>
      </c>
      <c r="F60" s="24" t="s">
        <v>288</v>
      </c>
      <c r="G60" s="24" t="s">
        <v>288</v>
      </c>
      <c r="H60" s="124">
        <f t="shared" si="3"/>
        <v>189796.57</v>
      </c>
      <c r="I60"/>
    </row>
    <row r="61" spans="1:9" ht="12" thickBot="1" x14ac:dyDescent="0.25">
      <c r="A61" s="1" t="s">
        <v>172</v>
      </c>
      <c r="B61" s="118" t="s">
        <v>173</v>
      </c>
      <c r="C61" s="95">
        <f>SUM('DOE25'!F98:F110)</f>
        <v>209259.69000000003</v>
      </c>
      <c r="D61" s="95">
        <f>SUM('DOE25'!G98:G110)</f>
        <v>0</v>
      </c>
      <c r="E61" s="95">
        <f>SUM('DOE25'!H98:H110)</f>
        <v>214687.53999999998</v>
      </c>
      <c r="F61" s="95">
        <f>SUM('DOE25'!I98:I110)</f>
        <v>0</v>
      </c>
      <c r="G61" s="95">
        <f>SUM('DOE25'!J98:J110)</f>
        <v>0</v>
      </c>
      <c r="H61" s="124">
        <f t="shared" si="3"/>
        <v>423947.23</v>
      </c>
      <c r="I61"/>
    </row>
    <row r="62" spans="1:9" ht="12.75" thickTop="1" thickBot="1" x14ac:dyDescent="0.25">
      <c r="A62" s="29" t="s">
        <v>174</v>
      </c>
      <c r="B62" s="6"/>
      <c r="C62" s="130">
        <f>SUM(C57:C61)</f>
        <v>246830.04000000004</v>
      </c>
      <c r="D62" s="130">
        <f>SUM(D57:D61)</f>
        <v>189797.25</v>
      </c>
      <c r="E62" s="130">
        <f>SUM(E57:E61)</f>
        <v>214687.53999999998</v>
      </c>
      <c r="F62" s="130">
        <f>SUM(F57:F61)</f>
        <v>0</v>
      </c>
      <c r="G62" s="130">
        <f>SUM(G57:G61)</f>
        <v>932.35</v>
      </c>
      <c r="H62" s="124">
        <f t="shared" si="3"/>
        <v>652247.18000000005</v>
      </c>
      <c r="I62"/>
    </row>
    <row r="63" spans="1:9" ht="12" thickTop="1" x14ac:dyDescent="0.2">
      <c r="A63" s="29" t="s">
        <v>175</v>
      </c>
      <c r="B63" s="6"/>
      <c r="C63" s="22">
        <f>C56+C62</f>
        <v>17036710.909999996</v>
      </c>
      <c r="D63" s="22">
        <f>D56+D62</f>
        <v>189797.25</v>
      </c>
      <c r="E63" s="22">
        <f>E56+E62</f>
        <v>214687.53999999998</v>
      </c>
      <c r="F63" s="22">
        <f>F56+F62</f>
        <v>0</v>
      </c>
      <c r="G63" s="22">
        <f>G56+G62</f>
        <v>932.35</v>
      </c>
      <c r="H63" s="124">
        <f t="shared" si="3"/>
        <v>17442128.049999997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3287543.13</v>
      </c>
      <c r="D66" s="24" t="s">
        <v>288</v>
      </c>
      <c r="E66" s="24" t="s">
        <v>288</v>
      </c>
      <c r="F66" s="24" t="s">
        <v>288</v>
      </c>
      <c r="G66" s="24" t="s">
        <v>288</v>
      </c>
      <c r="H66" s="124">
        <f t="shared" ref="H66:H81" si="4">SUM(C66:G66)</f>
        <v>3287543.13</v>
      </c>
      <c r="I66"/>
    </row>
    <row r="67" spans="1:9" x14ac:dyDescent="0.2">
      <c r="A67" s="1" t="s">
        <v>770</v>
      </c>
      <c r="B67" s="6">
        <v>3112</v>
      </c>
      <c r="C67" s="95">
        <f>'DOE25'!F118</f>
        <v>2065992.13</v>
      </c>
      <c r="D67" s="24"/>
      <c r="E67" s="24"/>
      <c r="F67" s="24"/>
      <c r="G67" s="24"/>
      <c r="H67" s="124">
        <f t="shared" si="4"/>
        <v>2065992.13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5353535.26</v>
      </c>
      <c r="D70" s="139">
        <f>D69</f>
        <v>0</v>
      </c>
      <c r="E70" s="139">
        <f>E69</f>
        <v>0</v>
      </c>
      <c r="F70" s="139">
        <f>F69</f>
        <v>0</v>
      </c>
      <c r="G70" s="139">
        <f>G69</f>
        <v>0</v>
      </c>
      <c r="H70" s="124">
        <f t="shared" si="4"/>
        <v>5353535.26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209361.95</v>
      </c>
      <c r="D72" s="24" t="s">
        <v>288</v>
      </c>
      <c r="E72" s="24" t="s">
        <v>288</v>
      </c>
      <c r="F72" s="95">
        <f>'DOE25'!I123</f>
        <v>0</v>
      </c>
      <c r="G72" s="24" t="s">
        <v>288</v>
      </c>
      <c r="H72" s="124">
        <f t="shared" si="4"/>
        <v>209361.95</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512190.31</v>
      </c>
      <c r="D75" s="24" t="s">
        <v>288</v>
      </c>
      <c r="E75" s="24" t="s">
        <v>288</v>
      </c>
      <c r="F75" s="24" t="s">
        <v>288</v>
      </c>
      <c r="G75" s="24" t="s">
        <v>288</v>
      </c>
      <c r="H75" s="124">
        <f t="shared" si="4"/>
        <v>512190.31</v>
      </c>
      <c r="I75"/>
    </row>
    <row r="76" spans="1:9" x14ac:dyDescent="0.2">
      <c r="A76" s="1" t="s">
        <v>257</v>
      </c>
      <c r="B76" s="6" t="s">
        <v>179</v>
      </c>
      <c r="C76" s="95">
        <f>SUM('DOE25'!F127:F130)</f>
        <v>5981.7</v>
      </c>
      <c r="D76" s="24" t="s">
        <v>288</v>
      </c>
      <c r="E76" s="95">
        <f>SUM('DOE25'!H127:H130)</f>
        <v>0</v>
      </c>
      <c r="F76" s="95">
        <f>SUM('DOE25'!I127:I130)</f>
        <v>0</v>
      </c>
      <c r="G76" s="24" t="s">
        <v>288</v>
      </c>
      <c r="H76" s="124">
        <f t="shared" si="4"/>
        <v>5981.7</v>
      </c>
      <c r="I76"/>
    </row>
    <row r="77" spans="1:9" ht="12" thickBot="1" x14ac:dyDescent="0.25">
      <c r="A77" s="1" t="s">
        <v>258</v>
      </c>
      <c r="B77" s="6" t="s">
        <v>180</v>
      </c>
      <c r="C77" s="95">
        <f>SUM('DOE25'!F131:F135)</f>
        <v>0</v>
      </c>
      <c r="D77" s="95">
        <f>SUM('DOE25'!G131:G135)</f>
        <v>12683.49</v>
      </c>
      <c r="E77" s="95">
        <f>SUM('DOE25'!H131:H135)</f>
        <v>8752.81</v>
      </c>
      <c r="F77" s="95">
        <f>SUM('DOE25'!I131:I135)</f>
        <v>0</v>
      </c>
      <c r="G77" s="95">
        <f>SUM('DOE25'!J131:J135)</f>
        <v>0</v>
      </c>
      <c r="H77" s="124">
        <f t="shared" si="4"/>
        <v>21436.3</v>
      </c>
      <c r="I77"/>
    </row>
    <row r="78" spans="1:9" ht="12.75" thickTop="1" thickBot="1" x14ac:dyDescent="0.25">
      <c r="A78" s="29" t="s">
        <v>259</v>
      </c>
      <c r="B78" s="6"/>
      <c r="C78" s="130">
        <f>SUM(C72:C77)</f>
        <v>727533.96</v>
      </c>
      <c r="D78" s="130">
        <f>SUM(D72:D77)</f>
        <v>12683.49</v>
      </c>
      <c r="E78" s="130">
        <f>SUM(E72:E77)</f>
        <v>8752.81</v>
      </c>
      <c r="F78" s="130">
        <f>SUM(F72:F77)</f>
        <v>0</v>
      </c>
      <c r="G78" s="130">
        <f>SUM(G72:G77)</f>
        <v>0</v>
      </c>
      <c r="H78" s="124">
        <f t="shared" si="4"/>
        <v>748970.26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6081069.2199999997</v>
      </c>
      <c r="D81" s="130">
        <f>SUM(D79:D80)+D78+D70</f>
        <v>12683.49</v>
      </c>
      <c r="E81" s="130">
        <f>SUM(E79:E80)+E78+E70</f>
        <v>8752.81</v>
      </c>
      <c r="F81" s="130">
        <f>SUM(F79:F80)+F78+F70</f>
        <v>0</v>
      </c>
      <c r="G81" s="130">
        <f>SUM(G79:G80)+G78+G70</f>
        <v>0</v>
      </c>
      <c r="H81" s="130">
        <f t="shared" si="4"/>
        <v>6102505.5199999996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25268.22</v>
      </c>
      <c r="E85" s="95">
        <f>'DOE25'!H147</f>
        <v>0</v>
      </c>
      <c r="F85" s="95">
        <f>'DOE25'!I147</f>
        <v>0</v>
      </c>
      <c r="G85" s="24" t="s">
        <v>288</v>
      </c>
      <c r="H85" s="124">
        <f t="shared" ref="H85:H104" si="5">SUM(C85:G85)</f>
        <v>25268.22</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78026.759999999995</v>
      </c>
      <c r="D88" s="326">
        <f>SUM('DOE25'!G153:G162)</f>
        <v>583711.97</v>
      </c>
      <c r="E88" s="326">
        <f>SUM('DOE25'!H153:H162)</f>
        <v>432357</v>
      </c>
      <c r="F88" s="326">
        <f>SUM('DOE25'!I153:I162)</f>
        <v>0</v>
      </c>
      <c r="G88" s="24" t="s">
        <v>288</v>
      </c>
      <c r="H88" s="124">
        <f t="shared" si="5"/>
        <v>1094095.73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78026.759999999995</v>
      </c>
      <c r="D91" s="131">
        <f>SUM(D85:D90)</f>
        <v>608980.18999999994</v>
      </c>
      <c r="E91" s="131">
        <f>SUM(E85:E90)</f>
        <v>432357</v>
      </c>
      <c r="F91" s="131">
        <f>SUM(F85:F90)</f>
        <v>0</v>
      </c>
      <c r="G91" s="24" t="s">
        <v>288</v>
      </c>
      <c r="H91" s="124">
        <f t="shared" si="5"/>
        <v>1119363.95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34766.26</v>
      </c>
      <c r="F96" s="95">
        <f>'DOE25'!I180</f>
        <v>0</v>
      </c>
      <c r="G96" s="95">
        <f>'DOE25'!J180</f>
        <v>115000</v>
      </c>
      <c r="H96" s="124">
        <f t="shared" si="5"/>
        <v>149766.26</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41179.46</v>
      </c>
      <c r="D100" s="95">
        <f>SUM('DOE25'!G187:G188)</f>
        <v>0</v>
      </c>
      <c r="E100" s="95">
        <f>SUM('DOE25'!H187:H188)</f>
        <v>0</v>
      </c>
      <c r="F100" s="95">
        <f>SUM('DOE25'!I187:I188)</f>
        <v>0</v>
      </c>
      <c r="G100" s="24" t="s">
        <v>288</v>
      </c>
      <c r="H100" s="124">
        <f t="shared" si="5"/>
        <v>41179.46</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41179.46</v>
      </c>
      <c r="D103" s="86">
        <f>SUM(D93:D102)</f>
        <v>0</v>
      </c>
      <c r="E103" s="86">
        <f>SUM(E93:E102)</f>
        <v>34766.26</v>
      </c>
      <c r="F103" s="86">
        <f>SUM(F93:F102)</f>
        <v>0</v>
      </c>
      <c r="G103" s="86">
        <f>SUM(G93:G102)</f>
        <v>115000</v>
      </c>
      <c r="H103" s="86">
        <f t="shared" si="5"/>
        <v>190945.72</v>
      </c>
    </row>
    <row r="104" spans="1:8" ht="12.75" thickTop="1" thickBot="1" x14ac:dyDescent="0.25">
      <c r="A104" s="33" t="s">
        <v>761</v>
      </c>
      <c r="C104" s="86">
        <f>C63+C81+C91+C103</f>
        <v>23236986.349999998</v>
      </c>
      <c r="D104" s="86">
        <f>D63+D81+D91+D103</f>
        <v>811460.92999999993</v>
      </c>
      <c r="E104" s="86">
        <f>E63+E81+E91+E103</f>
        <v>690563.61</v>
      </c>
      <c r="F104" s="86">
        <f>F63+F81+F91+F103</f>
        <v>0</v>
      </c>
      <c r="G104" s="86">
        <f>G63+G81+G103</f>
        <v>115932.35</v>
      </c>
      <c r="H104" s="86">
        <f t="shared" si="5"/>
        <v>24854943.239999998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9061863.3200000003</v>
      </c>
      <c r="D109" s="24" t="s">
        <v>288</v>
      </c>
      <c r="E109" s="95">
        <f>('DOE25'!L277)+('DOE25'!L296)+('DOE25'!L315)</f>
        <v>55628.659999999996</v>
      </c>
      <c r="F109" s="24" t="s">
        <v>288</v>
      </c>
      <c r="G109" s="24" t="s">
        <v>288</v>
      </c>
      <c r="H109" s="124">
        <f t="shared" ref="H109:H115" si="6">SUM(C109:G109)</f>
        <v>9117491.9800000004</v>
      </c>
    </row>
    <row r="110" spans="1:8" x14ac:dyDescent="0.2">
      <c r="A110" t="s">
        <v>198</v>
      </c>
      <c r="B110" s="32" t="s">
        <v>199</v>
      </c>
      <c r="C110" s="95">
        <f>('DOE25'!L199)+('DOE25'!L217)+('DOE25'!L235)</f>
        <v>3879155.43</v>
      </c>
      <c r="D110" s="24" t="s">
        <v>288</v>
      </c>
      <c r="E110" s="95">
        <f>('DOE25'!L278)+('DOE25'!L297)+('DOE25'!L316)</f>
        <v>264998.42</v>
      </c>
      <c r="F110" s="24" t="s">
        <v>288</v>
      </c>
      <c r="G110" s="24" t="s">
        <v>288</v>
      </c>
      <c r="H110" s="124">
        <f t="shared" si="6"/>
        <v>4144153.85</v>
      </c>
    </row>
    <row r="111" spans="1:8" x14ac:dyDescent="0.2">
      <c r="A111" t="s">
        <v>200</v>
      </c>
      <c r="B111" s="32" t="s">
        <v>165</v>
      </c>
      <c r="C111" s="95">
        <f>('DOE25'!L200)+('DOE25'!L218)+('DOE25'!L236)</f>
        <v>61343.63</v>
      </c>
      <c r="D111" s="24" t="s">
        <v>288</v>
      </c>
      <c r="E111" s="95">
        <f>('DOE25'!L279)+('DOE25'!L298)+('DOE25'!L317)</f>
        <v>0</v>
      </c>
      <c r="F111" s="24" t="s">
        <v>288</v>
      </c>
      <c r="G111" s="24" t="s">
        <v>288</v>
      </c>
      <c r="H111" s="124">
        <f t="shared" si="6"/>
        <v>61343.63</v>
      </c>
    </row>
    <row r="112" spans="1:8" x14ac:dyDescent="0.2">
      <c r="A112" t="s">
        <v>201</v>
      </c>
      <c r="B112" s="32" t="s">
        <v>167</v>
      </c>
      <c r="C112" s="95">
        <f>('DOE25'!L201)+('DOE25'!L219)+('DOE25'!L237)</f>
        <v>988071.41</v>
      </c>
      <c r="D112" s="24" t="s">
        <v>288</v>
      </c>
      <c r="E112" s="95">
        <f>+('DOE25'!L280)+('DOE25'!L299)+('DOE25'!L318)</f>
        <v>186161.87000000002</v>
      </c>
      <c r="F112" s="24" t="s">
        <v>288</v>
      </c>
      <c r="G112" s="24" t="s">
        <v>288</v>
      </c>
      <c r="H112" s="124">
        <f t="shared" si="6"/>
        <v>1174233.28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13990433.790000001</v>
      </c>
      <c r="D115" s="86">
        <f>SUM(D109:D114)</f>
        <v>0</v>
      </c>
      <c r="E115" s="86">
        <f>SUM(E109:E114)</f>
        <v>506788.94999999995</v>
      </c>
      <c r="F115" s="86">
        <f>SUM(F109:F114)</f>
        <v>0</v>
      </c>
      <c r="G115" s="86">
        <f>SUM(G109:G114)</f>
        <v>0</v>
      </c>
      <c r="H115" s="86">
        <f t="shared" si="6"/>
        <v>14497222.74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2156709.1300000004</v>
      </c>
      <c r="D118" s="24" t="s">
        <v>288</v>
      </c>
      <c r="E118" s="95">
        <f>+('DOE25'!L282)+('DOE25'!L301)+('DOE25'!L320)</f>
        <v>618.1</v>
      </c>
      <c r="F118" s="24" t="s">
        <v>288</v>
      </c>
      <c r="G118" s="24" t="s">
        <v>288</v>
      </c>
      <c r="H118" s="124">
        <f t="shared" ref="H118:H145" si="7">SUM(C118:G118)</f>
        <v>2157327.2300000004</v>
      </c>
    </row>
    <row r="119" spans="1:8" x14ac:dyDescent="0.2">
      <c r="A119" t="s">
        <v>208</v>
      </c>
      <c r="B119" s="32" t="s">
        <v>209</v>
      </c>
      <c r="C119" s="95">
        <f>('DOE25'!L204)+('DOE25'!L222)+('DOE25'!L240)</f>
        <v>816981.99</v>
      </c>
      <c r="D119" s="24" t="s">
        <v>288</v>
      </c>
      <c r="E119" s="95">
        <f>+('DOE25'!L283)+('DOE25'!L302)+('DOE25'!L321)</f>
        <v>54311.18</v>
      </c>
      <c r="F119" s="24" t="s">
        <v>288</v>
      </c>
      <c r="G119" s="24" t="s">
        <v>288</v>
      </c>
      <c r="H119" s="124">
        <f t="shared" si="7"/>
        <v>871293.17</v>
      </c>
    </row>
    <row r="120" spans="1:8" x14ac:dyDescent="0.2">
      <c r="A120" t="s">
        <v>210</v>
      </c>
      <c r="B120" s="32" t="s">
        <v>211</v>
      </c>
      <c r="C120" s="95">
        <f>('DOE25'!L205)+('DOE25'!L223)+('DOE25'!L241)</f>
        <v>1091243.7599999998</v>
      </c>
      <c r="D120" s="24" t="s">
        <v>288</v>
      </c>
      <c r="E120" s="95">
        <f>+('DOE25'!L284)+('DOE25'!L303)+('DOE25'!L322)</f>
        <v>0</v>
      </c>
      <c r="F120" s="24" t="s">
        <v>288</v>
      </c>
      <c r="G120" s="24" t="s">
        <v>288</v>
      </c>
      <c r="H120" s="124">
        <f t="shared" si="7"/>
        <v>1091243.7599999998</v>
      </c>
    </row>
    <row r="121" spans="1:8" x14ac:dyDescent="0.2">
      <c r="A121" t="s">
        <v>212</v>
      </c>
      <c r="B121" s="32" t="s">
        <v>213</v>
      </c>
      <c r="C121" s="95">
        <f>('DOE25'!L206)+('DOE25'!L224)+('DOE25'!L242)</f>
        <v>1376258.58</v>
      </c>
      <c r="D121" s="24" t="s">
        <v>288</v>
      </c>
      <c r="E121" s="95">
        <f>+('DOE25'!L285)+('DOE25'!L304)+('DOE25'!L323)</f>
        <v>0</v>
      </c>
      <c r="F121" s="24" t="s">
        <v>288</v>
      </c>
      <c r="G121" s="24" t="s">
        <v>288</v>
      </c>
      <c r="H121" s="124">
        <f t="shared" si="7"/>
        <v>1376258.58</v>
      </c>
    </row>
    <row r="122" spans="1:8" x14ac:dyDescent="0.2">
      <c r="A122" t="s">
        <v>214</v>
      </c>
      <c r="B122" s="32" t="s">
        <v>215</v>
      </c>
      <c r="C122" s="95">
        <f>('DOE25'!L207)+('DOE25'!L225)+('DOE25'!L243)</f>
        <v>2189.29</v>
      </c>
      <c r="D122" s="24" t="s">
        <v>288</v>
      </c>
      <c r="E122" s="95">
        <f>+('DOE25'!L286)+('DOE25'!L305)+('DOE25'!L324)</f>
        <v>0</v>
      </c>
      <c r="F122" s="24" t="s">
        <v>288</v>
      </c>
      <c r="G122" s="24" t="s">
        <v>288</v>
      </c>
      <c r="H122" s="124">
        <f t="shared" si="7"/>
        <v>2189.29</v>
      </c>
    </row>
    <row r="123" spans="1:8" x14ac:dyDescent="0.2">
      <c r="A123" t="s">
        <v>216</v>
      </c>
      <c r="B123" s="32" t="s">
        <v>217</v>
      </c>
      <c r="C123" s="95">
        <f>('DOE25'!L208)+('DOE25'!L226)+('DOE25'!L244)</f>
        <v>1734971.43</v>
      </c>
      <c r="D123" s="24" t="s">
        <v>288</v>
      </c>
      <c r="E123" s="95">
        <f>+('DOE25'!L287)+('DOE25'!L306)+('DOE25'!L325)</f>
        <v>0</v>
      </c>
      <c r="F123" s="24" t="s">
        <v>288</v>
      </c>
      <c r="G123" s="24" t="s">
        <v>288</v>
      </c>
      <c r="H123" s="124">
        <f t="shared" si="7"/>
        <v>1734971.43</v>
      </c>
    </row>
    <row r="124" spans="1:8" x14ac:dyDescent="0.2">
      <c r="A124" t="s">
        <v>218</v>
      </c>
      <c r="B124" s="32" t="s">
        <v>219</v>
      </c>
      <c r="C124" s="95">
        <f>('DOE25'!L209)+('DOE25'!L227)+('DOE25'!L245+'DOE25'!L255)</f>
        <v>1054402.8699999999</v>
      </c>
      <c r="D124" s="24" t="s">
        <v>288</v>
      </c>
      <c r="E124" s="95">
        <f>+('DOE25'!L288)+('DOE25'!L307)+('DOE25'!L326)</f>
        <v>54802.44</v>
      </c>
      <c r="F124" s="24" t="s">
        <v>288</v>
      </c>
      <c r="G124" s="24" t="s">
        <v>288</v>
      </c>
      <c r="H124" s="124">
        <f t="shared" si="7"/>
        <v>1109205.3099999998</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465723.73</v>
      </c>
      <c r="E127" s="24" t="s">
        <v>288</v>
      </c>
      <c r="F127" s="24" t="s">
        <v>288</v>
      </c>
      <c r="G127" s="24" t="s">
        <v>288</v>
      </c>
      <c r="H127" s="124">
        <f t="shared" si="7"/>
        <v>465723.73</v>
      </c>
    </row>
    <row r="128" spans="1:8" ht="12.75" thickTop="1" thickBot="1" x14ac:dyDescent="0.25">
      <c r="A128" s="33" t="s">
        <v>226</v>
      </c>
      <c r="C128" s="86">
        <f>SUM(C118:C127)</f>
        <v>8232757.0499999998</v>
      </c>
      <c r="D128" s="86">
        <f>SUM(D118:D127)</f>
        <v>465723.73</v>
      </c>
      <c r="E128" s="86">
        <f>SUM(E118:E127)</f>
        <v>109731.72</v>
      </c>
      <c r="F128" s="86">
        <f>SUM(F118:F127)</f>
        <v>0</v>
      </c>
      <c r="G128" s="86">
        <f>SUM(G118:G127)</f>
        <v>0</v>
      </c>
      <c r="H128" s="86">
        <f t="shared" si="7"/>
        <v>8808212.5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347382.24</v>
      </c>
      <c r="D130" s="24" t="s">
        <v>288</v>
      </c>
      <c r="E130" s="129">
        <f>'DOE25'!L337</f>
        <v>0</v>
      </c>
      <c r="F130" s="129">
        <f>SUM('DOE25'!L375:'DOE25'!L381)</f>
        <v>32630</v>
      </c>
      <c r="G130" s="24" t="s">
        <v>288</v>
      </c>
      <c r="H130" s="124">
        <f t="shared" si="7"/>
        <v>380012.24</v>
      </c>
    </row>
    <row r="131" spans="1:8" x14ac:dyDescent="0.2">
      <c r="A131" t="s">
        <v>229</v>
      </c>
      <c r="B131" s="32">
        <v>5110</v>
      </c>
      <c r="C131" s="95">
        <f>'DOE25'!L261</f>
        <v>682769.22</v>
      </c>
      <c r="D131" s="24" t="s">
        <v>288</v>
      </c>
      <c r="E131" s="129">
        <f>'DOE25'!L342</f>
        <v>0</v>
      </c>
      <c r="F131" s="24" t="s">
        <v>288</v>
      </c>
      <c r="G131" s="24" t="s">
        <v>288</v>
      </c>
      <c r="H131" s="124">
        <f t="shared" si="7"/>
        <v>682769.22</v>
      </c>
    </row>
    <row r="132" spans="1:8" x14ac:dyDescent="0.2">
      <c r="A132" t="s">
        <v>230</v>
      </c>
      <c r="B132" s="32">
        <v>5120</v>
      </c>
      <c r="C132" s="95">
        <f>'DOE25'!L262</f>
        <v>114530.37</v>
      </c>
      <c r="D132" s="24" t="s">
        <v>288</v>
      </c>
      <c r="E132" s="129">
        <f>'DOE25'!L343</f>
        <v>0</v>
      </c>
      <c r="F132" s="24" t="s">
        <v>288</v>
      </c>
      <c r="G132" s="24" t="s">
        <v>288</v>
      </c>
      <c r="H132" s="124">
        <f t="shared" si="7"/>
        <v>114530.37</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3000</v>
      </c>
      <c r="F134" s="95">
        <f>'DOE25'!K382</f>
        <v>0</v>
      </c>
      <c r="G134" s="95">
        <f>'DOE25'!K435</f>
        <v>34766.06</v>
      </c>
      <c r="H134" s="124">
        <f t="shared" si="7"/>
        <v>37766.06</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34766.26</v>
      </c>
      <c r="D136" s="24" t="s">
        <v>288</v>
      </c>
      <c r="E136" s="24" t="s">
        <v>288</v>
      </c>
      <c r="F136" s="24" t="s">
        <v>288</v>
      </c>
      <c r="G136" s="24" t="s">
        <v>288</v>
      </c>
      <c r="H136" s="124">
        <f t="shared" si="7"/>
        <v>34766.26</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932.35</v>
      </c>
      <c r="D138" s="24" t="s">
        <v>288</v>
      </c>
      <c r="E138" s="24" t="s">
        <v>288</v>
      </c>
      <c r="F138" s="24" t="s">
        <v>288</v>
      </c>
      <c r="G138" s="24" t="s">
        <v>288</v>
      </c>
      <c r="H138" s="124">
        <f t="shared" si="7"/>
        <v>932.35</v>
      </c>
    </row>
    <row r="139" spans="1:8" x14ac:dyDescent="0.2">
      <c r="A139" t="s">
        <v>239</v>
      </c>
      <c r="B139" s="32">
        <v>5252</v>
      </c>
      <c r="C139" s="95">
        <f>'DOE25'!L402</f>
        <v>115000</v>
      </c>
      <c r="D139" s="24" t="s">
        <v>288</v>
      </c>
      <c r="E139" s="24" t="s">
        <v>288</v>
      </c>
      <c r="F139" s="24" t="s">
        <v>288</v>
      </c>
      <c r="G139" s="24" t="s">
        <v>288</v>
      </c>
      <c r="H139" s="124">
        <f t="shared" si="7"/>
        <v>115000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-932.35000000000582</v>
      </c>
      <c r="D141" s="24" t="s">
        <v>288</v>
      </c>
      <c r="E141" s="24" t="s">
        <v>288</v>
      </c>
      <c r="F141" s="24" t="s">
        <v>288</v>
      </c>
      <c r="G141" s="24" t="s">
        <v>288</v>
      </c>
      <c r="H141" s="124">
        <f t="shared" si="7"/>
        <v>-932.35000000000582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1294448.0900000001</v>
      </c>
      <c r="D144" s="141">
        <f>SUM(D130:D143)</f>
        <v>0</v>
      </c>
      <c r="E144" s="141">
        <f>SUM(E130:E143)</f>
        <v>3000</v>
      </c>
      <c r="F144" s="141">
        <f>SUM(F130:F143)</f>
        <v>32630</v>
      </c>
      <c r="G144" s="141">
        <f>SUM(G130:G143)</f>
        <v>34766.06</v>
      </c>
      <c r="H144" s="141">
        <f t="shared" si="7"/>
        <v>1364844.1500000001</v>
      </c>
    </row>
    <row r="145" spans="1:9" ht="12.75" thickTop="1" thickBot="1" x14ac:dyDescent="0.25">
      <c r="A145" s="33" t="s">
        <v>244</v>
      </c>
      <c r="C145" s="86">
        <f>(C115+C128+C144)</f>
        <v>23517638.93</v>
      </c>
      <c r="D145" s="86">
        <f>(D115+D128+D144)</f>
        <v>465723.73</v>
      </c>
      <c r="E145" s="86">
        <f>(E115+E128+E144)</f>
        <v>619520.66999999993</v>
      </c>
      <c r="F145" s="86">
        <f>(F115+F128+F144)</f>
        <v>32630</v>
      </c>
      <c r="G145" s="86">
        <f>(G115+G128+G144)</f>
        <v>34766.06</v>
      </c>
      <c r="H145" s="86">
        <f t="shared" si="7"/>
        <v>24670279.389999997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8/2004</v>
      </c>
      <c r="C152" s="152" t="str">
        <f>'DOE25'!G492</f>
        <v>7/2020</v>
      </c>
      <c r="D152" s="152">
        <f>'DOE25'!H492</f>
        <v>0</v>
      </c>
      <c r="E152" s="152">
        <f>'DOE25'!I492</f>
        <v>0</v>
      </c>
      <c r="F152" s="152">
        <f>'DOE25'!J492</f>
        <v>0</v>
      </c>
      <c r="G152" s="24" t="s">
        <v>288</v>
      </c>
    </row>
    <row r="153" spans="1:9" x14ac:dyDescent="0.2">
      <c r="A153" s="136" t="s">
        <v>29</v>
      </c>
      <c r="B153" s="152" t="str">
        <f>'DOE25'!F493</f>
        <v>8/2024</v>
      </c>
      <c r="C153" s="152" t="str">
        <f>'DOE25'!G493</f>
        <v>8/2028</v>
      </c>
      <c r="D153" s="152">
        <f>'DOE25'!H493</f>
        <v>0</v>
      </c>
      <c r="E153" s="152">
        <f>'DOE25'!I493</f>
        <v>0</v>
      </c>
      <c r="F153" s="152">
        <f>'DOE25'!J493</f>
        <v>0</v>
      </c>
      <c r="G153" s="24" t="s">
        <v>288</v>
      </c>
    </row>
    <row r="154" spans="1:9" x14ac:dyDescent="0.2">
      <c r="A154" s="136" t="s">
        <v>30</v>
      </c>
      <c r="B154" s="137">
        <f>'DOE25'!F494</f>
        <v>7703400</v>
      </c>
      <c r="C154" s="137">
        <f>'DOE25'!G494</f>
        <v>1553374.28</v>
      </c>
      <c r="D154" s="137">
        <f>'DOE25'!H494</f>
        <v>0</v>
      </c>
      <c r="E154" s="137">
        <f>'DOE25'!I494</f>
        <v>0</v>
      </c>
      <c r="F154" s="137">
        <f>'DOE25'!J494</f>
        <v>0</v>
      </c>
      <c r="G154" s="24" t="s">
        <v>288</v>
      </c>
    </row>
    <row r="155" spans="1:9" x14ac:dyDescent="0.2">
      <c r="A155" s="136" t="s">
        <v>31</v>
      </c>
      <c r="B155" s="137">
        <f>'DOE25'!F495</f>
        <v>4.54</v>
      </c>
      <c r="C155" s="137">
        <f>'DOE25'!G495</f>
        <v>2</v>
      </c>
      <c r="D155" s="137">
        <f>'DOE25'!H495</f>
        <v>0</v>
      </c>
      <c r="E155" s="137">
        <f>'DOE25'!I495</f>
        <v>0</v>
      </c>
      <c r="F155" s="137">
        <f>'DOE25'!J495</f>
        <v>0</v>
      </c>
      <c r="G155" s="24" t="s">
        <v>288</v>
      </c>
    </row>
    <row r="156" spans="1:9" x14ac:dyDescent="0.2">
      <c r="A156" s="22" t="s">
        <v>32</v>
      </c>
      <c r="B156" s="137">
        <f>'DOE25'!F496</f>
        <v>2200000</v>
      </c>
      <c r="C156" s="137">
        <f>'DOE25'!G496</f>
        <v>1369679.02</v>
      </c>
      <c r="D156" s="137">
        <f>'DOE25'!H496</f>
        <v>0</v>
      </c>
      <c r="E156" s="137">
        <f>'DOE25'!I496</f>
        <v>0</v>
      </c>
      <c r="F156" s="137">
        <f>'DOE25'!J496</f>
        <v>0</v>
      </c>
      <c r="G156" s="138">
        <f>SUM(B156:F156)</f>
        <v>3569679.02</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510000</v>
      </c>
      <c r="C158" s="137">
        <f>'DOE25'!G498</f>
        <v>159581.03</v>
      </c>
      <c r="D158" s="137">
        <f>'DOE25'!H498</f>
        <v>0</v>
      </c>
      <c r="E158" s="137">
        <f>'DOE25'!I498</f>
        <v>0</v>
      </c>
      <c r="F158" s="137">
        <f>'DOE25'!J498</f>
        <v>0</v>
      </c>
      <c r="G158" s="138">
        <f t="shared" si="8"/>
        <v>669581.03</v>
      </c>
    </row>
    <row r="159" spans="1:9" x14ac:dyDescent="0.2">
      <c r="A159" s="22" t="s">
        <v>35</v>
      </c>
      <c r="B159" s="137">
        <f>'DOE25'!F499</f>
        <v>1690000</v>
      </c>
      <c r="C159" s="137">
        <f>'DOE25'!G499</f>
        <v>1210097.99</v>
      </c>
      <c r="D159" s="137">
        <f>'DOE25'!H499</f>
        <v>0</v>
      </c>
      <c r="E159" s="137">
        <f>'DOE25'!I499</f>
        <v>0</v>
      </c>
      <c r="F159" s="137">
        <f>'DOE25'!J499</f>
        <v>0</v>
      </c>
      <c r="G159" s="138">
        <f t="shared" si="8"/>
        <v>2900097.99</v>
      </c>
    </row>
    <row r="160" spans="1:9" x14ac:dyDescent="0.2">
      <c r="A160" s="22" t="s">
        <v>36</v>
      </c>
      <c r="B160" s="137">
        <f>'DOE25'!F500</f>
        <v>99427</v>
      </c>
      <c r="C160" s="137">
        <f>'DOE25'!G500</f>
        <v>98724.26</v>
      </c>
      <c r="D160" s="137">
        <f>'DOE25'!H500</f>
        <v>0</v>
      </c>
      <c r="E160" s="137">
        <f>'DOE25'!I500</f>
        <v>0</v>
      </c>
      <c r="F160" s="137">
        <f>'DOE25'!J500</f>
        <v>0</v>
      </c>
      <c r="G160" s="138">
        <f t="shared" si="8"/>
        <v>198151.26</v>
      </c>
    </row>
    <row r="161" spans="1:7" x14ac:dyDescent="0.2">
      <c r="A161" s="22" t="s">
        <v>37</v>
      </c>
      <c r="B161" s="137">
        <f>'DOE25'!F501</f>
        <v>1789427</v>
      </c>
      <c r="C161" s="137">
        <f>'DOE25'!G501</f>
        <v>1308822.25</v>
      </c>
      <c r="D161" s="137">
        <f>'DOE25'!H501</f>
        <v>0</v>
      </c>
      <c r="E161" s="137">
        <f>'DOE25'!I501</f>
        <v>0</v>
      </c>
      <c r="F161" s="137">
        <f>'DOE25'!J501</f>
        <v>0</v>
      </c>
      <c r="G161" s="138">
        <f t="shared" si="8"/>
        <v>3098249.25</v>
      </c>
    </row>
    <row r="162" spans="1:7" x14ac:dyDescent="0.2">
      <c r="A162" s="22" t="s">
        <v>38</v>
      </c>
      <c r="B162" s="137">
        <f>'DOE25'!F502</f>
        <v>535000</v>
      </c>
      <c r="C162" s="137">
        <f>'DOE25'!G502</f>
        <v>162772.65</v>
      </c>
      <c r="D162" s="137">
        <f>'DOE25'!H502</f>
        <v>0</v>
      </c>
      <c r="E162" s="137">
        <f>'DOE25'!I502</f>
        <v>0</v>
      </c>
      <c r="F162" s="137">
        <f>'DOE25'!J502</f>
        <v>0</v>
      </c>
      <c r="G162" s="138">
        <f t="shared" si="8"/>
        <v>697772.65</v>
      </c>
    </row>
    <row r="163" spans="1:7" x14ac:dyDescent="0.2">
      <c r="A163" s="22" t="s">
        <v>39</v>
      </c>
      <c r="B163" s="137">
        <f>'DOE25'!F503</f>
        <v>59573</v>
      </c>
      <c r="C163" s="137">
        <f>'DOE25'!G503</f>
        <v>24201.96</v>
      </c>
      <c r="D163" s="137">
        <f>'DOE25'!H503</f>
        <v>0</v>
      </c>
      <c r="E163" s="137">
        <f>'DOE25'!I503</f>
        <v>0</v>
      </c>
      <c r="F163" s="137">
        <f>'DOE25'!J503</f>
        <v>0</v>
      </c>
      <c r="G163" s="138">
        <f t="shared" si="8"/>
        <v>83774.959999999992</v>
      </c>
    </row>
    <row r="164" spans="1:7" x14ac:dyDescent="0.2">
      <c r="A164" s="22" t="s">
        <v>246</v>
      </c>
      <c r="B164" s="137">
        <f>'DOE25'!F504</f>
        <v>594573</v>
      </c>
      <c r="C164" s="137">
        <f>'DOE25'!G504</f>
        <v>186974.61</v>
      </c>
      <c r="D164" s="137">
        <f>'DOE25'!H504</f>
        <v>0</v>
      </c>
      <c r="E164" s="137">
        <f>'DOE25'!I504</f>
        <v>0</v>
      </c>
      <c r="F164" s="137">
        <f>'DOE25'!J504</f>
        <v>0</v>
      </c>
      <c r="G164" s="138">
        <f t="shared" si="8"/>
        <v>781547.61</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Hollis-Brookline Cooperative</v>
      </c>
    </row>
    <row r="3" spans="1:4" x14ac:dyDescent="0.2">
      <c r="B3" s="187" t="s">
        <v>1799</v>
      </c>
    </row>
    <row r="4" spans="1:4" x14ac:dyDescent="0.2">
      <c r="B4" t="s">
        <v>61</v>
      </c>
      <c r="C4" s="178">
        <f>IF('DOE25'!F666+'DOE25'!F671=0,0,ROUND('DOE25'!F673,0))</f>
        <v>0</v>
      </c>
    </row>
    <row r="5" spans="1:4" x14ac:dyDescent="0.2">
      <c r="B5" t="s">
        <v>700</v>
      </c>
      <c r="C5" s="178">
        <f>IF('DOE25'!G666+'DOE25'!G671=0,0,ROUND('DOE25'!G673,0))</f>
        <v>19035</v>
      </c>
    </row>
    <row r="6" spans="1:4" x14ac:dyDescent="0.2">
      <c r="B6" t="s">
        <v>62</v>
      </c>
      <c r="C6" s="178">
        <f>IF('DOE25'!H666+'DOE25'!H671=0,0,ROUND('DOE25'!H673,0))</f>
        <v>17296</v>
      </c>
    </row>
    <row r="7" spans="1:4" x14ac:dyDescent="0.2">
      <c r="B7" t="s">
        <v>701</v>
      </c>
      <c r="C7" s="178">
        <f>IF('DOE25'!I666+'DOE25'!I671=0,0,ROUND('DOE25'!I673,0))</f>
        <v>17838</v>
      </c>
    </row>
    <row r="9" spans="1:4" x14ac:dyDescent="0.2">
      <c r="A9" s="186" t="s">
        <v>94</v>
      </c>
      <c r="B9" s="187" t="s">
        <v>1800</v>
      </c>
      <c r="C9" s="180" t="s">
        <v>720</v>
      </c>
      <c r="D9" s="180" t="s">
        <v>721</v>
      </c>
    </row>
    <row r="10" spans="1:4" x14ac:dyDescent="0.2">
      <c r="A10">
        <v>1100</v>
      </c>
      <c r="B10" t="s">
        <v>702</v>
      </c>
      <c r="C10" s="178">
        <f>ROUND('DOE25'!L198+'DOE25'!L216+'DOE25'!L234+'DOE25'!L277+'DOE25'!L296+'DOE25'!L315,0)</f>
        <v>9117492</v>
      </c>
      <c r="D10" s="181">
        <f>ROUND((C10/$C$28)*100,1)</f>
        <v>39.200000000000003</v>
      </c>
    </row>
    <row r="11" spans="1:4" x14ac:dyDescent="0.2">
      <c r="A11">
        <v>1200</v>
      </c>
      <c r="B11" t="s">
        <v>703</v>
      </c>
      <c r="C11" s="178">
        <f>ROUND('DOE25'!L199+'DOE25'!L217+'DOE25'!L235+'DOE25'!L278+'DOE25'!L297+'DOE25'!L316,0)</f>
        <v>4144154</v>
      </c>
      <c r="D11" s="181">
        <f>ROUND((C11/$C$28)*100,1)</f>
        <v>17.8</v>
      </c>
    </row>
    <row r="12" spans="1:4" x14ac:dyDescent="0.2">
      <c r="A12">
        <v>1300</v>
      </c>
      <c r="B12" t="s">
        <v>704</v>
      </c>
      <c r="C12" s="178">
        <f>ROUND('DOE25'!L200+'DOE25'!L218+'DOE25'!L236+'DOE25'!L279+'DOE25'!L298+'DOE25'!L317,0)</f>
        <v>61344</v>
      </c>
      <c r="D12" s="181">
        <f>ROUND((C12/$C$28)*100,1)</f>
        <v>0.3</v>
      </c>
    </row>
    <row r="13" spans="1:4" x14ac:dyDescent="0.2">
      <c r="A13">
        <v>1400</v>
      </c>
      <c r="B13" t="s">
        <v>705</v>
      </c>
      <c r="C13" s="178">
        <f>ROUND('DOE25'!L201+'DOE25'!L219+'DOE25'!L237+'DOE25'!L280+'DOE25'!L299+'DOE25'!L318,0)</f>
        <v>1174233</v>
      </c>
      <c r="D13" s="181">
        <f>ROUND((C13/$C$28)*100,1)</f>
        <v>5.0999999999999996</v>
      </c>
    </row>
    <row r="14" spans="1:4" x14ac:dyDescent="0.2">
      <c r="D14" s="181"/>
    </row>
    <row r="15" spans="1:4" x14ac:dyDescent="0.2">
      <c r="A15">
        <v>2100</v>
      </c>
      <c r="B15" t="s">
        <v>706</v>
      </c>
      <c r="C15" s="178">
        <f>ROUND('DOE25'!L203+'DOE25'!L221+'DOE25'!L239+'DOE25'!L282+'DOE25'!L301+'DOE25'!L320,0)</f>
        <v>2157327</v>
      </c>
      <c r="D15" s="181">
        <f t="shared" ref="D15:D27" si="0">ROUND((C15/$C$28)*100,1)</f>
        <v>9.3000000000000007</v>
      </c>
    </row>
    <row r="16" spans="1:4" x14ac:dyDescent="0.2">
      <c r="A16">
        <v>2200</v>
      </c>
      <c r="B16" t="s">
        <v>707</v>
      </c>
      <c r="C16" s="178">
        <f>ROUND('DOE25'!L204+'DOE25'!L222+'DOE25'!L240+'DOE25'!L283+'DOE25'!L302+'DOE25'!L321,0)</f>
        <v>871293</v>
      </c>
      <c r="D16" s="181">
        <f t="shared" si="0"/>
        <v>3.8</v>
      </c>
    </row>
    <row r="17" spans="1:4" x14ac:dyDescent="0.2">
      <c r="A17" s="182" t="s">
        <v>723</v>
      </c>
      <c r="B17" t="s">
        <v>738</v>
      </c>
      <c r="C17" s="178">
        <f>ROUND('DOE25'!L205+'DOE25'!L210+'DOE25'!L223+'DOE25'!L228+'DOE25'!L241+'DOE25'!L246+'DOE25'!L284+'DOE25'!L289+'DOE25'!L303+'DOE25'!L308+'DOE25'!L322+'DOE25'!L327,0)</f>
        <v>1091244</v>
      </c>
      <c r="D17" s="181">
        <f t="shared" si="0"/>
        <v>4.7</v>
      </c>
    </row>
    <row r="18" spans="1:4" x14ac:dyDescent="0.2">
      <c r="A18">
        <v>2400</v>
      </c>
      <c r="B18" t="s">
        <v>711</v>
      </c>
      <c r="C18" s="178">
        <f>ROUND('DOE25'!L206+'DOE25'!L224+'DOE25'!L242+'DOE25'!L285+'DOE25'!L304+'DOE25'!L323,0)</f>
        <v>1376259</v>
      </c>
      <c r="D18" s="181">
        <f t="shared" si="0"/>
        <v>5.9</v>
      </c>
    </row>
    <row r="19" spans="1:4" x14ac:dyDescent="0.2">
      <c r="A19">
        <v>2500</v>
      </c>
      <c r="B19" t="s">
        <v>708</v>
      </c>
      <c r="C19" s="178">
        <f>ROUND('DOE25'!L207+'DOE25'!L225+'DOE25'!L243+'DOE25'!L286+'DOE25'!L305+'DOE25'!L324,0)</f>
        <v>2189</v>
      </c>
      <c r="D19" s="181">
        <f t="shared" si="0"/>
        <v>0</v>
      </c>
    </row>
    <row r="20" spans="1:4" x14ac:dyDescent="0.2">
      <c r="A20">
        <v>2600</v>
      </c>
      <c r="B20" t="s">
        <v>709</v>
      </c>
      <c r="C20" s="178">
        <f>ROUND('DOE25'!L208+'DOE25'!L226+'DOE25'!L244+'DOE25'!L287+'DOE25'!L306+'DOE25'!L325,0)</f>
        <v>1734971</v>
      </c>
      <c r="D20" s="181">
        <f t="shared" si="0"/>
        <v>7.5</v>
      </c>
    </row>
    <row r="21" spans="1:4" x14ac:dyDescent="0.2">
      <c r="A21">
        <v>2700</v>
      </c>
      <c r="B21" t="s">
        <v>710</v>
      </c>
      <c r="C21" s="178">
        <f>ROUND('DOE25'!L209+'DOE25'!L227+'DOE25'!L245+'DOE25'!L288+'DOE25'!L307+'DOE25'!L326,0)</f>
        <v>1109205</v>
      </c>
      <c r="D21" s="181">
        <f t="shared" si="0"/>
        <v>4.8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114530</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275927.43</v>
      </c>
      <c r="D27" s="181">
        <f t="shared" si="0"/>
        <v>1.2</v>
      </c>
    </row>
    <row r="28" spans="1:4" x14ac:dyDescent="0.2">
      <c r="B28" s="186" t="s">
        <v>719</v>
      </c>
      <c r="C28" s="179">
        <f>SUM(C10:C27)</f>
        <v>23230168.43</v>
      </c>
      <c r="D28" s="183">
        <f>ROUND(SUM(D10:D27),0)</f>
        <v>100</v>
      </c>
    </row>
    <row r="29" spans="1:4" x14ac:dyDescent="0.2">
      <c r="A29">
        <v>4000</v>
      </c>
      <c r="B29" t="s">
        <v>724</v>
      </c>
      <c r="C29" s="178">
        <f>ROUND('DOE25'!L256+'DOE25'!L337+'DOE25'!L375+'DOE25'!L376+'DOE25'!L377+'DOE25'!L378+'DOE25'!L379+'DOE25'!L380+'DOE25'!L381,0)</f>
        <v>380012</v>
      </c>
    </row>
    <row r="30" spans="1:4" x14ac:dyDescent="0.2">
      <c r="B30" s="186" t="s">
        <v>725</v>
      </c>
      <c r="C30" s="179">
        <f>SUM(C28:C29)</f>
        <v>23610180.43</v>
      </c>
    </row>
    <row r="31" spans="1:4" x14ac:dyDescent="0.2">
      <c r="B31" s="33"/>
      <c r="C31" s="179"/>
    </row>
    <row r="32" spans="1:4" x14ac:dyDescent="0.2">
      <c r="A32">
        <v>5100</v>
      </c>
      <c r="B32" s="33" t="s">
        <v>726</v>
      </c>
      <c r="C32" s="179">
        <f>ROUND('DOE25'!L261+'DOE25'!L342,0)</f>
        <v>682769</v>
      </c>
    </row>
    <row r="34" spans="1:4" x14ac:dyDescent="0.2">
      <c r="A34" s="186" t="s">
        <v>94</v>
      </c>
      <c r="B34" s="187" t="s">
        <v>1801</v>
      </c>
      <c r="C34" s="180" t="s">
        <v>720</v>
      </c>
      <c r="D34" s="180" t="s">
        <v>721</v>
      </c>
    </row>
    <row r="35" spans="1:4" x14ac:dyDescent="0.2">
      <c r="A35">
        <v>1100</v>
      </c>
      <c r="B35" s="184" t="s">
        <v>727</v>
      </c>
      <c r="C35" s="178">
        <f>ROUND('DOE25'!F60+'DOE25'!G60+'DOE25'!H60+'DOE25'!I60+'DOE25'!J60,0)</f>
        <v>16789881</v>
      </c>
      <c r="D35" s="181">
        <f t="shared" ref="D35:D40" si="1">ROUND((C35/$C$41)*100,1)</f>
        <v>68.599999999999994</v>
      </c>
    </row>
    <row r="36" spans="1:4" x14ac:dyDescent="0.2">
      <c r="B36" s="184" t="s">
        <v>739</v>
      </c>
      <c r="C36" s="178">
        <f>SUM('DOE25'!F112:J112)-SUM('DOE25'!G97:G110)+('DOE25'!F175+'DOE25'!F176+'DOE25'!I175+'DOE25'!I176)-C35</f>
        <v>462450.47999999672</v>
      </c>
      <c r="D36" s="181">
        <f t="shared" si="1"/>
        <v>1.9</v>
      </c>
    </row>
    <row r="37" spans="1:4" x14ac:dyDescent="0.2">
      <c r="A37" s="182" t="s">
        <v>835</v>
      </c>
      <c r="B37" s="184" t="s">
        <v>728</v>
      </c>
      <c r="C37" s="178">
        <f>ROUND('DOE25'!F117+'DOE25'!F118,0)</f>
        <v>5353535</v>
      </c>
      <c r="D37" s="181">
        <f t="shared" si="1"/>
        <v>21.9</v>
      </c>
    </row>
    <row r="38" spans="1:4" x14ac:dyDescent="0.2">
      <c r="A38" s="182" t="s">
        <v>734</v>
      </c>
      <c r="B38" s="184" t="s">
        <v>729</v>
      </c>
      <c r="C38" s="178">
        <f>ROUND(SUM('DOE25'!F140:J140)-SUM('DOE25'!F117:F119),0)</f>
        <v>748970</v>
      </c>
      <c r="D38" s="181">
        <f t="shared" si="1"/>
        <v>3.1</v>
      </c>
    </row>
    <row r="39" spans="1:4" x14ac:dyDescent="0.2">
      <c r="A39">
        <v>4000</v>
      </c>
      <c r="B39" s="184" t="s">
        <v>730</v>
      </c>
      <c r="C39" s="178">
        <f>ROUND('DOE25'!F170+'DOE25'!G170+'DOE25'!H170+'DOE25'!I170,0)</f>
        <v>1119364</v>
      </c>
      <c r="D39" s="181">
        <f t="shared" si="1"/>
        <v>4.5999999999999996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24474200.479999997</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0" sqref="C10:M10"/>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Hollis-Brookline Cooperative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30"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7"/>
      <c r="L3" s="356">
        <v>999</v>
      </c>
      <c r="M3" s="356" t="s">
        <v>1548</v>
      </c>
      <c r="N3" s="356" t="s">
        <v>1548</v>
      </c>
      <c r="O3" s="356">
        <v>99999</v>
      </c>
      <c r="P3" s="356" t="s">
        <v>1533</v>
      </c>
      <c r="Q3" s="354"/>
      <c r="R3" s="355"/>
      <c r="S3" s="357"/>
      <c r="T3" s="357"/>
      <c r="U3" s="357"/>
      <c r="V3" s="308"/>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t="str">
        <f>IFERROR(SMALL($I$4:$I$325,ROWS($I$4:I4)),"")</f>
        <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27</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32</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t="str">
        <f>IFERROR(SMALL($I$4:$I$325,ROWS($I$4:I5)),"")</f>
        <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t="str">
        <f>IFERROR(SMALL($I$4:$I$325,ROWS($I$4:I6)),"")</f>
        <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t="str">
        <f>IFERROR(SMALL($I$4:$I$325,ROWS($I$4:I7)),"")</f>
        <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f>IF('School Level Expenditures'!$B$2='School Tables'!L30,'School Tables'!S30,"")</f>
        <v>27</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f>IF('School Level Expenditures'!$B$2='School Tables'!W35,'School Tables'!AD35,"")</f>
        <v>32</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7"/>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7"/>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7"/>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7"/>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7"/>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7"/>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7"/>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7"/>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7"/>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7"/>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7"/>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7"/>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7"/>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7"/>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7"/>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7"/>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7"/>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7"/>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7"/>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7"/>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7"/>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7"/>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7"/>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7"/>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7"/>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7"/>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7"/>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7"/>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7"/>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7"/>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7"/>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7"/>
    </row>
    <row r="327" spans="1:11" x14ac:dyDescent="0.2">
      <c r="A327" s="331"/>
      <c r="B327" s="331"/>
      <c r="C327" s="331"/>
      <c r="D327" s="331"/>
      <c r="E327" s="331"/>
      <c r="F327" s="287"/>
    </row>
    <row r="328" spans="1:11" x14ac:dyDescent="0.2">
      <c r="A328" s="331"/>
      <c r="B328" s="331"/>
      <c r="C328" s="331"/>
      <c r="D328" s="331"/>
      <c r="E328" s="331"/>
      <c r="F328" s="287"/>
    </row>
    <row r="329" spans="1:11" x14ac:dyDescent="0.2">
      <c r="A329" s="331"/>
      <c r="B329" s="331"/>
      <c r="C329" s="331"/>
      <c r="D329" s="331"/>
      <c r="E329" s="331"/>
      <c r="F329" s="287"/>
    </row>
    <row r="330" spans="1:11" x14ac:dyDescent="0.2">
      <c r="A330" s="331"/>
      <c r="B330" s="331"/>
      <c r="C330" s="331"/>
      <c r="D330" s="331"/>
      <c r="E330" s="331"/>
      <c r="F330" s="287"/>
    </row>
    <row r="331" spans="1:11" x14ac:dyDescent="0.2">
      <c r="A331" s="331"/>
      <c r="B331" s="331"/>
      <c r="C331" s="331"/>
      <c r="D331" s="331"/>
      <c r="E331" s="331"/>
      <c r="F331" s="287"/>
    </row>
    <row r="332" spans="1:11" x14ac:dyDescent="0.2">
      <c r="A332" s="331"/>
      <c r="B332" s="331"/>
      <c r="C332" s="331"/>
      <c r="D332" s="331"/>
      <c r="E332" s="331"/>
      <c r="F332" s="287"/>
    </row>
    <row r="333" spans="1:11" x14ac:dyDescent="0.2">
      <c r="A333" s="331"/>
      <c r="B333" s="331"/>
      <c r="C333" s="331"/>
      <c r="D333" s="331"/>
      <c r="E333" s="331"/>
      <c r="F333" s="287"/>
    </row>
    <row r="334" spans="1:11" x14ac:dyDescent="0.2">
      <c r="A334" s="331"/>
      <c r="B334" s="331"/>
      <c r="C334" s="331"/>
      <c r="D334" s="331"/>
      <c r="E334" s="331"/>
      <c r="F334" s="287"/>
    </row>
    <row r="335" spans="1:11" x14ac:dyDescent="0.2">
      <c r="A335" s="331"/>
      <c r="B335" s="331"/>
      <c r="C335" s="331"/>
      <c r="D335" s="331"/>
      <c r="E335" s="331"/>
      <c r="F335" s="287"/>
    </row>
    <row r="336" spans="1:11" x14ac:dyDescent="0.2">
      <c r="A336" s="331"/>
      <c r="B336" s="331"/>
      <c r="C336" s="331"/>
      <c r="D336" s="331"/>
      <c r="E336" s="331"/>
      <c r="F336" s="287"/>
    </row>
    <row r="337" spans="1:6" x14ac:dyDescent="0.2">
      <c r="A337" s="331"/>
      <c r="B337" s="331"/>
      <c r="C337" s="331"/>
      <c r="D337" s="331"/>
      <c r="E337" s="331"/>
      <c r="F337" s="287"/>
    </row>
    <row r="338" spans="1:6" x14ac:dyDescent="0.2">
      <c r="A338" s="331"/>
      <c r="B338" s="331"/>
      <c r="C338" s="331"/>
      <c r="D338" s="331"/>
      <c r="E338" s="331"/>
      <c r="F338" s="287"/>
    </row>
    <row r="339" spans="1:6" x14ac:dyDescent="0.2">
      <c r="A339" s="331"/>
      <c r="B339" s="331"/>
      <c r="C339" s="331"/>
      <c r="D339" s="331"/>
      <c r="E339" s="331"/>
      <c r="F339" s="287"/>
    </row>
    <row r="340" spans="1:6" x14ac:dyDescent="0.2">
      <c r="A340" s="331"/>
      <c r="B340" s="331"/>
      <c r="C340" s="331"/>
      <c r="D340" s="331"/>
      <c r="E340" s="331"/>
      <c r="F340" s="287"/>
    </row>
    <row r="341" spans="1:6" x14ac:dyDescent="0.2">
      <c r="A341" s="331"/>
      <c r="B341" s="331"/>
      <c r="C341" s="331"/>
      <c r="D341" s="331"/>
      <c r="E341" s="331"/>
      <c r="F341" s="287"/>
    </row>
    <row r="342" spans="1:6" x14ac:dyDescent="0.2">
      <c r="A342" s="331"/>
      <c r="B342" s="331"/>
      <c r="C342" s="331"/>
      <c r="D342" s="331"/>
      <c r="E342" s="331"/>
      <c r="F342" s="287"/>
    </row>
    <row r="343" spans="1:6" x14ac:dyDescent="0.2">
      <c r="A343" s="331"/>
      <c r="B343" s="331"/>
      <c r="C343" s="331"/>
      <c r="D343" s="331"/>
      <c r="E343" s="331"/>
      <c r="F343" s="287"/>
    </row>
    <row r="344" spans="1:6" x14ac:dyDescent="0.2">
      <c r="A344" s="331"/>
      <c r="B344" s="331"/>
      <c r="C344" s="331"/>
      <c r="D344" s="331"/>
      <c r="E344" s="331"/>
      <c r="F344" s="287"/>
    </row>
    <row r="345" spans="1:6" x14ac:dyDescent="0.2">
      <c r="A345" s="331"/>
      <c r="B345" s="331"/>
      <c r="C345" s="331"/>
      <c r="D345" s="331"/>
      <c r="E345" s="331"/>
      <c r="F345" s="287"/>
    </row>
    <row r="346" spans="1:6" x14ac:dyDescent="0.2">
      <c r="A346" s="331"/>
      <c r="B346" s="331"/>
      <c r="C346" s="331"/>
      <c r="D346" s="331"/>
      <c r="E346" s="331"/>
      <c r="F346" s="287"/>
    </row>
    <row r="347" spans="1:6" x14ac:dyDescent="0.2">
      <c r="A347" s="331"/>
      <c r="B347" s="331"/>
      <c r="C347" s="331"/>
      <c r="D347" s="331"/>
      <c r="E347" s="331"/>
      <c r="F347" s="287"/>
    </row>
    <row r="348" spans="1:6" x14ac:dyDescent="0.2">
      <c r="A348" s="331"/>
      <c r="B348" s="331"/>
      <c r="C348" s="331"/>
      <c r="D348" s="331"/>
      <c r="E348" s="331"/>
      <c r="F348" s="287"/>
    </row>
    <row r="349" spans="1:6" x14ac:dyDescent="0.2">
      <c r="A349" s="331"/>
      <c r="B349" s="331"/>
      <c r="C349" s="331"/>
      <c r="D349" s="331"/>
      <c r="E349" s="331"/>
      <c r="F349" s="287"/>
    </row>
    <row r="350" spans="1:6" x14ac:dyDescent="0.2">
      <c r="A350" s="331"/>
      <c r="B350" s="331"/>
      <c r="C350" s="331"/>
      <c r="D350" s="331"/>
      <c r="E350" s="331"/>
      <c r="F350" s="287"/>
    </row>
    <row r="351" spans="1:6" x14ac:dyDescent="0.2">
      <c r="A351" s="331"/>
      <c r="B351" s="331"/>
      <c r="C351" s="331"/>
      <c r="D351" s="331"/>
      <c r="E351" s="331"/>
      <c r="F351" s="287"/>
    </row>
    <row r="352" spans="1:6" x14ac:dyDescent="0.2">
      <c r="A352" s="331"/>
      <c r="B352" s="331"/>
      <c r="C352" s="331"/>
      <c r="D352" s="331"/>
      <c r="E352" s="331"/>
      <c r="F352" s="287"/>
    </row>
    <row r="353" spans="1:6" x14ac:dyDescent="0.2">
      <c r="A353" s="331"/>
      <c r="B353" s="331"/>
      <c r="C353" s="331"/>
      <c r="D353" s="331"/>
      <c r="E353" s="331"/>
      <c r="F353" s="287"/>
    </row>
    <row r="354" spans="1:6" x14ac:dyDescent="0.2">
      <c r="A354" s="331"/>
      <c r="B354" s="331"/>
      <c r="C354" s="331"/>
      <c r="D354" s="331"/>
      <c r="E354" s="331"/>
      <c r="F354" s="287"/>
    </row>
    <row r="355" spans="1:6" x14ac:dyDescent="0.2">
      <c r="A355" s="331"/>
      <c r="B355" s="331"/>
      <c r="C355" s="331"/>
      <c r="D355" s="331"/>
      <c r="E355" s="331"/>
      <c r="F355" s="287"/>
    </row>
    <row r="356" spans="1:6" x14ac:dyDescent="0.2">
      <c r="A356" s="331"/>
      <c r="B356" s="331"/>
      <c r="C356" s="331"/>
      <c r="D356" s="331"/>
      <c r="E356" s="331"/>
      <c r="F356" s="287"/>
    </row>
    <row r="357" spans="1:6" x14ac:dyDescent="0.2">
      <c r="A357" s="331"/>
      <c r="B357" s="331"/>
      <c r="C357" s="331"/>
      <c r="D357" s="331"/>
      <c r="E357" s="331"/>
      <c r="F357" s="287"/>
    </row>
    <row r="358" spans="1:6" x14ac:dyDescent="0.2">
      <c r="A358" s="331"/>
      <c r="B358" s="331"/>
      <c r="C358" s="331"/>
      <c r="D358" s="331"/>
      <c r="E358" s="331"/>
      <c r="F358" s="287"/>
    </row>
    <row r="359" spans="1:6" x14ac:dyDescent="0.2">
      <c r="A359" s="331"/>
      <c r="B359" s="331"/>
      <c r="C359" s="331"/>
      <c r="D359" s="331"/>
      <c r="E359" s="331"/>
      <c r="F359" s="287"/>
    </row>
    <row r="360" spans="1:6" x14ac:dyDescent="0.2">
      <c r="A360" s="331"/>
      <c r="B360" s="331"/>
      <c r="C360" s="331"/>
      <c r="D360" s="331"/>
      <c r="E360" s="331"/>
      <c r="F360" s="287"/>
    </row>
    <row r="361" spans="1:6" x14ac:dyDescent="0.2">
      <c r="A361" s="331"/>
      <c r="B361" s="331"/>
      <c r="C361" s="331"/>
      <c r="D361" s="331"/>
      <c r="E361" s="331"/>
      <c r="F361" s="287"/>
    </row>
    <row r="362" spans="1:6" x14ac:dyDescent="0.2">
      <c r="A362" s="331"/>
      <c r="B362" s="331"/>
      <c r="C362" s="331"/>
      <c r="D362" s="331"/>
      <c r="E362" s="331"/>
      <c r="F362" s="287"/>
    </row>
    <row r="363" spans="1:6" x14ac:dyDescent="0.2">
      <c r="A363" s="331"/>
      <c r="B363" s="331"/>
      <c r="C363" s="331"/>
      <c r="D363" s="331"/>
      <c r="E363" s="331"/>
      <c r="F363" s="287"/>
    </row>
    <row r="364" spans="1:6" x14ac:dyDescent="0.2">
      <c r="A364" s="331"/>
      <c r="B364" s="331"/>
      <c r="C364" s="331"/>
      <c r="D364" s="331"/>
      <c r="E364" s="331"/>
      <c r="F364" s="287"/>
    </row>
    <row r="365" spans="1:6" x14ac:dyDescent="0.2">
      <c r="A365" s="331"/>
      <c r="B365" s="331"/>
      <c r="C365" s="331"/>
      <c r="D365" s="331"/>
      <c r="E365" s="331"/>
      <c r="F365" s="287"/>
    </row>
    <row r="366" spans="1:6" x14ac:dyDescent="0.2">
      <c r="A366" s="331"/>
      <c r="B366" s="331"/>
      <c r="C366" s="331"/>
      <c r="D366" s="331"/>
      <c r="E366" s="331"/>
      <c r="F366" s="287"/>
    </row>
    <row r="367" spans="1:6" x14ac:dyDescent="0.2">
      <c r="A367" s="331"/>
      <c r="B367" s="331"/>
      <c r="C367" s="331"/>
      <c r="D367" s="331"/>
      <c r="E367" s="331"/>
      <c r="F367" s="287"/>
    </row>
    <row r="368" spans="1:6" x14ac:dyDescent="0.2">
      <c r="A368" s="331"/>
      <c r="B368" s="331"/>
      <c r="C368" s="331"/>
      <c r="D368" s="331"/>
      <c r="E368" s="331"/>
      <c r="F368" s="287"/>
    </row>
    <row r="369" spans="1:6" x14ac:dyDescent="0.2">
      <c r="A369" s="331"/>
      <c r="B369" s="331"/>
      <c r="C369" s="331"/>
      <c r="D369" s="331"/>
      <c r="E369" s="331"/>
      <c r="F369" s="287"/>
    </row>
    <row r="370" spans="1:6" x14ac:dyDescent="0.2">
      <c r="A370" s="331"/>
      <c r="B370" s="331"/>
      <c r="C370" s="331"/>
      <c r="D370" s="331"/>
      <c r="E370" s="331"/>
      <c r="F370" s="287"/>
    </row>
    <row r="371" spans="1:6" x14ac:dyDescent="0.2">
      <c r="A371" s="331"/>
      <c r="B371" s="331"/>
      <c r="C371" s="331"/>
      <c r="D371" s="331"/>
      <c r="E371" s="331"/>
      <c r="F371" s="287"/>
    </row>
    <row r="372" spans="1:6" x14ac:dyDescent="0.2">
      <c r="A372" s="331"/>
      <c r="B372" s="331"/>
      <c r="C372" s="331"/>
      <c r="D372" s="331"/>
      <c r="E372" s="331"/>
      <c r="F372" s="287"/>
    </row>
    <row r="373" spans="1:6" x14ac:dyDescent="0.2">
      <c r="A373" s="331"/>
      <c r="B373" s="331"/>
      <c r="C373" s="331"/>
      <c r="D373" s="331"/>
      <c r="E373" s="331"/>
      <c r="F373" s="287"/>
    </row>
    <row r="374" spans="1:6" x14ac:dyDescent="0.2">
      <c r="A374" s="331"/>
      <c r="B374" s="331"/>
      <c r="C374" s="331"/>
      <c r="D374" s="331"/>
      <c r="E374" s="331"/>
      <c r="F374" s="287"/>
    </row>
    <row r="375" spans="1:6" x14ac:dyDescent="0.2">
      <c r="A375" s="331"/>
      <c r="B375" s="331"/>
      <c r="C375" s="331"/>
      <c r="D375" s="331"/>
      <c r="E375" s="331"/>
      <c r="F375" s="287"/>
    </row>
    <row r="376" spans="1:6" x14ac:dyDescent="0.2">
      <c r="A376" s="331"/>
      <c r="B376" s="331"/>
      <c r="C376" s="331"/>
      <c r="D376" s="331"/>
      <c r="E376" s="331"/>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2022-10-03T19:41:23Z</cp:lastPrinted>
  <dcterms:created xsi:type="dcterms:W3CDTF">1997-12-04T19:04:30Z</dcterms:created>
  <dcterms:modified xsi:type="dcterms:W3CDTF">2022-12-19T15:46:12Z</dcterms:modified>
</cp:coreProperties>
</file>