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AD725070-32B7-412F-B272-B3FA7512A9CA}"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48" i="1" l="1"/>
  <c r="J379" i="1"/>
  <c r="I473" i="1"/>
  <c r="F473" i="1"/>
  <c r="J256" i="1"/>
  <c r="F50" i="1"/>
  <c r="F46" i="1"/>
  <c r="F49" i="1"/>
  <c r="I12" i="1"/>
  <c r="F22" i="1"/>
  <c r="D7" i="14"/>
  <c r="D6" i="14"/>
  <c r="D38" i="14"/>
  <c r="D26" i="14"/>
  <c r="F5" i="13" l="1"/>
  <c r="F14" i="13"/>
  <c r="F15" i="13"/>
  <c r="C20" i="12"/>
  <c r="B20" i="12"/>
  <c r="C11" i="12"/>
  <c r="B11" i="12"/>
  <c r="E9" i="17" l="1"/>
  <c r="I469" i="1" l="1"/>
  <c r="I379" i="1"/>
  <c r="H612" i="1" l="1"/>
  <c r="H614" i="1"/>
  <c r="H613" i="1"/>
  <c r="G614" i="1"/>
  <c r="G613" i="1"/>
  <c r="G612" i="1"/>
  <c r="F614" i="1"/>
  <c r="F613" i="1"/>
  <c r="H605" i="1"/>
  <c r="I605" i="1"/>
  <c r="J605" i="1"/>
  <c r="G460" i="1" l="1"/>
  <c r="F441" i="1"/>
  <c r="G441" i="1"/>
  <c r="H393" i="1"/>
  <c r="K241" i="1"/>
  <c r="K223" i="1"/>
  <c r="K205" i="1"/>
  <c r="F63" i="1"/>
  <c r="H236" i="1"/>
  <c r="F24" i="1"/>
  <c r="F522" i="1"/>
  <c r="H473" i="1"/>
  <c r="H469" i="1"/>
  <c r="H24" i="1"/>
  <c r="H13" i="1"/>
  <c r="G48" i="1"/>
  <c r="G503" i="1" l="1"/>
  <c r="F503" i="1"/>
  <c r="F500" i="1"/>
  <c r="F499" i="1"/>
  <c r="H235" i="1"/>
  <c r="H217" i="1"/>
  <c r="H199" i="1"/>
  <c r="I321" i="1"/>
  <c r="H321" i="1"/>
  <c r="I315" i="1"/>
  <c r="H315" i="1"/>
  <c r="I296" i="1"/>
  <c r="I277" i="1"/>
  <c r="H277" i="1"/>
  <c r="H302" i="1"/>
  <c r="H283" i="1"/>
  <c r="H110" i="1"/>
  <c r="H159" i="1"/>
  <c r="H162" i="1"/>
  <c r="H379" i="1"/>
  <c r="G97" i="1"/>
  <c r="G110" i="1"/>
  <c r="G132" i="1"/>
  <c r="F98" i="1"/>
  <c r="K267" i="1" l="1"/>
  <c r="F9" i="1"/>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C119"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H653" i="1"/>
  <c r="G654" i="1"/>
  <c r="H654" i="1"/>
  <c r="H655" i="1"/>
  <c r="H656" i="1"/>
  <c r="I170" i="1"/>
  <c r="J652" i="1" l="1"/>
  <c r="G477" i="1"/>
  <c r="G409" i="1"/>
  <c r="H646" i="1" s="1"/>
  <c r="H477" i="1"/>
  <c r="H625" i="1" s="1"/>
  <c r="E121" i="2"/>
  <c r="E120" i="2"/>
  <c r="G662" i="1"/>
  <c r="C32" i="10"/>
  <c r="C110" i="2"/>
  <c r="D15" i="13"/>
  <c r="C15" i="13" s="1"/>
  <c r="E13" i="13"/>
  <c r="C13" i="13" s="1"/>
  <c r="D6" i="13"/>
  <c r="C6" i="13" s="1"/>
  <c r="C13" i="10"/>
  <c r="C121" i="2"/>
  <c r="C120" i="2"/>
  <c r="A40" i="12"/>
  <c r="C12" i="10"/>
  <c r="E119" i="2"/>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F194" i="1" l="1"/>
  <c r="E51" i="2"/>
  <c r="D51" i="2"/>
  <c r="G24" i="14"/>
  <c r="H24" i="14" s="1"/>
  <c r="I24" i="14" s="1"/>
  <c r="E115" i="2"/>
  <c r="E128" i="2"/>
  <c r="E145" i="2" s="1"/>
  <c r="F661" i="1"/>
  <c r="F665" i="1" s="1"/>
  <c r="F668" i="1" s="1"/>
  <c r="C81" i="2"/>
  <c r="I663" i="1"/>
  <c r="H661" i="1"/>
  <c r="H665" i="1" s="1"/>
  <c r="H668" i="1" s="1"/>
  <c r="H194" i="1"/>
  <c r="G630" i="1" s="1"/>
  <c r="J630" i="1" s="1"/>
  <c r="H649" i="1"/>
  <c r="J649" i="1" s="1"/>
  <c r="C141" i="2"/>
  <c r="C144" i="2" s="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<sst xmlns="http://schemas.openxmlformats.org/spreadsheetml/2006/main" count="6509" uniqueCount="1808">
  <si>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</si>
  <si>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</si>
  <si>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</si>
  <si>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</si>
  <si>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</si>
  <si>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</si>
  <si>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</si>
  <si>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</si>
  <si>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</si>
  <si>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</si>
  <si>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</si>
  <si>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</si>
  <si>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</si>
  <si>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</si>
  <si>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</si>
  <si>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</si>
  <si>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</si>
  <si>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</si>
  <si>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</si>
  <si>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</si>
  <si>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</si>
  <si>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</si>
  <si>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</si>
  <si>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</si>
  <si>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</si>
  <si>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</si>
  <si>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</si>
  <si>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</si>
  <si>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</si>
  <si>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</si>
  <si>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</si>
  <si>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</si>
  <si>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</si>
  <si>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</si>
  <si>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</si>
  <si>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</si>
  <si>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</si>
  <si>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</si>
  <si>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</si>
  <si>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</si>
  <si>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</si>
  <si>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</si>
  <si>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</si>
  <si>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</si>
  <si>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</si>
  <si>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</si>
  <si>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</si>
  <si>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</si>
  <si>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</si>
  <si>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</si>
  <si>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</si>
  <si>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</si>
  <si>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</si>
  <si>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</si>
  <si>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</si>
  <si>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</si>
  <si>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</si>
  <si>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</si>
  <si>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</si>
  <si>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</si>
  <si>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</si>
  <si>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</si>
  <si>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</si>
  <si>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</si>
  <si>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</si>
  <si>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</si>
  <si>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</si>
  <si>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</si>
  <si>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</si>
  <si>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</si>
  <si>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</si>
  <si>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</si>
  <si>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</si>
  <si>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</si>
  <si>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</si>
  <si>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</si>
  <si>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</si>
  <si>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</si>
  <si>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</si>
  <si>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</si>
  <si>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</si>
  <si>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</si>
  <si>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</si>
  <si>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</si>
  <si>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</si>
  <si>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</si>
  <si>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</si>
  <si>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</si>
  <si>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</si>
  <si>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</si>
  <si>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</si>
  <si>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</si>
  <si>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</si>
  <si>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</si>
  <si>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</si>
  <si>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</si>
  <si>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</si>
  <si>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</si>
  <si>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</si>
  <si>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</si>
  <si>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</si>
  <si>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</si>
  <si>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</si>
  <si>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</si>
  <si>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</si>
  <si>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</si>
  <si>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</si>
  <si>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</si>
  <si>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</si>
  <si>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</si>
  <si>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</si>
  <si>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</si>
  <si>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</si>
  <si>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</si>
  <si>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</si>
  <si>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</si>
  <si>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</si>
  <si>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</si>
  <si>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</si>
  <si>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</si>
  <si>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</si>
  <si>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</si>
  <si>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</si>
  <si>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</si>
  <si>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</si>
  <si>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</si>
  <si>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</si>
  <si>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</si>
  <si>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</si>
  <si>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</si>
  <si>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</si>
  <si>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</si>
  <si>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</si>
  <si>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</si>
  <si>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</si>
  <si>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</si>
  <si>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</si>
  <si>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</si>
  <si>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</si>
  <si>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</si>
  <si>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</si>
  <si>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</si>
  <si>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</si>
  <si>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</si>
  <si>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</si>
  <si>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</si>
  <si>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</si>
  <si>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</si>
  <si>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</si>
  <si>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</si>
  <si>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</si>
  <si>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</si>
  <si>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</si>
  <si>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</si>
  <si>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</si>
  <si>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</si>
  <si>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</si>
  <si>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</si>
  <si>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</si>
  <si>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</si>
  <si>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</si>
  <si>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</si>
  <si>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</si>
  <si>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</si>
  <si>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</si>
  <si>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</si>
  <si>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</si>
  <si>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</si>
  <si>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</si>
  <si>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</si>
  <si>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</si>
  <si>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</si>
  <si>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</si>
  <si>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</si>
  <si>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</si>
  <si>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</si>
  <si>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</si>
  <si>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</si>
  <si>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</si>
  <si>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</si>
  <si>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</si>
  <si>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</si>
  <si>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</si>
  <si>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</si>
  <si>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</si>
  <si>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</si>
  <si>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</si>
  <si>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</si>
  <si>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</si>
  <si>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</si>
  <si>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</si>
  <si>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</si>
  <si>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</si>
  <si>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</si>
  <si>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</si>
  <si>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</si>
  <si>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</si>
  <si>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</si>
  <si>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</si>
  <si>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</si>
  <si>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</si>
  <si>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</si>
  <si>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</si>
  <si>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</si>
  <si>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</si>
  <si>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</si>
  <si>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</si>
  <si>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</si>
  <si>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</si>
  <si>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</si>
  <si>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</si>
  <si>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</si>
  <si>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</si>
  <si>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</si>
  <si>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</si>
  <si>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</si>
  <si>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</si>
  <si>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</si>
  <si>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</si>
  <si>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</si>
  <si>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</si>
  <si>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</si>
  <si>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</si>
  <si>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</si>
  <si>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</si>
  <si>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</si>
  <si>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</si>
  <si>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</si>
  <si>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</si>
  <si>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</si>
  <si>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</si>
  <si>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</si>
  <si>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</si>
  <si>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</si>
  <si>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</si>
  <si>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</si>
  <si>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</si>
  <si>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</si>
  <si>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</si>
  <si>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</si>
  <si>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</si>
  <si>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</si>
  <si>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</si>
  <si>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</si>
  <si>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</si>
  <si>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</si>
  <si>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</si>
  <si>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</si>
  <si>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</si>
  <si>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</si>
  <si>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</si>
  <si>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</si>
  <si>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</si>
  <si>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</si>
  <si>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</si>
  <si>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</si>
  <si>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</si>
  <si>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</si>
  <si>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</si>
  <si>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</si>
  <si>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</si>
  <si>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</si>
  <si>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</si>
  <si>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</si>
  <si>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</si>
  <si>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</si>
  <si>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</si>
  <si>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</si>
  <si>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</si>
  <si>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</si>
  <si>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</si>
  <si>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</si>
  <si>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</si>
  <si>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</si>
  <si>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</si>
  <si>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</si>
  <si>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</si>
  <si>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</si>
  <si>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</si>
  <si>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</si>
  <si>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</si>
  <si>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</si>
  <si>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</si>
  <si>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</si>
  <si>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</si>
  <si>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</si>
  <si>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</si>
  <si>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</si>
  <si>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</si>
  <si>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</si>
  <si>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</si>
  <si>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</si>
  <si>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</si>
  <si>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</si>
  <si>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</si>
  <si>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</si>
  <si>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</si>
  <si>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</si>
  <si>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</si>
  <si>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</si>
  <si>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</si>
  <si>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</si>
  <si>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</si>
  <si>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</si>
  <si>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</si>
  <si>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</si>
  <si>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</si>
  <si>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</si>
  <si>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</si>
  <si>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</si>
  <si>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</si>
  <si>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</si>
  <si>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</si>
  <si>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</si>
  <si>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</si>
  <si>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</si>
  <si>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</si>
  <si>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</si>
  <si>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</si>
  <si>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</si>
  <si>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</si>
  <si>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</si>
  <si>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</si>
  <si>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</si>
  <si>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</si>
  <si>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</si>
  <si>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</si>
  <si>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</si>
  <si>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</si>
  <si>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</si>
  <si>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</si>
  <si>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</si>
  <si>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</si>
  <si>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</si>
  <si>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</si>
  <si>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</si>
  <si>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</si>
  <si>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</si>
  <si>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</si>
  <si>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</si>
  <si>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</si>
  <si>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</si>
  <si>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</si>
  <si>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</si>
  <si>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</si>
  <si>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</si>
  <si>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</si>
  <si>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</si>
  <si>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</si>
  <si>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</si>
  <si>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</si>
  <si>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</si>
  <si>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</si>
  <si>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</si>
  <si>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</si>
  <si>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</si>
  <si>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</si>
  <si>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</si>
  <si>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</si>
  <si>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</si>
  <si>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</si>
  <si>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</si>
  <si>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</si>
  <si>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</si>
  <si>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</si>
  <si>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</si>
  <si>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</si>
  <si>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</si>
  <si>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</si>
  <si>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</si>
  <si>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</si>
  <si>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</si>
  <si>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</si>
  <si>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</si>
  <si>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</si>
  <si>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</si>
  <si>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</si>
  <si>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</si>
  <si>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</si>
  <si>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</si>
  <si>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</si>
  <si>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</si>
  <si>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</si>
  <si>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</si>
  <si>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</si>
  <si>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</si>
  <si>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</si>
  <si>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</si>
  <si>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</si>
  <si>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</si>
  <si>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</si>
  <si>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</si>
  <si>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</si>
  <si>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</si>
  <si>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</si>
  <si>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</si>
  <si>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</si>
  <si>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</si>
  <si>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</si>
  <si>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</si>
  <si>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</si>
  <si>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</si>
  <si>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</si>
  <si>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</si>
  <si>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</si>
  <si>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</si>
  <si>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</si>
  <si>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</si>
  <si>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</si>
  <si>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</si>
  <si>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</si>
  <si>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</si>
  <si>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</si>
  <si>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</si>
  <si>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</si>
  <si>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</si>
  <si>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</si>
  <si>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</si>
  <si>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</si>
  <si>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</si>
  <si>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</si>
  <si>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</si>
  <si>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</si>
  <si>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</si>
  <si>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</si>
  <si>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</si>
  <si>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</si>
  <si>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</si>
  <si>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</si>
  <si>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</si>
  <si>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</si>
  <si>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</si>
  <si>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</si>
  <si>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</si>
  <si>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</si>
  <si>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</si>
  <si>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</si>
  <si>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</si>
  <si>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</si>
  <si>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</si>
  <si>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</si>
  <si>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</si>
  <si>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</si>
  <si>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</si>
  <si>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</si>
  <si>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</si>
  <si>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</si>
  <si>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</si>
  <si>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</si>
  <si>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</si>
  <si>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</si>
  <si>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</si>
  <si>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</si>
  <si>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</si>
  <si>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</si>
  <si>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</si>
  <si>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</si>
  <si>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</si>
  <si>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</si>
  <si>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</si>
  <si>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</si>
  <si>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</si>
  <si>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</si>
  <si>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</si>
  <si>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</si>
  <si>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</si>
  <si>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</si>
  <si>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</si>
  <si>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</si>
  <si>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</si>
  <si>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</si>
  <si>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</si>
  <si>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</si>
  <si>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</si>
  <si>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</si>
  <si>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</si>
  <si>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</si>
  <si>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</si>
  <si>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</si>
  <si>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</si>
  <si>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</si>
  <si>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</si>
  <si>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</si>
  <si>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</si>
  <si>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</si>
  <si>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</si>
  <si>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</si>
  <si>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</si>
  <si>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</si>
  <si>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</si>
  <si>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</si>
  <si>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</si>
  <si>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</si>
  <si>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</si>
  <si>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</si>
  <si>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</si>
  <si>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</si>
  <si>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</si>
  <si>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</si>
  <si>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</si>
  <si>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</si>
  <si>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</si>
  <si>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</si>
  <si>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</si>
  <si>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</si>
  <si>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</si>
  <si>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</si>
  <si>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</si>
  <si>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</si>
  <si>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</si>
  <si>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</si>
  <si>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</si>
  <si>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</si>
  <si>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</si>
  <si>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</si>
  <si>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</si>
  <si>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</si>
  <si>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</si>
  <si>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</si>
  <si>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</si>
  <si>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</si>
  <si>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</si>
  <si>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</si>
  <si>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</si>
  <si>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</si>
  <si>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</si>
  <si>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</si>
  <si>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</si>
  <si>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</si>
  <si>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</si>
  <si>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</si>
  <si>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</si>
  <si>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</si>
  <si>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</si>
  <si>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</si>
  <si>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</si>
  <si>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</si>
  <si>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</si>
  <si>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</si>
  <si>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</si>
  <si>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</si>
  <si>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</si>
  <si>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</si>
  <si>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</si>
  <si>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</si>
  <si>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</si>
  <si>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</si>
  <si>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</si>
  <si>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</si>
  <si>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</si>
  <si>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</si>
  <si>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</si>
  <si>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</si>
  <si>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</si>
  <si>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</si>
  <si>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</si>
  <si>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</si>
  <si>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</si>
  <si>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</si>
  <si>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</si>
  <si>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</si>
  <si>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</si>
  <si>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</si>
  <si>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</si>
  <si>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</si>
  <si>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</si>
  <si>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</si>
  <si>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</si>
  <si>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</si>
  <si>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</si>
  <si>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</si>
  <si>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</si>
  <si>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</si>
  <si>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</si>
  <si>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</si>
  <si>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</si>
  <si>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</si>
  <si>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</si>
  <si>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</si>
  <si>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</si>
  <si>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</si>
  <si>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</si>
  <si>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</si>
  <si>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</si>
  <si>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</si>
  <si>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</si>
  <si>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</si>
  <si>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</si>
  <si>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</si>
  <si>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</si>
  <si>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</si>
  <si>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</si>
  <si>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</si>
  <si>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</si>
  <si>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</si>
  <si>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</si>
  <si>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</si>
  <si>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</si>
  <si>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</si>
  <si>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</si>
  <si>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</si>
  <si>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</si>
  <si>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</si>
  <si>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</si>
  <si>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</si>
  <si>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</si>
  <si>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</si>
  <si>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</si>
  <si>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</si>
  <si>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</si>
  <si>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</si>
  <si>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</si>
  <si>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</si>
  <si>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</si>
  <si>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</si>
  <si>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</si>
  <si>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</si>
  <si>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</si>
  <si>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</si>
  <si>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</si>
  <si>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</si>
  <si>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</si>
  <si>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</si>
  <si>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</si>
  <si>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</si>
  <si>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</si>
  <si>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</si>
  <si>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</si>
  <si>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</si>
  <si>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</si>
  <si>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</si>
  <si>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</si>
  <si>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</si>
  <si>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</si>
  <si>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</si>
  <si>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</si>
  <si>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</si>
  <si>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</si>
  <si>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</si>
  <si>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</si>
  <si>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</si>
  <si>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</si>
  <si>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</si>
  <si>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</si>
  <si>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</si>
  <si>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</si>
  <si>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</si>
  <si>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</si>
  <si>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</si>
  <si>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</si>
  <si>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</si>
  <si>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</si>
  <si>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</si>
  <si>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</si>
  <si>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</si>
  <si>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</si>
  <si>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</si>
  <si>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</si>
  <si>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</si>
  <si>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</si>
  <si>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</si>
  <si>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</si>
  <si>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</si>
  <si>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</si>
  <si>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</si>
  <si>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</si>
  <si>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</si>
  <si>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</si>
  <si>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</si>
  <si>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</si>
  <si>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</si>
  <si>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</si>
  <si>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</si>
  <si>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</si>
  <si>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</si>
  <si>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</si>
  <si>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</si>
  <si>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</si>
  <si>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</si>
  <si>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</si>
  <si>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</si>
  <si>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</si>
  <si>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</si>
  <si>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</si>
  <si>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</si>
  <si>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</si>
  <si>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</si>
  <si>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</si>
  <si>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</si>
  <si>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</si>
  <si>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</si>
  <si>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</si>
  <si>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</si>
  <si>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</si>
  <si>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</si>
  <si>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</si>
  <si>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</si>
  <si>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</si>
  <si>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</si>
  <si>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</si>
  <si>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</si>
  <si>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</si>
  <si>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</si>
  <si>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</si>
  <si>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</si>
  <si>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</si>
  <si>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</si>
  <si>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</si>
  <si>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</si>
  <si>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</si>
  <si>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</si>
  <si>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</si>
  <si>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</si>
  <si>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</si>
  <si>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</si>
  <si>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</si>
  <si>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</si>
  <si>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</si>
  <si>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</si>
  <si>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</si>
  <si>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</si>
  <si>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</si>
  <si>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</si>
  <si>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</si>
  <si>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</si>
  <si>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</si>
  <si>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</si>
  <si>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</si>
  <si>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</si>
  <si>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</si>
  <si>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</si>
  <si>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</si>
  <si>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</si>
  <si>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</si>
  <si>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</si>
  <si>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</si>
  <si>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</si>
  <si>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</si>
  <si>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</si>
  <si>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</si>
  <si>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</si>
  <si>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</si>
  <si>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</si>
  <si>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</si>
  <si>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</si>
  <si>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</si>
  <si>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</si>
  <si>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</si>
  <si>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</si>
  <si>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</si>
  <si>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</si>
  <si>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</si>
  <si>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</si>
  <si>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</si>
  <si>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</si>
  <si>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</si>
  <si>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</si>
  <si>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</si>
  <si>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</si>
  <si>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</si>
  <si>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</si>
  <si>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</si>
  <si>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</si>
  <si>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</si>
  <si>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</si>
  <si>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</si>
  <si>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</si>
  <si>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</si>
  <si>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</si>
  <si>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</si>
  <si>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</si>
  <si>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</si>
  <si>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</si>
  <si>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</si>
  <si>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</si>
  <si>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</si>
  <si>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</si>
  <si>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</si>
  <si>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</si>
  <si>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</si>
  <si>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</si>
  <si>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</si>
  <si>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</si>
  <si>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</si>
  <si>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</si>
  <si>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</si>
  <si>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</si>
  <si>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</si>
  <si>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</si>
  <si>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</si>
  <si>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</si>
  <si>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</si>
  <si>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</si>
  <si>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</si>
  <si>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</si>
  <si>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</si>
  <si>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</si>
  <si>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</si>
  <si>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</si>
  <si>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</si>
  <si>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</si>
  <si>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</si>
  <si>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</si>
  <si>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</si>
  <si>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</si>
  <si>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</si>
  <si>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</si>
  <si>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</si>
  <si>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</si>
  <si>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</si>
  <si>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</si>
  <si>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</si>
  <si>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</si>
  <si>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</si>
  <si>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</si>
  <si>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</si>
  <si>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</si>
  <si>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</si>
  <si>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</si>
  <si>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</si>
  <si>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</si>
  <si>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</si>
  <si>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</si>
  <si>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</si>
  <si>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</si>
  <si>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</si>
  <si>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</si>
  <si>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</si>
  <si>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</si>
  <si>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</si>
  <si>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</si>
  <si>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</si>
  <si>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</si>
  <si>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</si>
  <si>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</si>
  <si>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</si>
  <si>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</si>
  <si>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</si>
  <si>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</si>
  <si>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</si>
  <si>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</si>
  <si>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</si>
  <si>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</si>
  <si>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</si>
  <si>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</si>
  <si>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</si>
  <si>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</si>
  <si>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</si>
  <si>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</si>
  <si>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</si>
  <si>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</si>
  <si>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</si>
  <si>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</si>
  <si>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</si>
  <si>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</si>
  <si>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</si>
  <si>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</si>
  <si>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</si>
  <si>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</si>
  <si>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</si>
  <si>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</si>
  <si>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</si>
  <si>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</si>
  <si>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</si>
  <si>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</si>
  <si>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</si>
  <si>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</si>
  <si>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</si>
  <si>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</si>
  <si>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</si>
  <si>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</si>
  <si>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</si>
  <si>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</si>
  <si>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</si>
  <si>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</si>
  <si>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</si>
  <si>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</si>
  <si>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</si>
  <si>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</si>
  <si>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</si>
  <si>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</si>
  <si>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</si>
  <si>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</si>
  <si>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</si>
  <si>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</si>
  <si>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</si>
  <si>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</si>
  <si>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</si>
  <si>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</si>
  <si>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</si>
  <si>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</si>
  <si>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</si>
  <si>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</si>
  <si>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</si>
  <si>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</si>
  <si>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</si>
  <si>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</si>
  <si>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</si>
  <si>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</si>
  <si>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</si>
  <si>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</si>
  <si>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</si>
  <si>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</si>
  <si>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</si>
  <si>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</si>
  <si>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</si>
  <si>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</si>
  <si>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</si>
  <si>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</si>
  <si>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</si>
  <si>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</si>
  <si>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</si>
  <si>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</si>
  <si>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</si>
  <si>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</si>
  <si>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</si>
  <si>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</si>
  <si>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</si>
  <si>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</si>
  <si>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</si>
  <si>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</si>
  <si>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</si>
  <si>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</si>
  <si>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</si>
  <si>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</si>
  <si>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</si>
  <si>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</si>
  <si>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</si>
  <si>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</si>
  <si>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</si>
  <si>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</si>
  <si>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</si>
  <si>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</si>
  <si>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</si>
  <si>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</si>
  <si>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</si>
  <si>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</si>
  <si>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</si>
  <si>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</si>
  <si>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</si>
  <si>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</si>
  <si>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</si>
  <si>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</si>
  <si>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</si>
  <si>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</si>
  <si>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</si>
  <si>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</si>
  <si>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</si>
  <si>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</si>
  <si>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</si>
  <si>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</si>
  <si>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</si>
  <si>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</si>
  <si>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</si>
  <si>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</si>
  <si>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</si>
  <si>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</si>
  <si>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</si>
  <si>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</si>
  <si>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</si>
  <si>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</si>
  <si>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</si>
  <si>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</si>
  <si>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</si>
  <si>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</si>
  <si>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</si>
  <si>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</si>
  <si>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</si>
  <si>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</si>
  <si>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</si>
  <si>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</si>
  <si>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</si>
  <si>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</si>
  <si>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</si>
  <si>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</si>
  <si>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</si>
  <si>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</si>
  <si>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</si>
  <si>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</si>
  <si>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</si>
  <si>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</si>
  <si>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</si>
  <si>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</si>
  <si>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</si>
  <si>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</si>
  <si>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</si>
  <si>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</si>
  <si>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</si>
  <si>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</si>
  <si>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</si>
  <si>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</si>
  <si>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</si>
  <si>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</si>
  <si>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</si>
  <si>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</si>
  <si>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</si>
  <si>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</si>
  <si>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</si>
  <si>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</si>
  <si>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</si>
  <si>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</si>
  <si>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</si>
  <si>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</si>
  <si>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</si>
  <si>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</si>
  <si>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</si>
  <si>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</si>
  <si>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</si>
  <si>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</si>
  <si>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</si>
  <si>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</si>
  <si>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</si>
  <si>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</si>
  <si>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</si>
  <si>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</si>
  <si>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</si>
  <si>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</si>
  <si>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</si>
  <si>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</si>
  <si>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</si>
  <si>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</si>
  <si>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</si>
  <si>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</si>
  <si>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</si>
  <si>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</si>
  <si>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</si>
  <si>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</si>
  <si>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</si>
  <si>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</si>
  <si>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</si>
  <si>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</si>
  <si>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</si>
  <si>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</si>
  <si>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</si>
  <si>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</si>
  <si>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</si>
  <si>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</si>
  <si>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</si>
  <si>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</si>
  <si>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</si>
  <si>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</si>
  <si>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</si>
  <si>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</si>
  <si>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</si>
  <si>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</si>
  <si>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</si>
  <si>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</si>
  <si>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</si>
  <si>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</si>
  <si>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</si>
  <si>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</si>
  <si>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</si>
  <si>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</si>
  <si>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</si>
  <si>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</si>
  <si>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</si>
  <si>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</si>
  <si>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</si>
  <si>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</si>
  <si>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</si>
  <si>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</si>
  <si>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</si>
  <si>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</si>
  <si>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</si>
  <si>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</si>
  <si>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</si>
  <si>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</si>
  <si>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</si>
  <si>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</si>
  <si>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</si>
  <si>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</si>
  <si>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</si>
  <si>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</si>
  <si>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</si>
  <si>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</si>
  <si>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</si>
  <si>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</si>
  <si>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</si>
  <si>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</si>
  <si>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</si>
  <si>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</si>
  <si>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</si>
  <si>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</si>
  <si>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</si>
  <si>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</si>
  <si>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</si>
  <si>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</si>
  <si>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</si>
  <si>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</si>
  <si>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</si>
  <si>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</si>
  <si>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</si>
  <si>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</si>
  <si>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</si>
  <si>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</si>
  <si>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</si>
  <si>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</si>
  <si>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</si>
  <si>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</si>
  <si>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</si>
  <si>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</si>
  <si>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</si>
  <si>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</si>
  <si>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</si>
  <si>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</si>
  <si>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</si>
  <si>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</si>
  <si>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</si>
  <si>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</si>
  <si>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</si>
  <si>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</si>
  <si>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</si>
  <si>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</si>
  <si>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</si>
  <si>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</si>
  <si>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</si>
  <si>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</si>
  <si>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</si>
  <si>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</si>
  <si>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</si>
  <si>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</si>
  <si>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</si>
  <si>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</si>
  <si>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</si>
  <si>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</si>
  <si>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</si>
  <si>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</si>
  <si>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</si>
  <si>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</si>
  <si>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</si>
  <si>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</si>
  <si>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</si>
  <si>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</si>
  <si>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</si>
  <si>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</si>
  <si>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</si>
  <si>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</si>
  <si>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</si>
  <si>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</si>
  <si>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</si>
  <si>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</si>
  <si>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</si>
  <si>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</si>
  <si>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</si>
  <si>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</si>
  <si>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</si>
  <si>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</si>
  <si>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</si>
  <si>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</si>
  <si>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</si>
  <si>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</si>
  <si>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</si>
  <si>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</si>
  <si>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</si>
  <si>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</si>
  <si>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</si>
  <si>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</si>
  <si>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</si>
  <si>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</si>
  <si>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</si>
  <si>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</si>
  <si>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</si>
  <si>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</si>
  <si>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</si>
  <si>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</si>
  <si>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</si>
  <si>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</si>
  <si>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</si>
  <si>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</si>
  <si>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</si>
  <si>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</si>
  <si>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</si>
  <si>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</si>
  <si>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</si>
  <si>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</si>
  <si>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</si>
  <si>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</si>
  <si>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</si>
  <si>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</si>
  <si>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</si>
  <si>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</si>
  <si>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</si>
  <si>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</si>
  <si>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</si>
  <si>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</si>
  <si>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</si>
  <si>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</si>
  <si>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</si>
  <si>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</si>
  <si>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</si>
  <si>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</si>
  <si>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</si>
  <si>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</si>
  <si>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</si>
  <si>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</si>
  <si>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</si>
  <si>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</si>
  <si>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</si>
  <si>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</si>
  <si>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</si>
  <si>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</si>
  <si>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</si>
  <si>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</si>
  <si>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</si>
  <si>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</si>
  <si>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</si>
  <si>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</si>
  <si>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</si>
  <si>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</si>
  <si>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</si>
  <si>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</si>
  <si>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</si>
  <si>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</si>
  <si>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</si>
  <si>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</si>
  <si>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</si>
  <si>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</si>
  <si>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</si>
  <si>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</si>
  <si>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</si>
  <si>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</si>
  <si>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</si>
  <si>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</si>
  <si>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</si>
  <si>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</si>
  <si>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</si>
  <si>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</si>
  <si>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</si>
  <si>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</si>
  <si>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</si>
  <si>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</si>
  <si>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</si>
  <si>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</si>
  <si>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</si>
  <si>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</si>
  <si>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</si>
  <si>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</si>
  <si>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</si>
  <si>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</si>
  <si>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</si>
  <si>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</si>
  <si>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</si>
  <si>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</si>
  <si>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</si>
  <si>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</si>
  <si>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</si>
  <si>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</si>
  <si>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</si>
  <si>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</si>
  <si>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</si>
  <si>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</si>
  <si>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</si>
  <si>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</si>
  <si>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</si>
  <si>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</si>
  <si>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</si>
  <si>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</si>
  <si>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</si>
  <si>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</si>
  <si>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</si>
  <si>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</si>
  <si>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</si>
  <si>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</si>
  <si>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</si>
  <si>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</si>
  <si>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</si>
  <si>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</si>
  <si>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</si>
  <si>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</si>
  <si>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</si>
  <si>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</si>
  <si>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</si>
  <si>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</si>
  <si>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</si>
  <si>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</si>
  <si>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</si>
  <si>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</si>
  <si>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</si>
  <si>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</si>
  <si>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</si>
  <si>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</si>
  <si>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</si>
  <si>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</si>
  <si>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</si>
  <si>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</si>
  <si>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</si>
  <si>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</si>
  <si>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</si>
  <si>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</si>
  <si>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</si>
  <si>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</si>
  <si>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</si>
  <si>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</si>
  <si>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</si>
  <si>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</si>
  <si>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</si>
  <si>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</si>
  <si>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</si>
  <si>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</si>
  <si>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</si>
  <si>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</si>
  <si>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</si>
  <si>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</si>
  <si>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</si>
  <si>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</si>
  <si>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</si>
  <si>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</si>
  <si>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</si>
  <si>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</si>
  <si>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</si>
  <si>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</si>
  <si>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</si>
  <si>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</si>
  <si>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</si>
  <si>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</si>
  <si>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</si>
  <si>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</si>
  <si>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</si>
  <si>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</si>
  <si>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</si>
  <si>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</si>
  <si>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</si>
  <si>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</si>
  <si>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</si>
  <si>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</si>
  <si>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</si>
  <si>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</si>
  <si>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</si>
  <si>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</si>
  <si>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</si>
  <si>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</si>
  <si>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</si>
  <si>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</si>
  <si>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</si>
  <si>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</si>
  <si>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</si>
  <si>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</si>
  <si>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</si>
  <si>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</si>
  <si>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</si>
  <si>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</si>
  <si>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</si>
  <si>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</si>
  <si>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</si>
  <si>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</si>
  <si>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</si>
  <si>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</si>
  <si>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</si>
  <si>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</si>
  <si>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</si>
  <si>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</si>
  <si>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</si>
  <si>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</si>
  <si>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</si>
  <si>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</si>
  <si>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</si>
  <si>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</si>
  <si>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</si>
  <si>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</si>
  <si>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</si>
  <si>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</si>
  <si>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</si>
  <si>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</si>
  <si>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</si>
  <si>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</si>
  <si>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</si>
  <si>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</si>
  <si>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</si>
  <si>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</si>
  <si>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</si>
  <si>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</si>
  <si>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</si>
  <si>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</si>
  <si>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</si>
  <si>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</si>
  <si>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</si>
  <si>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</si>
  <si>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</si>
  <si>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</si>
  <si>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</si>
  <si>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</si>
  <si>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</si>
  <si>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</si>
  <si>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</si>
  <si>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</si>
  <si>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</si>
  <si>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</si>
  <si>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</si>
  <si>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</si>
  <si>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</si>
  <si>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</si>
  <si>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</si>
  <si>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</si>
  <si>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</si>
  <si>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</si>
  <si>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</si>
  <si>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</si>
  <si>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</si>
  <si>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</si>
  <si>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</si>
  <si>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</si>
  <si>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</si>
  <si>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</si>
  <si>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</si>
  <si>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</si>
  <si>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</si>
  <si>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</si>
  <si>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</si>
  <si>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</si>
  <si>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</si>
  <si>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</si>
  <si>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</si>
  <si>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</si>
  <si>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</si>
  <si>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</si>
  <si>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</si>
  <si>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</si>
  <si>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</si>
  <si>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</si>
  <si>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</si>
  <si>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</si>
  <si>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</si>
  <si>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</si>
  <si>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</si>
  <si>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</si>
  <si>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</si>
  <si>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</si>
  <si>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</si>
  <si>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</si>
  <si>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</si>
  <si>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</si>
  <si>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</si>
  <si>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</si>
  <si>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</si>
  <si>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</si>
  <si>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</si>
  <si>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</si>
  <si>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</si>
  <si>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</si>
  <si>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</si>
  <si>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</si>
  <si>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</si>
  <si>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</si>
  <si>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</si>
  <si>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</si>
  <si>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</si>
  <si>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</si>
  <si>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</si>
  <si>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</si>
  <si>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</si>
  <si>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</si>
  <si>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</si>
  <si>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</si>
  <si>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</si>
  <si>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</si>
  <si>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</si>
  <si>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</si>
  <si>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</si>
  <si>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</si>
  <si>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</si>
  <si>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</si>
  <si>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</si>
  <si>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</si>
  <si>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</si>
  <si>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</si>
  <si>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</si>
  <si>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</si>
  <si>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</si>
  <si>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</si>
  <si>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</si>
  <si>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</si>
  <si>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</si>
  <si>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</si>
  <si>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</si>
  <si>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</si>
  <si>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</si>
  <si>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</si>
  <si>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</si>
  <si>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</si>
  <si>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</si>
  <si>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</si>
  <si>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</si>
  <si>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</si>
  <si>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</si>
  <si>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</si>
  <si>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</si>
  <si>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</si>
  <si>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</si>
  <si>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</si>
  <si>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</si>
  <si>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</si>
  <si>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</si>
  <si>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</si>
  <si>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</si>
  <si>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</si>
  <si>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</si>
  <si>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</si>
  <si>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</si>
  <si>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</si>
  <si>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</si>
  <si>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</si>
  <si>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</si>
  <si>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</si>
  <si>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</si>
  <si>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</si>
  <si>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</si>
  <si>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</si>
  <si>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</si>
  <si>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</si>
  <si>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</si>
  <si>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</si>
  <si>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</si>
  <si>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</si>
  <si>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</si>
  <si>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</si>
  <si>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</si>
  <si>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</si>
  <si>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</si>
  <si>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</si>
  <si>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</si>
  <si>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</si>
  <si>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</si>
  <si>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</si>
  <si>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</si>
  <si>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</si>
  <si>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</si>
  <si>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</si>
  <si>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</si>
  <si>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</si>
  <si>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</si>
  <si>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</si>
  <si>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</si>
  <si>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</si>
  <si>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</si>
  <si>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</si>
  <si>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</si>
  <si>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</si>
  <si>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</si>
  <si>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</si>
  <si>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</si>
  <si>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</si>
  <si>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</si>
  <si>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</si>
  <si>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</si>
  <si>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</si>
  <si>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</si>
  <si>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</si>
  <si>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</si>
  <si>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</si>
  <si>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</si>
  <si>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</si>
  <si>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</si>
  <si>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</si>
  <si>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</si>
  <si>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</si>
  <si>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</si>
  <si>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</si>
  <si>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</si>
  <si>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</si>
  <si>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</si>
  <si>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</si>
  <si>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</si>
  <si>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</si>
  <si>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</si>
  <si>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</si>
  <si>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</si>
  <si>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</si>
  <si>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</si>
  <si>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</si>
  <si>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</si>
  <si>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</si>
  <si>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</si>
  <si>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</si>
  <si>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</si>
  <si>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</si>
  <si>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</si>
  <si>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</si>
  <si>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</si>
  <si>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</si>
  <si>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</si>
  <si>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</si>
  <si>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</si>
  <si>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</si>
  <si>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</si>
  <si>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</si>
  <si>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</si>
  <si>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</si>
  <si>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</si>
  <si>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</si>
  <si>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</si>
  <si>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</si>
  <si>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</si>
  <si>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</si>
  <si>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</si>
  <si>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</si>
  <si>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</si>
  <si>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</si>
  <si>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</si>
  <si>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</si>
  <si>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</si>
  <si>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</si>
  <si>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</si>
  <si>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</si>
  <si>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</si>
  <si>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</si>
  <si>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</si>
  <si>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</si>
  <si>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</si>
  <si>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</si>
  <si>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</si>
  <si>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</si>
  <si>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</si>
  <si>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</si>
  <si>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</si>
  <si>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</si>
  <si>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</si>
  <si>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</si>
  <si>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</si>
  <si>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</si>
  <si>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</si>
  <si>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</si>
  <si>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</si>
  <si>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</si>
  <si>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</si>
  <si>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</si>
  <si>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</si>
  <si>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</si>
  <si>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</si>
  <si>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</si>
  <si>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</si>
  <si>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</si>
  <si>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</si>
  <si>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</si>
  <si>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</si>
  <si>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</si>
  <si>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</si>
  <si>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</si>
  <si>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</si>
  <si>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</si>
  <si>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</si>
  <si>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</si>
  <si>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</si>
  <si>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</si>
  <si>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</si>
  <si>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</si>
  <si>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</si>
  <si>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</si>
  <si>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</si>
  <si>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</si>
  <si>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</si>
  <si>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</si>
  <si>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</si>
  <si>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</si>
  <si>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</si>
  <si>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</si>
  <si>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</si>
  <si>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</si>
  <si>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</si>
  <si>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</si>
  <si>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</si>
  <si>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</si>
  <si>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</si>
  <si>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</si>
  <si>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</si>
  <si>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</si>
  <si>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</si>
  <si>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</si>
  <si>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</si>
  <si>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</si>
  <si>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</si>
  <si>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</si>
  <si>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</si>
  <si>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</si>
  <si>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</si>
  <si>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</si>
  <si>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</si>
  <si>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</si>
  <si>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</si>
  <si>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</si>
  <si>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</si>
  <si>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</si>
  <si>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</si>
  <si>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</si>
  <si>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</si>
  <si>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</si>
  <si>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</si>
  <si>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</si>
  <si>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</si>
  <si>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</si>
  <si>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</si>
  <si>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</si>
  <si>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</si>
  <si>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</si>
  <si>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</si>
  <si>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</si>
  <si>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</si>
  <si>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</si>
  <si>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</si>
  <si>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</si>
  <si>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</si>
  <si>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</si>
  <si>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</si>
  <si>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</si>
  <si>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</si>
  <si>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</si>
  <si>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</si>
  <si>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</si>
  <si>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</si>
  <si>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</si>
  <si>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</si>
  <si>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</si>
  <si>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</si>
  <si>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</si>
  <si>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</si>
  <si>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</si>
  <si>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</si>
  <si>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</si>
  <si>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</si>
  <si>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</si>
  <si>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</si>
  <si>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</si>
  <si>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</si>
  <si>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</si>
  <si>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</si>
  <si>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</si>
  <si>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</si>
  <si>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</si>
  <si>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</si>
  <si>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</si>
  <si>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</si>
  <si>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</si>
  <si>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</si>
  <si>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</si>
  <si>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</si>
  <si>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</si>
  <si>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</si>
  <si>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</si>
  <si>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</si>
  <si>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</si>
  <si>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</si>
  <si>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</si>
  <si>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</si>
  <si>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</si>
  <si>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</si>
  <si>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</si>
  <si>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</si>
  <si>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</si>
  <si>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</si>
  <si>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</si>
  <si>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</si>
  <si>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</si>
  <si>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</si>
  <si>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</si>
  <si>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</si>
  <si>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</si>
  <si>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</si>
  <si>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</si>
  <si>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</si>
  <si>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</si>
  <si>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</si>
  <si>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</si>
  <si>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</si>
  <si>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</si>
  <si>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</si>
  <si>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</si>
  <si>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</si>
  <si>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</si>
  <si>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</si>
  <si>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</si>
  <si>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</si>
  <si>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</si>
  <si>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</si>
  <si>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</si>
  <si>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</si>
  <si>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</si>
  <si>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</si>
  <si>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</si>
  <si>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</si>
  <si>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</si>
  <si>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</si>
  <si>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</si>
  <si>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</si>
  <si>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</si>
  <si>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</si>
  <si>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</si>
  <si>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</si>
  <si>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</si>
  <si>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</si>
  <si>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</si>
  <si>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</si>
  <si>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</si>
  <si>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</si>
  <si>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</si>
  <si>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</si>
  <si>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</si>
  <si>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</si>
  <si>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</si>
  <si>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</si>
  <si>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</si>
  <si>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</si>
  <si>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</si>
  <si>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</si>
  <si>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7/20</t>
  </si>
  <si>
    <t>8/15/40</t>
  </si>
  <si>
    <t>varies 2.10-5.10</t>
  </si>
  <si>
    <t>7/21</t>
  </si>
  <si>
    <t>8/15/41</t>
  </si>
  <si>
    <t>vares 2.10-5.10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</si>
</sst>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8"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1125</v>
      </c>
      <c r="B2" s="126">
        <f>INDEX('School Tables'!$AH$3:$AH$208,MATCH('DOE25'!A2,'School Tables'!$AJ$3:$AJ$208,0))</f>
        <v>263</v>
      </c>
      <c r="C2" s="126">
        <f>INDEX('School Tables'!$AI$3:$AI$208,MATCH('DOE25'!A2,'School Tables'!$AJ$3:$AJ$208,0))</f>
        <v>263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2593526+100+45728</f>
        <v>2639354</v>
      </c>
      <c r="G9" s="18">
        <v>100</v>
      </c>
      <c r="H9" s="18"/>
      <c r="I9" s="18">
        <v>491987</v>
      </c>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573405</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138700</v>
      </c>
      <c r="G12" s="18">
        <v>101093</v>
      </c>
      <c r="H12" s="18">
        <v>97729</v>
      </c>
      <c r="I12" s="18">
        <f>25294+119000-101250</f>
        <v>43044</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16724</v>
      </c>
      <c r="G13" s="18">
        <v>37619</v>
      </c>
      <c r="H13" s="18">
        <f>126650+2000</f>
        <v>128650</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11780</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14728</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2821286</v>
      </c>
      <c r="G19" s="41">
        <f>SUM(G9:G18)</f>
        <v>138812</v>
      </c>
      <c r="H19" s="41">
        <f>SUM(H9:H18)</f>
        <v>226379</v>
      </c>
      <c r="I19" s="41">
        <f>SUM(I9:I18)</f>
        <v>535031</v>
      </c>
      <c r="J19" s="41">
        <f>SUM(J9:J18)</f>
        <v>573405</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f>198822+119000-101250</f>
        <v>216572</v>
      </c>
      <c r="G22" s="18"/>
      <c r="H22" s="18">
        <v>123364</v>
      </c>
      <c r="I22" s="18"/>
      <c r="J22" s="67">
        <f>SUM(I449)</f>
        <v>40631</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f>69444+11444+27229+30847</f>
        <v>138964</v>
      </c>
      <c r="G24" s="18">
        <v>457</v>
      </c>
      <c r="H24" s="18">
        <f>3104+15460</f>
        <v>18564</v>
      </c>
      <c r="I24" s="18">
        <v>1216</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v>45000</v>
      </c>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143412</v>
      </c>
      <c r="G28" s="18">
        <v>4405</v>
      </c>
      <c r="H28" s="18">
        <v>182</v>
      </c>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-2878</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15618</v>
      </c>
      <c r="G30" s="18">
        <v>18926</v>
      </c>
      <c r="H30" s="18">
        <v>84269</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511688</v>
      </c>
      <c r="G32" s="41">
        <f>SUM(G22:G31)</f>
        <v>23788</v>
      </c>
      <c r="H32" s="41">
        <f>SUM(H22:H31)</f>
        <v>226379</v>
      </c>
      <c r="I32" s="41">
        <f>SUM(I22:I31)</f>
        <v>46216</v>
      </c>
      <c r="J32" s="41">
        <f>SUM(J22:J31)</f>
        <v>40631</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v>14728</v>
      </c>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525000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f>664170+121234</f>
        <v>785404</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f>138812-23788-26518</f>
        <v>88506</v>
      </c>
      <c r="H48" s="18"/>
      <c r="I48" s="18">
        <f>517281-46216+17750</f>
        <v>488815</v>
      </c>
      <c r="J48" s="13">
        <f>SUM(I460)</f>
        <v>532774</v>
      </c>
      <c r="K48" s="24" t="s">
        <v>288</v>
      </c>
      <c r="L48" s="24" t="s">
        <v>288</v>
      </c>
      <c r="M48" s="8"/>
      <c r="N48" s="265"/>
    </row>
    <row r="49" spans="1:14" s="3" customFormat="1" ht="12.2" customHeight="1" x14ac:dyDescent="0.15">
      <c r="A49" s="1" t="s">
        <v>859</v>
      </c>
      <c r="B49" s="2" t="s">
        <v>289</v>
      </c>
      <c r="C49" s="6">
        <v>34</v>
      </c>
      <c r="D49" s="2"/>
      <c r="E49" s="6">
        <v>753</v>
      </c>
      <c r="F49" s="18">
        <f>274998+101250+57182</f>
        <v>433430</v>
      </c>
      <c r="G49" s="18">
        <v>26518</v>
      </c>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2821286-1478896-493938-119000-57182-121234</f>
        <v>551036</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2309598</v>
      </c>
      <c r="G51" s="41">
        <f>SUM(G35:G50)</f>
        <v>115024</v>
      </c>
      <c r="H51" s="41">
        <f>SUM(H35:H50)</f>
        <v>0</v>
      </c>
      <c r="I51" s="41">
        <f>SUM(I35:I50)</f>
        <v>488815</v>
      </c>
      <c r="J51" s="41">
        <f>SUM(J35:J50)</f>
        <v>532774</v>
      </c>
      <c r="K51" s="45" t="s">
        <v>288</v>
      </c>
      <c r="L51" s="45" t="s">
        <v>288</v>
      </c>
      <c r="N51" s="263"/>
    </row>
    <row r="52" spans="1:14" s="3" customFormat="1" ht="12.2" customHeight="1" thickTop="1" x14ac:dyDescent="0.15">
      <c r="A52" s="38" t="s">
        <v>455</v>
      </c>
      <c r="B52" s="39" t="s">
        <v>289</v>
      </c>
      <c r="C52" s="6">
        <v>37</v>
      </c>
      <c r="D52" s="39" t="s">
        <v>653</v>
      </c>
      <c r="E52" s="39"/>
      <c r="F52" s="41">
        <f>F51+F32</f>
        <v>2821286</v>
      </c>
      <c r="G52" s="41">
        <f>G51+G32</f>
        <v>138812</v>
      </c>
      <c r="H52" s="41">
        <f>H51+H32</f>
        <v>226379</v>
      </c>
      <c r="I52" s="41">
        <f>I51+I32</f>
        <v>535031</v>
      </c>
      <c r="J52" s="41">
        <f>J51+J32</f>
        <v>573405</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15708082</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15708082</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f>48228-3728</f>
        <v>44500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9945</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54445</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3732</v>
      </c>
      <c r="G96" s="18"/>
      <c r="H96" s="18"/>
      <c r="I96" s="18"/>
      <c r="J96" s="18">
        <v>834</v>
      </c>
      <c r="K96" s="24" t="s">
        <v>288</v>
      </c>
      <c r="L96" s="24" t="s">
        <v>288</v>
      </c>
      <c r="M96" s="8"/>
      <c r="N96" s="265"/>
    </row>
    <row r="97" spans="1:14" s="3" customFormat="1" ht="12.2" customHeight="1" x14ac:dyDescent="0.15">
      <c r="A97" s="1" t="s">
        <v>503</v>
      </c>
      <c r="B97" s="2" t="s">
        <v>315</v>
      </c>
      <c r="C97" s="6">
        <v>12</v>
      </c>
      <c r="D97" s="2" t="s">
        <v>430</v>
      </c>
      <c r="E97" s="6">
        <v>1600</v>
      </c>
      <c r="F97" s="24" t="s">
        <v>288</v>
      </c>
      <c r="G97" s="18">
        <f>1012+940+6441+1076+38+4819+2524+272+50213+472+1</f>
        <v>67808</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f>19527+40311</f>
        <v>59838</v>
      </c>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1124</v>
      </c>
      <c r="G101" s="18"/>
      <c r="H101" s="18">
        <v>3810</v>
      </c>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90700</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v>12185</v>
      </c>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157</v>
      </c>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274577</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35879</v>
      </c>
      <c r="G110" s="18">
        <f>260+900+3451</f>
        <v>4611</v>
      </c>
      <c r="H110" s="18">
        <f>3377+50+100+224</f>
        <v>3751</v>
      </c>
      <c r="I110" s="18">
        <v>15049</v>
      </c>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387492</v>
      </c>
      <c r="G111" s="41">
        <f>SUM(G96:G110)</f>
        <v>72419</v>
      </c>
      <c r="H111" s="41">
        <f>SUM(H96:H110)</f>
        <v>98261</v>
      </c>
      <c r="I111" s="41">
        <f>SUM(I96:I110)</f>
        <v>15049</v>
      </c>
      <c r="J111" s="41">
        <f>SUM(J96:J110)</f>
        <v>834</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16150019</v>
      </c>
      <c r="G112" s="41">
        <f>G60+G111</f>
        <v>72419</v>
      </c>
      <c r="H112" s="41">
        <f>H60+H79+H94+H111</f>
        <v>98261</v>
      </c>
      <c r="I112" s="41">
        <f>I60+I111</f>
        <v>15049</v>
      </c>
      <c r="J112" s="41">
        <f>J60+J111</f>
        <v>834</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2689160</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1434605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4123765</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308245</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10742</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v>3550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f>53+14008+338+11651+290+9959+882</f>
        <v>37181</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v>4000</v>
      </c>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318987</v>
      </c>
      <c r="G136" s="41">
        <f>SUM(G123:G135)</f>
        <v>37181</v>
      </c>
      <c r="H136" s="41">
        <f>SUM(H123:H135)</f>
        <v>7550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4442752</v>
      </c>
      <c r="G140" s="41">
        <f>G121+SUM(G136:G137)</f>
        <v>37181</v>
      </c>
      <c r="H140" s="41">
        <f>H121+SUM(H136:H139)</f>
        <v>7550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55538</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52265</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523930</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256291+592+5139+4808-1</f>
        <v>266829</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193027</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88+93422+3913+41742+6008+6+20450+21832</f>
        <v>187461</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193027</v>
      </c>
      <c r="G163" s="41">
        <f>SUM(G150:G162)</f>
        <v>523930</v>
      </c>
      <c r="H163" s="41">
        <f>SUM(H150:H162)</f>
        <v>562093</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193027</v>
      </c>
      <c r="G170" s="41">
        <f>G147+G163+SUM(G164:G169)</f>
        <v>523930</v>
      </c>
      <c r="H170" s="41">
        <f>H147+H163+SUM(H164:H169)</f>
        <v>562093</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v>4796692</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4796692</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v>1958</v>
      </c>
      <c r="I180" s="18">
        <v>68127</v>
      </c>
      <c r="J180" s="18">
        <v>175000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1958</v>
      </c>
      <c r="I184" s="41">
        <f>SUM(I180:I183)</f>
        <v>68127</v>
      </c>
      <c r="J184" s="41">
        <f>SUM(J180:J183)</f>
        <v>175000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1958</v>
      </c>
      <c r="I193" s="41">
        <f>I178+I184+SUM(I189:I192)</f>
        <v>4864819</v>
      </c>
      <c r="J193" s="41">
        <f>J184</f>
        <v>175000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20785798</v>
      </c>
      <c r="G194" s="47">
        <f>G112+G140+G170+G193</f>
        <v>633530</v>
      </c>
      <c r="H194" s="47">
        <f>H112+H140+H170+H193</f>
        <v>669862</v>
      </c>
      <c r="I194" s="47">
        <f>I112+I140+I170+I193</f>
        <v>4879868</v>
      </c>
      <c r="J194" s="47">
        <f>J112+J140+J193</f>
        <v>175834</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2679021</v>
      </c>
      <c r="G198" s="18">
        <v>1520802</v>
      </c>
      <c r="H198" s="18">
        <v>9840</v>
      </c>
      <c r="I198" s="18">
        <v>84849</v>
      </c>
      <c r="J198" s="18"/>
      <c r="K198" s="18"/>
      <c r="L198" s="19">
        <f>SUM(F198:K198)</f>
        <v>4294512</v>
      </c>
      <c r="M198" s="8"/>
      <c r="N198" s="265"/>
    </row>
    <row r="199" spans="1:14" s="3" customFormat="1" ht="12.2" customHeight="1" x14ac:dyDescent="0.15">
      <c r="A199" s="1" t="s">
        <v>439</v>
      </c>
      <c r="B199" s="2" t="s">
        <v>341</v>
      </c>
      <c r="C199" s="2" t="s">
        <v>291</v>
      </c>
      <c r="D199" s="2" t="s">
        <v>431</v>
      </c>
      <c r="E199" s="6">
        <v>1200</v>
      </c>
      <c r="F199" s="18">
        <v>1249476</v>
      </c>
      <c r="G199" s="18">
        <v>567200</v>
      </c>
      <c r="H199" s="18">
        <f>432918+13342</f>
        <v>446260</v>
      </c>
      <c r="I199" s="18">
        <v>8415</v>
      </c>
      <c r="J199" s="18"/>
      <c r="K199" s="18">
        <v>530</v>
      </c>
      <c r="L199" s="19">
        <f>SUM(F199:K199)</f>
        <v>2271881</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12296</v>
      </c>
      <c r="G201" s="18">
        <v>3168</v>
      </c>
      <c r="H201" s="18"/>
      <c r="I201" s="18"/>
      <c r="J201" s="18"/>
      <c r="K201" s="18"/>
      <c r="L201" s="19">
        <f>SUM(F201:K201)</f>
        <v>15464</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484471</v>
      </c>
      <c r="G203" s="18">
        <v>251742</v>
      </c>
      <c r="H203" s="18">
        <v>97419</v>
      </c>
      <c r="I203" s="18">
        <v>3580</v>
      </c>
      <c r="J203" s="18"/>
      <c r="K203" s="18">
        <v>90</v>
      </c>
      <c r="L203" s="19">
        <f t="shared" ref="L203:L209" si="0">SUM(F203:K203)</f>
        <v>837302</v>
      </c>
      <c r="M203" s="8"/>
      <c r="N203" s="265"/>
    </row>
    <row r="204" spans="1:14" s="3" customFormat="1" ht="12.2" customHeight="1" x14ac:dyDescent="0.15">
      <c r="A204" s="1" t="s">
        <v>443</v>
      </c>
      <c r="B204" s="2" t="s">
        <v>341</v>
      </c>
      <c r="C204" s="2" t="s">
        <v>295</v>
      </c>
      <c r="D204" s="2" t="s">
        <v>431</v>
      </c>
      <c r="E204" s="6">
        <v>2200</v>
      </c>
      <c r="F204" s="18">
        <v>215292</v>
      </c>
      <c r="G204" s="18">
        <v>70920</v>
      </c>
      <c r="H204" s="18">
        <v>53341</v>
      </c>
      <c r="I204" s="18">
        <v>44302</v>
      </c>
      <c r="J204" s="18">
        <v>20238</v>
      </c>
      <c r="K204" s="18">
        <v>12825</v>
      </c>
      <c r="L204" s="19">
        <f t="shared" si="0"/>
        <v>416918</v>
      </c>
      <c r="M204" s="8"/>
      <c r="N204" s="265"/>
    </row>
    <row r="205" spans="1:14" s="3" customFormat="1" ht="12.2" customHeight="1" x14ac:dyDescent="0.15">
      <c r="A205" s="1" t="s">
        <v>444</v>
      </c>
      <c r="B205" s="2" t="s">
        <v>341</v>
      </c>
      <c r="C205" s="2" t="s">
        <v>296</v>
      </c>
      <c r="D205" s="2" t="s">
        <v>431</v>
      </c>
      <c r="E205" s="6">
        <v>2300</v>
      </c>
      <c r="F205" s="18">
        <v>167082</v>
      </c>
      <c r="G205" s="18">
        <v>91091</v>
      </c>
      <c r="H205" s="18">
        <v>49357</v>
      </c>
      <c r="I205" s="18">
        <v>12765</v>
      </c>
      <c r="J205" s="18"/>
      <c r="K205" s="18">
        <f>9699-11</f>
        <v>9688</v>
      </c>
      <c r="L205" s="19">
        <f t="shared" si="0"/>
        <v>329983</v>
      </c>
      <c r="M205" s="8"/>
      <c r="N205" s="265"/>
    </row>
    <row r="206" spans="1:14" s="3" customFormat="1" ht="12.2" customHeight="1" x14ac:dyDescent="0.15">
      <c r="A206" s="1" t="s">
        <v>445</v>
      </c>
      <c r="B206" s="2" t="s">
        <v>341</v>
      </c>
      <c r="C206" s="2" t="s">
        <v>297</v>
      </c>
      <c r="D206" s="2" t="s">
        <v>431</v>
      </c>
      <c r="E206" s="6">
        <v>2400</v>
      </c>
      <c r="F206" s="18">
        <v>316001</v>
      </c>
      <c r="G206" s="18">
        <v>176962</v>
      </c>
      <c r="H206" s="18">
        <v>20747</v>
      </c>
      <c r="I206" s="18">
        <v>1893</v>
      </c>
      <c r="J206" s="18">
        <v>209</v>
      </c>
      <c r="K206" s="18">
        <v>2078</v>
      </c>
      <c r="L206" s="19">
        <f t="shared" si="0"/>
        <v>517890</v>
      </c>
      <c r="M206" s="8"/>
      <c r="N206" s="265"/>
    </row>
    <row r="207" spans="1:14" s="3" customFormat="1" ht="12.2" customHeight="1" x14ac:dyDescent="0.15">
      <c r="A207" s="1" t="s">
        <v>446</v>
      </c>
      <c r="B207" s="2" t="s">
        <v>341</v>
      </c>
      <c r="C207" s="2" t="s">
        <v>298</v>
      </c>
      <c r="D207" s="2" t="s">
        <v>431</v>
      </c>
      <c r="E207" s="6">
        <v>2500</v>
      </c>
      <c r="F207" s="18">
        <v>118753</v>
      </c>
      <c r="G207" s="18">
        <v>52233</v>
      </c>
      <c r="H207" s="18">
        <v>210</v>
      </c>
      <c r="I207" s="18">
        <v>13270</v>
      </c>
      <c r="J207" s="18"/>
      <c r="K207" s="18"/>
      <c r="L207" s="19">
        <f t="shared" si="0"/>
        <v>184466</v>
      </c>
      <c r="M207" s="8"/>
      <c r="N207" s="265"/>
    </row>
    <row r="208" spans="1:14" s="3" customFormat="1" ht="12.2" customHeight="1" x14ac:dyDescent="0.15">
      <c r="A208" s="1" t="s">
        <v>447</v>
      </c>
      <c r="B208" s="2" t="s">
        <v>341</v>
      </c>
      <c r="C208" s="2" t="s">
        <v>299</v>
      </c>
      <c r="D208" s="2" t="s">
        <v>431</v>
      </c>
      <c r="E208" s="6">
        <v>2600</v>
      </c>
      <c r="F208" s="18">
        <v>265583</v>
      </c>
      <c r="G208" s="18">
        <v>152975</v>
      </c>
      <c r="H208" s="18">
        <v>152180</v>
      </c>
      <c r="I208" s="18">
        <v>192629</v>
      </c>
      <c r="J208" s="18">
        <v>72877</v>
      </c>
      <c r="K208" s="18">
        <v>19</v>
      </c>
      <c r="L208" s="19">
        <f t="shared" si="0"/>
        <v>836263</v>
      </c>
      <c r="M208" s="8"/>
      <c r="N208" s="265"/>
    </row>
    <row r="209" spans="1:14" s="3" customFormat="1" ht="12.2" customHeight="1" x14ac:dyDescent="0.15">
      <c r="A209" s="1" t="s">
        <v>448</v>
      </c>
      <c r="B209" s="2" t="s">
        <v>341</v>
      </c>
      <c r="C209" s="2" t="s">
        <v>300</v>
      </c>
      <c r="D209" s="2" t="s">
        <v>431</v>
      </c>
      <c r="E209" s="6">
        <v>2700</v>
      </c>
      <c r="F209" s="18">
        <v>7021</v>
      </c>
      <c r="G209" s="18">
        <v>834</v>
      </c>
      <c r="H209" s="18">
        <v>339757</v>
      </c>
      <c r="I209" s="18">
        <v>648</v>
      </c>
      <c r="J209" s="18"/>
      <c r="K209" s="18">
        <v>84</v>
      </c>
      <c r="L209" s="19">
        <f t="shared" si="0"/>
        <v>348344</v>
      </c>
      <c r="M209" s="8"/>
      <c r="N209" s="265"/>
    </row>
    <row r="210" spans="1:14" s="3" customFormat="1" ht="12.2" customHeight="1" x14ac:dyDescent="0.15">
      <c r="A210" s="1" t="s">
        <v>449</v>
      </c>
      <c r="B210" s="2" t="s">
        <v>341</v>
      </c>
      <c r="C210" s="2" t="s">
        <v>343</v>
      </c>
      <c r="D210" s="2" t="s">
        <v>431</v>
      </c>
      <c r="E210" s="6">
        <v>2800</v>
      </c>
      <c r="F210" s="18">
        <v>89468</v>
      </c>
      <c r="G210" s="18">
        <v>38652</v>
      </c>
      <c r="H210" s="18">
        <v>2228</v>
      </c>
      <c r="I210" s="18">
        <v>2427</v>
      </c>
      <c r="J210" s="18">
        <v>4205</v>
      </c>
      <c r="K210" s="18">
        <v>7071</v>
      </c>
      <c r="L210" s="19">
        <f>SUM(F210:K210)</f>
        <v>144051</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5604464</v>
      </c>
      <c r="G212" s="41">
        <f t="shared" si="1"/>
        <v>2926579</v>
      </c>
      <c r="H212" s="41">
        <f t="shared" si="1"/>
        <v>1171339</v>
      </c>
      <c r="I212" s="41">
        <f t="shared" si="1"/>
        <v>364778</v>
      </c>
      <c r="J212" s="41">
        <f t="shared" si="1"/>
        <v>97529</v>
      </c>
      <c r="K212" s="41">
        <f t="shared" si="1"/>
        <v>32385</v>
      </c>
      <c r="L212" s="41">
        <f t="shared" si="1"/>
        <v>10197074</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788467</v>
      </c>
      <c r="G216" s="18">
        <v>478463</v>
      </c>
      <c r="H216" s="18">
        <v>3651</v>
      </c>
      <c r="I216" s="18">
        <v>15227</v>
      </c>
      <c r="J216" s="18">
        <v>1742</v>
      </c>
      <c r="K216" s="18">
        <v>525</v>
      </c>
      <c r="L216" s="19">
        <f>SUM(F216:K216)</f>
        <v>1288075</v>
      </c>
      <c r="M216" s="8"/>
      <c r="N216" s="265"/>
    </row>
    <row r="217" spans="1:14" s="3" customFormat="1" ht="12.2" customHeight="1" x14ac:dyDescent="0.15">
      <c r="A217" s="1" t="s">
        <v>439</v>
      </c>
      <c r="B217" s="2" t="s">
        <v>346</v>
      </c>
      <c r="C217" s="2" t="s">
        <v>291</v>
      </c>
      <c r="D217" s="2" t="s">
        <v>431</v>
      </c>
      <c r="E217" s="6">
        <v>1200</v>
      </c>
      <c r="F217" s="18">
        <v>371716</v>
      </c>
      <c r="G217" s="18">
        <v>188999</v>
      </c>
      <c r="H217" s="18">
        <f>138896+4084</f>
        <v>142980</v>
      </c>
      <c r="I217" s="18">
        <v>2454</v>
      </c>
      <c r="J217" s="18"/>
      <c r="K217" s="18">
        <v>170</v>
      </c>
      <c r="L217" s="19">
        <f>SUM(F217:K217)</f>
        <v>706319</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v>47272</v>
      </c>
      <c r="G219" s="18">
        <v>13214</v>
      </c>
      <c r="H219" s="18">
        <v>8000</v>
      </c>
      <c r="I219" s="18">
        <v>3846</v>
      </c>
      <c r="J219" s="18"/>
      <c r="K219" s="18">
        <v>1712</v>
      </c>
      <c r="L219" s="19">
        <f>SUM(F219:K219)</f>
        <v>74044</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102227</v>
      </c>
      <c r="G221" s="18">
        <v>49252</v>
      </c>
      <c r="H221" s="18">
        <v>29217</v>
      </c>
      <c r="I221" s="18">
        <v>330</v>
      </c>
      <c r="J221" s="18"/>
      <c r="K221" s="18">
        <v>27</v>
      </c>
      <c r="L221" s="19">
        <f t="shared" ref="L221:L227" si="2">SUM(F221:K221)</f>
        <v>181053</v>
      </c>
      <c r="M221" s="8"/>
      <c r="N221" s="265"/>
    </row>
    <row r="222" spans="1:14" s="3" customFormat="1" ht="12.2" customHeight="1" x14ac:dyDescent="0.15">
      <c r="A222" s="1" t="s">
        <v>443</v>
      </c>
      <c r="B222" s="2" t="s">
        <v>346</v>
      </c>
      <c r="C222" s="2" t="s">
        <v>295</v>
      </c>
      <c r="D222" s="2" t="s">
        <v>431</v>
      </c>
      <c r="E222" s="6">
        <v>2200</v>
      </c>
      <c r="F222" s="18">
        <v>37167</v>
      </c>
      <c r="G222" s="18">
        <v>19405</v>
      </c>
      <c r="H222" s="18">
        <v>11409</v>
      </c>
      <c r="I222" s="18">
        <v>19529</v>
      </c>
      <c r="J222" s="18">
        <v>6884</v>
      </c>
      <c r="K222" s="18">
        <v>4571</v>
      </c>
      <c r="L222" s="19">
        <f t="shared" si="2"/>
        <v>98965</v>
      </c>
      <c r="M222" s="8"/>
      <c r="N222" s="265"/>
    </row>
    <row r="223" spans="1:14" s="3" customFormat="1" ht="12.2" customHeight="1" x14ac:dyDescent="0.15">
      <c r="A223" s="1" t="s">
        <v>444</v>
      </c>
      <c r="B223" s="2" t="s">
        <v>346</v>
      </c>
      <c r="C223" s="2" t="s">
        <v>296</v>
      </c>
      <c r="D223" s="2" t="s">
        <v>431</v>
      </c>
      <c r="E223" s="6">
        <v>2300</v>
      </c>
      <c r="F223" s="18">
        <v>50110</v>
      </c>
      <c r="G223" s="18">
        <v>27319</v>
      </c>
      <c r="H223" s="18">
        <v>14803</v>
      </c>
      <c r="I223" s="18">
        <v>3828</v>
      </c>
      <c r="J223" s="18"/>
      <c r="K223" s="18">
        <f>2909-3</f>
        <v>2906</v>
      </c>
      <c r="L223" s="19">
        <f t="shared" si="2"/>
        <v>98966</v>
      </c>
      <c r="M223" s="8"/>
      <c r="N223" s="265"/>
    </row>
    <row r="224" spans="1:14" s="3" customFormat="1" ht="12.2" customHeight="1" x14ac:dyDescent="0.15">
      <c r="A224" s="1" t="s">
        <v>445</v>
      </c>
      <c r="B224" s="2" t="s">
        <v>346</v>
      </c>
      <c r="C224" s="2" t="s">
        <v>297</v>
      </c>
      <c r="D224" s="2" t="s">
        <v>431</v>
      </c>
      <c r="E224" s="6">
        <v>2400</v>
      </c>
      <c r="F224" s="18">
        <v>102193</v>
      </c>
      <c r="G224" s="18">
        <v>47350</v>
      </c>
      <c r="H224" s="18">
        <v>3977</v>
      </c>
      <c r="I224" s="18">
        <v>384</v>
      </c>
      <c r="J224" s="18"/>
      <c r="K224" s="18">
        <v>971</v>
      </c>
      <c r="L224" s="19">
        <f t="shared" si="2"/>
        <v>154875</v>
      </c>
      <c r="M224" s="8"/>
      <c r="N224" s="265"/>
    </row>
    <row r="225" spans="1:14" s="3" customFormat="1" ht="12.2" customHeight="1" x14ac:dyDescent="0.15">
      <c r="A225" s="1" t="s">
        <v>446</v>
      </c>
      <c r="B225" s="2" t="s">
        <v>346</v>
      </c>
      <c r="C225" s="2" t="s">
        <v>298</v>
      </c>
      <c r="D225" s="2" t="s">
        <v>431</v>
      </c>
      <c r="E225" s="6">
        <v>2500</v>
      </c>
      <c r="F225" s="18">
        <v>35626</v>
      </c>
      <c r="G225" s="18">
        <v>15670</v>
      </c>
      <c r="H225" s="18">
        <v>63</v>
      </c>
      <c r="I225" s="18">
        <v>3981</v>
      </c>
      <c r="J225" s="18"/>
      <c r="K225" s="18"/>
      <c r="L225" s="19">
        <f t="shared" si="2"/>
        <v>55340</v>
      </c>
      <c r="M225" s="8"/>
      <c r="N225" s="265"/>
    </row>
    <row r="226" spans="1:14" s="3" customFormat="1" ht="12.2" customHeight="1" x14ac:dyDescent="0.15">
      <c r="A226" s="1" t="s">
        <v>447</v>
      </c>
      <c r="B226" s="2" t="s">
        <v>346</v>
      </c>
      <c r="C226" s="2" t="s">
        <v>299</v>
      </c>
      <c r="D226" s="2" t="s">
        <v>431</v>
      </c>
      <c r="E226" s="6">
        <v>2600</v>
      </c>
      <c r="F226" s="18">
        <v>68111</v>
      </c>
      <c r="G226" s="18">
        <v>34894</v>
      </c>
      <c r="H226" s="18">
        <v>28580</v>
      </c>
      <c r="I226" s="18">
        <v>46131</v>
      </c>
      <c r="J226" s="18">
        <v>26759</v>
      </c>
      <c r="K226" s="18">
        <v>6</v>
      </c>
      <c r="L226" s="19">
        <f t="shared" si="2"/>
        <v>204481</v>
      </c>
      <c r="M226" s="8"/>
      <c r="N226" s="265"/>
    </row>
    <row r="227" spans="1:14" s="3" customFormat="1" ht="12.2" customHeight="1" x14ac:dyDescent="0.15">
      <c r="A227" s="1" t="s">
        <v>448</v>
      </c>
      <c r="B227" s="2" t="s">
        <v>346</v>
      </c>
      <c r="C227" s="2" t="s">
        <v>300</v>
      </c>
      <c r="D227" s="2" t="s">
        <v>431</v>
      </c>
      <c r="E227" s="6">
        <v>2700</v>
      </c>
      <c r="F227" s="18">
        <v>1903</v>
      </c>
      <c r="G227" s="18">
        <v>240</v>
      </c>
      <c r="H227" s="18">
        <v>116641</v>
      </c>
      <c r="I227" s="18">
        <v>194</v>
      </c>
      <c r="J227" s="18"/>
      <c r="K227" s="18">
        <v>25</v>
      </c>
      <c r="L227" s="19">
        <f t="shared" si="2"/>
        <v>119003</v>
      </c>
      <c r="M227" s="8"/>
      <c r="N227" s="265"/>
    </row>
    <row r="228" spans="1:14" s="3" customFormat="1" ht="12.2" customHeight="1" x14ac:dyDescent="0.15">
      <c r="A228" s="1" t="s">
        <v>449</v>
      </c>
      <c r="B228" s="2" t="s">
        <v>346</v>
      </c>
      <c r="C228" s="2" t="s">
        <v>343</v>
      </c>
      <c r="D228" s="2" t="s">
        <v>431</v>
      </c>
      <c r="E228" s="6">
        <v>2800</v>
      </c>
      <c r="F228" s="18">
        <v>26840</v>
      </c>
      <c r="G228" s="18">
        <v>11596</v>
      </c>
      <c r="H228" s="18">
        <v>668</v>
      </c>
      <c r="I228" s="18">
        <v>728</v>
      </c>
      <c r="J228" s="18">
        <v>1262</v>
      </c>
      <c r="K228" s="18">
        <v>2121</v>
      </c>
      <c r="L228" s="19">
        <f>SUM(F228:K228)</f>
        <v>43215</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1631632</v>
      </c>
      <c r="G230" s="41">
        <f>SUM(G216:G229)</f>
        <v>886402</v>
      </c>
      <c r="H230" s="41">
        <f>SUM(H216:H229)</f>
        <v>359989</v>
      </c>
      <c r="I230" s="41">
        <f>SUM(I216:I229)</f>
        <v>96632</v>
      </c>
      <c r="J230" s="41">
        <f>SUM(J216:J229)</f>
        <v>36647</v>
      </c>
      <c r="K230" s="41">
        <f t="shared" si="3"/>
        <v>13034</v>
      </c>
      <c r="L230" s="41">
        <f t="shared" si="3"/>
        <v>3024336</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1751403</v>
      </c>
      <c r="G234" s="18">
        <v>1022724</v>
      </c>
      <c r="H234" s="18">
        <v>11498</v>
      </c>
      <c r="I234" s="18">
        <v>56147</v>
      </c>
      <c r="J234" s="18">
        <v>6940</v>
      </c>
      <c r="K234" s="18">
        <v>1075</v>
      </c>
      <c r="L234" s="19">
        <f>SUM(F234:K234)</f>
        <v>2849787</v>
      </c>
      <c r="M234" s="8"/>
      <c r="N234" s="265"/>
    </row>
    <row r="235" spans="1:14" s="3" customFormat="1" ht="12.2" customHeight="1" x14ac:dyDescent="0.15">
      <c r="A235" s="1" t="s">
        <v>439</v>
      </c>
      <c r="B235" s="2" t="s">
        <v>350</v>
      </c>
      <c r="C235" s="2" t="s">
        <v>291</v>
      </c>
      <c r="D235" s="2" t="s">
        <v>431</v>
      </c>
      <c r="E235" s="6">
        <v>1200</v>
      </c>
      <c r="F235" s="18">
        <v>355102</v>
      </c>
      <c r="G235" s="18">
        <v>170182</v>
      </c>
      <c r="H235" s="18">
        <f>245033+9803</f>
        <v>254836</v>
      </c>
      <c r="I235" s="18">
        <v>4847</v>
      </c>
      <c r="J235" s="18"/>
      <c r="K235" s="18">
        <v>300</v>
      </c>
      <c r="L235" s="19">
        <f>SUM(F235:K235)</f>
        <v>785267</v>
      </c>
      <c r="M235" s="8"/>
      <c r="N235" s="265"/>
    </row>
    <row r="236" spans="1:14" s="3" customFormat="1" ht="12.2" customHeight="1" x14ac:dyDescent="0.15">
      <c r="A236" s="1" t="s">
        <v>440</v>
      </c>
      <c r="B236" s="2" t="s">
        <v>350</v>
      </c>
      <c r="C236" s="2" t="s">
        <v>292</v>
      </c>
      <c r="D236" s="2" t="s">
        <v>431</v>
      </c>
      <c r="E236" s="6">
        <v>1300</v>
      </c>
      <c r="F236" s="18"/>
      <c r="G236" s="18"/>
      <c r="H236" s="18">
        <f>48148+30847</f>
        <v>78995</v>
      </c>
      <c r="I236" s="18"/>
      <c r="J236" s="18"/>
      <c r="K236" s="18"/>
      <c r="L236" s="19">
        <f>SUM(F236:K236)</f>
        <v>78995</v>
      </c>
      <c r="M236" s="8"/>
      <c r="N236" s="265"/>
    </row>
    <row r="237" spans="1:14" s="3" customFormat="1" ht="12.2" customHeight="1" x14ac:dyDescent="0.15">
      <c r="A237" s="1" t="s">
        <v>441</v>
      </c>
      <c r="B237" s="2" t="s">
        <v>350</v>
      </c>
      <c r="C237" s="2" t="s">
        <v>293</v>
      </c>
      <c r="D237" s="2" t="s">
        <v>431</v>
      </c>
      <c r="E237" s="6">
        <v>1400</v>
      </c>
      <c r="F237" s="18">
        <v>183463</v>
      </c>
      <c r="G237" s="18">
        <v>43150</v>
      </c>
      <c r="H237" s="18">
        <v>74495</v>
      </c>
      <c r="I237" s="18">
        <v>14013</v>
      </c>
      <c r="J237" s="18">
        <v>1835</v>
      </c>
      <c r="K237" s="18">
        <v>16727</v>
      </c>
      <c r="L237" s="19">
        <f>SUM(F237:K237)</f>
        <v>333683</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323155</v>
      </c>
      <c r="G239" s="18">
        <v>152843</v>
      </c>
      <c r="H239" s="18">
        <v>68172</v>
      </c>
      <c r="I239" s="18">
        <v>1466</v>
      </c>
      <c r="J239" s="18"/>
      <c r="K239" s="18">
        <v>1407</v>
      </c>
      <c r="L239" s="19">
        <f t="shared" ref="L239:L245" si="4">SUM(F239:K239)</f>
        <v>547043</v>
      </c>
      <c r="M239" s="8"/>
      <c r="N239" s="265"/>
    </row>
    <row r="240" spans="1:14" s="3" customFormat="1" ht="12.2" customHeight="1" x14ac:dyDescent="0.15">
      <c r="A240" s="1" t="s">
        <v>443</v>
      </c>
      <c r="B240" s="2" t="s">
        <v>350</v>
      </c>
      <c r="C240" s="2" t="s">
        <v>295</v>
      </c>
      <c r="D240" s="2" t="s">
        <v>431</v>
      </c>
      <c r="E240" s="6">
        <v>2200</v>
      </c>
      <c r="F240" s="18">
        <v>84700</v>
      </c>
      <c r="G240" s="18">
        <v>44795</v>
      </c>
      <c r="H240" s="18">
        <v>43147</v>
      </c>
      <c r="I240" s="18">
        <v>45483</v>
      </c>
      <c r="J240" s="18">
        <v>23684</v>
      </c>
      <c r="K240" s="18">
        <v>10666</v>
      </c>
      <c r="L240" s="19">
        <f t="shared" si="4"/>
        <v>252475</v>
      </c>
      <c r="M240" s="8"/>
      <c r="N240" s="265"/>
    </row>
    <row r="241" spans="1:14" s="3" customFormat="1" ht="12.2" customHeight="1" x14ac:dyDescent="0.15">
      <c r="A241" s="1" t="s">
        <v>444</v>
      </c>
      <c r="B241" s="2" t="s">
        <v>350</v>
      </c>
      <c r="C241" s="2" t="s">
        <v>296</v>
      </c>
      <c r="D241" s="2" t="s">
        <v>431</v>
      </c>
      <c r="E241" s="6">
        <v>2300</v>
      </c>
      <c r="F241" s="18">
        <v>120529</v>
      </c>
      <c r="G241" s="18">
        <v>65711</v>
      </c>
      <c r="H241" s="18">
        <v>35605</v>
      </c>
      <c r="I241" s="18">
        <v>9208</v>
      </c>
      <c r="J241" s="18"/>
      <c r="K241" s="18">
        <f>6997-7</f>
        <v>6990</v>
      </c>
      <c r="L241" s="19">
        <f t="shared" si="4"/>
        <v>238043</v>
      </c>
      <c r="M241" s="8"/>
      <c r="N241" s="265"/>
    </row>
    <row r="242" spans="1:14" s="3" customFormat="1" ht="12.2" customHeight="1" x14ac:dyDescent="0.15">
      <c r="A242" s="1" t="s">
        <v>445</v>
      </c>
      <c r="B242" s="2" t="s">
        <v>350</v>
      </c>
      <c r="C242" s="2" t="s">
        <v>297</v>
      </c>
      <c r="D242" s="2" t="s">
        <v>431</v>
      </c>
      <c r="E242" s="6">
        <v>2400</v>
      </c>
      <c r="F242" s="18">
        <v>213331</v>
      </c>
      <c r="G242" s="18">
        <v>103530</v>
      </c>
      <c r="H242" s="18">
        <v>16381</v>
      </c>
      <c r="I242" s="18">
        <v>12909</v>
      </c>
      <c r="J242" s="18">
        <v>1500</v>
      </c>
      <c r="K242" s="18">
        <v>1929</v>
      </c>
      <c r="L242" s="19">
        <f t="shared" si="4"/>
        <v>349580</v>
      </c>
      <c r="M242" s="8"/>
      <c r="N242" s="265"/>
    </row>
    <row r="243" spans="1:14" s="3" customFormat="1" ht="12.2" customHeight="1" x14ac:dyDescent="0.15">
      <c r="A243" s="1" t="s">
        <v>446</v>
      </c>
      <c r="B243" s="2" t="s">
        <v>350</v>
      </c>
      <c r="C243" s="2" t="s">
        <v>298</v>
      </c>
      <c r="D243" s="2" t="s">
        <v>431</v>
      </c>
      <c r="E243" s="6">
        <v>2500</v>
      </c>
      <c r="F243" s="18">
        <v>83127</v>
      </c>
      <c r="G243" s="18">
        <v>36563</v>
      </c>
      <c r="H243" s="18">
        <v>147</v>
      </c>
      <c r="I243" s="18">
        <v>9289</v>
      </c>
      <c r="J243" s="18"/>
      <c r="K243" s="18"/>
      <c r="L243" s="19">
        <f t="shared" si="4"/>
        <v>129126</v>
      </c>
      <c r="M243" s="8"/>
      <c r="N243" s="265"/>
    </row>
    <row r="244" spans="1:14" s="3" customFormat="1" ht="12.2" customHeight="1" x14ac:dyDescent="0.15">
      <c r="A244" s="1" t="s">
        <v>447</v>
      </c>
      <c r="B244" s="2" t="s">
        <v>350</v>
      </c>
      <c r="C244" s="2" t="s">
        <v>299</v>
      </c>
      <c r="D244" s="2" t="s">
        <v>431</v>
      </c>
      <c r="E244" s="6">
        <v>2600</v>
      </c>
      <c r="F244" s="18">
        <v>144903</v>
      </c>
      <c r="G244" s="18">
        <v>80574</v>
      </c>
      <c r="H244" s="18">
        <v>68212</v>
      </c>
      <c r="I244" s="18">
        <v>107562</v>
      </c>
      <c r="J244" s="18">
        <v>62438</v>
      </c>
      <c r="K244" s="18">
        <v>13</v>
      </c>
      <c r="L244" s="19">
        <f t="shared" si="4"/>
        <v>463702</v>
      </c>
      <c r="M244" s="8"/>
      <c r="N244" s="265"/>
    </row>
    <row r="245" spans="1:14" s="3" customFormat="1" ht="12.2" customHeight="1" x14ac:dyDescent="0.15">
      <c r="A245" s="1" t="s">
        <v>448</v>
      </c>
      <c r="B245" s="2" t="s">
        <v>350</v>
      </c>
      <c r="C245" s="2" t="s">
        <v>300</v>
      </c>
      <c r="D245" s="2" t="s">
        <v>431</v>
      </c>
      <c r="E245" s="6">
        <v>2700</v>
      </c>
      <c r="F245" s="18">
        <v>3358</v>
      </c>
      <c r="G245" s="18">
        <v>423</v>
      </c>
      <c r="H245" s="18">
        <v>321498</v>
      </c>
      <c r="I245" s="18">
        <v>454</v>
      </c>
      <c r="J245" s="18"/>
      <c r="K245" s="18">
        <v>59</v>
      </c>
      <c r="L245" s="19">
        <f t="shared" si="4"/>
        <v>325792</v>
      </c>
      <c r="M245" s="8"/>
      <c r="N245" s="265"/>
    </row>
    <row r="246" spans="1:14" s="3" customFormat="1" ht="12.2" customHeight="1" x14ac:dyDescent="0.15">
      <c r="A246" s="1" t="s">
        <v>449</v>
      </c>
      <c r="B246" s="2" t="s">
        <v>350</v>
      </c>
      <c r="C246" s="2" t="s">
        <v>343</v>
      </c>
      <c r="D246" s="2" t="s">
        <v>431</v>
      </c>
      <c r="E246" s="6">
        <v>2800</v>
      </c>
      <c r="F246" s="18">
        <v>62628</v>
      </c>
      <c r="G246" s="18">
        <v>27057</v>
      </c>
      <c r="H246" s="18">
        <v>1559</v>
      </c>
      <c r="I246" s="18">
        <v>1699</v>
      </c>
      <c r="J246" s="18">
        <v>2943</v>
      </c>
      <c r="K246" s="18">
        <v>4950</v>
      </c>
      <c r="L246" s="19">
        <f>SUM(F246:K246)</f>
        <v>100836</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3325699</v>
      </c>
      <c r="G248" s="41">
        <f t="shared" si="5"/>
        <v>1747552</v>
      </c>
      <c r="H248" s="41">
        <f t="shared" si="5"/>
        <v>974545</v>
      </c>
      <c r="I248" s="41">
        <f t="shared" si="5"/>
        <v>263077</v>
      </c>
      <c r="J248" s="41">
        <f t="shared" si="5"/>
        <v>99340</v>
      </c>
      <c r="K248" s="41">
        <f t="shared" si="5"/>
        <v>44116</v>
      </c>
      <c r="L248" s="41">
        <f t="shared" si="5"/>
        <v>6454329</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f>119000-101250</f>
        <v>17750</v>
      </c>
      <c r="K256" s="18"/>
      <c r="L256" s="19">
        <f t="shared" si="6"/>
        <v>17750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17750</v>
      </c>
      <c r="K257" s="41">
        <f t="shared" si="7"/>
        <v>0</v>
      </c>
      <c r="L257" s="41">
        <f>SUM(F257:K257)</f>
        <v>17750</v>
      </c>
      <c r="M257" s="8"/>
      <c r="N257" s="265"/>
    </row>
    <row r="258" spans="1:14" s="3" customFormat="1" ht="12.2" customHeight="1" thickTop="1" x14ac:dyDescent="0.15">
      <c r="A258" s="38" t="s">
        <v>462</v>
      </c>
      <c r="B258" s="40">
        <v>10</v>
      </c>
      <c r="C258" s="40">
        <v>8</v>
      </c>
      <c r="D258" s="39" t="s">
        <v>431</v>
      </c>
      <c r="E258" s="40"/>
      <c r="F258" s="41">
        <f t="shared" ref="F258:L258" si="8">F212+F230+F248+F257</f>
        <v>10561795</v>
      </c>
      <c r="G258" s="41">
        <f t="shared" si="8"/>
        <v>5560533</v>
      </c>
      <c r="H258" s="41">
        <f t="shared" si="8"/>
        <v>2505873</v>
      </c>
      <c r="I258" s="41">
        <f t="shared" si="8"/>
        <v>724487</v>
      </c>
      <c r="J258" s="41">
        <f t="shared" si="8"/>
        <v>251266</v>
      </c>
      <c r="K258" s="41">
        <f t="shared" si="8"/>
        <v>89535</v>
      </c>
      <c r="L258" s="41">
        <f t="shared" si="8"/>
        <v>19693489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142775</v>
      </c>
      <c r="L261" s="19">
        <f>SUM(F261:K261)</f>
        <v>142775</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232583</v>
      </c>
      <c r="L262" s="19">
        <f>SUM(F262:K262)</f>
        <v>232583</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1958</v>
      </c>
      <c r="L265" s="19">
        <f t="shared" ref="L265:L271" si="9">SUM(F265:K265)</f>
        <v>1958</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68127</v>
      </c>
      <c r="L266" s="19">
        <f t="shared" si="9"/>
        <v>68127</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f>150000+25000</f>
        <v>175000</v>
      </c>
      <c r="L267" s="19">
        <f t="shared" si="9"/>
        <v>175000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620443</v>
      </c>
      <c r="L271" s="41">
        <f t="shared" si="9"/>
        <v>620443</v>
      </c>
      <c r="M271" s="8"/>
      <c r="N271" s="265"/>
    </row>
    <row r="272" spans="1:14" s="34" customFormat="1" ht="12.2" customHeight="1" thickTop="1" x14ac:dyDescent="0.2">
      <c r="A272" s="43" t="s">
        <v>464</v>
      </c>
      <c r="B272" s="40">
        <v>10</v>
      </c>
      <c r="C272" s="40">
        <v>18</v>
      </c>
      <c r="D272" s="39" t="s">
        <v>431</v>
      </c>
      <c r="E272" s="40"/>
      <c r="F272" s="42">
        <f t="shared" ref="F272:L272" si="11">F258+F271</f>
        <v>10561795</v>
      </c>
      <c r="G272" s="42">
        <f t="shared" si="11"/>
        <v>5560533</v>
      </c>
      <c r="H272" s="42">
        <f t="shared" si="11"/>
        <v>2505873</v>
      </c>
      <c r="I272" s="42">
        <f t="shared" si="11"/>
        <v>724487</v>
      </c>
      <c r="J272" s="42">
        <f t="shared" si="11"/>
        <v>251266</v>
      </c>
      <c r="K272" s="42">
        <f t="shared" si="11"/>
        <v>709978</v>
      </c>
      <c r="L272" s="42">
        <f t="shared" si="11"/>
        <v>20313932</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127886</v>
      </c>
      <c r="G277" s="18">
        <v>62003</v>
      </c>
      <c r="H277" s="18">
        <f>2859</f>
        <v>2859</v>
      </c>
      <c r="I277" s="18">
        <f>12034+5483</f>
        <v>17517</v>
      </c>
      <c r="J277" s="18"/>
      <c r="K277" s="18">
        <v>5001</v>
      </c>
      <c r="L277" s="19">
        <f>SUM(F277:K277)</f>
        <v>215266</v>
      </c>
      <c r="M277" s="8"/>
      <c r="N277" s="265"/>
    </row>
    <row r="278" spans="1:14" s="3" customFormat="1" ht="12.2" customHeight="1" x14ac:dyDescent="0.15">
      <c r="A278" s="1" t="s">
        <v>439</v>
      </c>
      <c r="B278" s="2" t="s">
        <v>357</v>
      </c>
      <c r="C278" s="2" t="s">
        <v>291</v>
      </c>
      <c r="D278" s="2" t="s">
        <v>431</v>
      </c>
      <c r="E278" s="6">
        <v>1200</v>
      </c>
      <c r="F278" s="18">
        <v>69292</v>
      </c>
      <c r="G278" s="18">
        <v>45892</v>
      </c>
      <c r="H278" s="18">
        <v>14164</v>
      </c>
      <c r="I278" s="18">
        <v>5459</v>
      </c>
      <c r="J278" s="18">
        <v>98</v>
      </c>
      <c r="K278" s="18"/>
      <c r="L278" s="19">
        <f>SUM(F278:K278)</f>
        <v>134905</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4947</v>
      </c>
      <c r="G282" s="18">
        <v>1415</v>
      </c>
      <c r="H282" s="18"/>
      <c r="I282" s="18"/>
      <c r="J282" s="18"/>
      <c r="K282" s="18"/>
      <c r="L282" s="19">
        <f t="shared" ref="L282:L288" si="12">SUM(F282:K282)</f>
        <v>6362</v>
      </c>
      <c r="M282" s="8"/>
      <c r="N282" s="265"/>
    </row>
    <row r="283" spans="1:14" s="3" customFormat="1" ht="12.2" customHeight="1" x14ac:dyDescent="0.15">
      <c r="A283" s="1" t="s">
        <v>443</v>
      </c>
      <c r="B283" s="2" t="s">
        <v>357</v>
      </c>
      <c r="C283" s="2" t="s">
        <v>295</v>
      </c>
      <c r="D283" s="2" t="s">
        <v>431</v>
      </c>
      <c r="E283" s="6">
        <v>2200</v>
      </c>
      <c r="F283" s="18">
        <v>449</v>
      </c>
      <c r="G283" s="18">
        <v>128</v>
      </c>
      <c r="H283" s="18">
        <f>8714+5023</f>
        <v>13737</v>
      </c>
      <c r="I283" s="18">
        <v>5083</v>
      </c>
      <c r="J283" s="18">
        <v>26563</v>
      </c>
      <c r="K283" s="18">
        <v>3239</v>
      </c>
      <c r="L283" s="19">
        <f t="shared" si="12"/>
        <v>49199</v>
      </c>
      <c r="M283" s="8"/>
      <c r="N283" s="265"/>
    </row>
    <row r="284" spans="1:14" s="3" customFormat="1" ht="12.2" customHeight="1" x14ac:dyDescent="0.15">
      <c r="A284" s="1" t="s">
        <v>444</v>
      </c>
      <c r="B284" s="2" t="s">
        <v>357</v>
      </c>
      <c r="C284" s="2" t="s">
        <v>296</v>
      </c>
      <c r="D284" s="2" t="s">
        <v>431</v>
      </c>
      <c r="E284" s="6">
        <v>2300</v>
      </c>
      <c r="F284" s="18"/>
      <c r="G284" s="18"/>
      <c r="H284" s="18"/>
      <c r="I284" s="18">
        <v>231</v>
      </c>
      <c r="J284" s="18"/>
      <c r="K284" s="18">
        <v>735</v>
      </c>
      <c r="L284" s="19">
        <f t="shared" si="12"/>
        <v>966</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v>6164</v>
      </c>
      <c r="I287" s="18">
        <v>8259</v>
      </c>
      <c r="J287" s="18"/>
      <c r="K287" s="18"/>
      <c r="L287" s="19">
        <f t="shared" si="12"/>
        <v>14423</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202574</v>
      </c>
      <c r="G291" s="42">
        <f t="shared" si="13"/>
        <v>109438</v>
      </c>
      <c r="H291" s="42">
        <f t="shared" si="13"/>
        <v>36924</v>
      </c>
      <c r="I291" s="42">
        <f t="shared" si="13"/>
        <v>36549</v>
      </c>
      <c r="J291" s="42">
        <f t="shared" si="13"/>
        <v>26661</v>
      </c>
      <c r="K291" s="42">
        <f t="shared" si="13"/>
        <v>8975</v>
      </c>
      <c r="L291" s="41">
        <f t="shared" si="13"/>
        <v>421121</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538</v>
      </c>
      <c r="G296" s="18">
        <v>43</v>
      </c>
      <c r="H296" s="18"/>
      <c r="I296" s="18">
        <f>1694+137</f>
        <v>1831</v>
      </c>
      <c r="J296" s="18"/>
      <c r="K296" s="18">
        <v>1366</v>
      </c>
      <c r="L296" s="19">
        <f>SUM(F296:K296)</f>
        <v>3778</v>
      </c>
      <c r="M296" s="8"/>
      <c r="N296" s="265"/>
    </row>
    <row r="297" spans="1:14" s="3" customFormat="1" ht="12.2" customHeight="1" x14ac:dyDescent="0.15">
      <c r="A297" s="1" t="s">
        <v>439</v>
      </c>
      <c r="B297" s="2" t="s">
        <v>358</v>
      </c>
      <c r="C297" s="2" t="s">
        <v>291</v>
      </c>
      <c r="D297" s="2" t="s">
        <v>431</v>
      </c>
      <c r="E297" s="6">
        <v>1200</v>
      </c>
      <c r="F297" s="18">
        <v>19356</v>
      </c>
      <c r="G297" s="18">
        <v>13648</v>
      </c>
      <c r="H297" s="18">
        <v>4248</v>
      </c>
      <c r="I297" s="18">
        <v>1460</v>
      </c>
      <c r="J297" s="18">
        <v>29</v>
      </c>
      <c r="K297" s="18"/>
      <c r="L297" s="19">
        <f>SUM(F297:K297)</f>
        <v>38741</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1484</v>
      </c>
      <c r="G301" s="18">
        <v>424</v>
      </c>
      <c r="H301" s="18">
        <v>1370</v>
      </c>
      <c r="I301" s="18"/>
      <c r="J301" s="18"/>
      <c r="K301" s="18"/>
      <c r="L301" s="19">
        <f t="shared" ref="L301:L307" si="14">SUM(F301:K301)</f>
        <v>3278</v>
      </c>
      <c r="M301" s="8"/>
      <c r="N301" s="265"/>
    </row>
    <row r="302" spans="1:14" s="3" customFormat="1" ht="12.2" customHeight="1" x14ac:dyDescent="0.15">
      <c r="A302" s="1" t="s">
        <v>443</v>
      </c>
      <c r="B302" s="2" t="s">
        <v>358</v>
      </c>
      <c r="C302" s="2" t="s">
        <v>295</v>
      </c>
      <c r="D302" s="2" t="s">
        <v>431</v>
      </c>
      <c r="E302" s="6">
        <v>2200</v>
      </c>
      <c r="F302" s="18">
        <v>135</v>
      </c>
      <c r="G302" s="18">
        <v>38</v>
      </c>
      <c r="H302" s="18">
        <f>2613+1726</f>
        <v>4339</v>
      </c>
      <c r="I302" s="18">
        <v>3010</v>
      </c>
      <c r="J302" s="18">
        <v>2691</v>
      </c>
      <c r="K302" s="18">
        <v>971</v>
      </c>
      <c r="L302" s="19">
        <f t="shared" si="14"/>
        <v>11184</v>
      </c>
      <c r="M302" s="8"/>
      <c r="N302" s="265"/>
    </row>
    <row r="303" spans="1:14" s="3" customFormat="1" ht="12.2" customHeight="1" x14ac:dyDescent="0.15">
      <c r="A303" s="1" t="s">
        <v>444</v>
      </c>
      <c r="B303" s="2" t="s">
        <v>358</v>
      </c>
      <c r="C303" s="2" t="s">
        <v>296</v>
      </c>
      <c r="D303" s="2" t="s">
        <v>431</v>
      </c>
      <c r="E303" s="6">
        <v>2300</v>
      </c>
      <c r="F303" s="18"/>
      <c r="G303" s="18"/>
      <c r="H303" s="18"/>
      <c r="I303" s="18">
        <v>75</v>
      </c>
      <c r="J303" s="18"/>
      <c r="K303" s="18">
        <v>240</v>
      </c>
      <c r="L303" s="19">
        <f t="shared" si="14"/>
        <v>315</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v>1849</v>
      </c>
      <c r="I306" s="18">
        <v>2477</v>
      </c>
      <c r="J306" s="18"/>
      <c r="K306" s="18"/>
      <c r="L306" s="19">
        <f t="shared" si="14"/>
        <v>4326</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21513</v>
      </c>
      <c r="G310" s="42">
        <f t="shared" si="15"/>
        <v>14153</v>
      </c>
      <c r="H310" s="42">
        <f t="shared" si="15"/>
        <v>11806</v>
      </c>
      <c r="I310" s="42">
        <f t="shared" si="15"/>
        <v>8853</v>
      </c>
      <c r="J310" s="42">
        <f t="shared" si="15"/>
        <v>2720</v>
      </c>
      <c r="K310" s="42">
        <f t="shared" si="15"/>
        <v>2577</v>
      </c>
      <c r="L310" s="41">
        <f t="shared" si="15"/>
        <v>61622</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16263</v>
      </c>
      <c r="G315" s="18">
        <v>5583</v>
      </c>
      <c r="H315" s="18">
        <f>1200+89</f>
        <v>1289</v>
      </c>
      <c r="I315" s="18">
        <f>6425+5555</f>
        <v>11980</v>
      </c>
      <c r="J315" s="18"/>
      <c r="K315" s="18">
        <v>11737</v>
      </c>
      <c r="L315" s="19">
        <f>SUM(F315:K315)</f>
        <v>46852</v>
      </c>
      <c r="M315" s="8"/>
      <c r="N315" s="265"/>
    </row>
    <row r="316" spans="1:14" s="3" customFormat="1" ht="12.2" customHeight="1" x14ac:dyDescent="0.15">
      <c r="A316" s="1" t="s">
        <v>439</v>
      </c>
      <c r="B316" s="2" t="s">
        <v>359</v>
      </c>
      <c r="C316" s="2" t="s">
        <v>291</v>
      </c>
      <c r="D316" s="2" t="s">
        <v>431</v>
      </c>
      <c r="E316" s="6">
        <v>1200</v>
      </c>
      <c r="F316" s="18">
        <v>46557</v>
      </c>
      <c r="G316" s="18">
        <v>32827</v>
      </c>
      <c r="H316" s="18">
        <v>10218</v>
      </c>
      <c r="I316" s="18">
        <v>3511</v>
      </c>
      <c r="J316" s="18">
        <v>70</v>
      </c>
      <c r="K316" s="18"/>
      <c r="L316" s="19">
        <f>SUM(F316:K316)</f>
        <v>93183</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3569</v>
      </c>
      <c r="G320" s="18">
        <v>1021</v>
      </c>
      <c r="H320" s="18">
        <v>3195</v>
      </c>
      <c r="I320" s="18"/>
      <c r="J320" s="18"/>
      <c r="K320" s="18"/>
      <c r="L320" s="19">
        <f t="shared" ref="L320:L326" si="16">SUM(F320:K320)</f>
        <v>7785</v>
      </c>
      <c r="M320" s="8"/>
      <c r="N320" s="265"/>
    </row>
    <row r="321" spans="1:14" s="3" customFormat="1" ht="12.2" customHeight="1" x14ac:dyDescent="0.15">
      <c r="A321" s="1" t="s">
        <v>443</v>
      </c>
      <c r="B321" s="2" t="s">
        <v>359</v>
      </c>
      <c r="C321" s="2" t="s">
        <v>295</v>
      </c>
      <c r="D321" s="2" t="s">
        <v>431</v>
      </c>
      <c r="E321" s="6">
        <v>2200</v>
      </c>
      <c r="F321" s="18">
        <v>324</v>
      </c>
      <c r="G321" s="18">
        <v>92</v>
      </c>
      <c r="H321" s="18">
        <f>6286+3404+4447</f>
        <v>14137</v>
      </c>
      <c r="I321" s="18">
        <f>7024+5958</f>
        <v>12982</v>
      </c>
      <c r="J321" s="18">
        <v>6279</v>
      </c>
      <c r="K321" s="18">
        <v>2337</v>
      </c>
      <c r="L321" s="19">
        <f t="shared" si="16"/>
        <v>36151</v>
      </c>
      <c r="M321" s="8"/>
      <c r="N321" s="265"/>
    </row>
    <row r="322" spans="1:14" s="3" customFormat="1" ht="12.2" customHeight="1" x14ac:dyDescent="0.15">
      <c r="A322" s="1" t="s">
        <v>444</v>
      </c>
      <c r="B322" s="2" t="s">
        <v>359</v>
      </c>
      <c r="C322" s="2" t="s">
        <v>296</v>
      </c>
      <c r="D322" s="2" t="s">
        <v>431</v>
      </c>
      <c r="E322" s="6">
        <v>2300</v>
      </c>
      <c r="F322" s="18"/>
      <c r="G322" s="18"/>
      <c r="H322" s="18"/>
      <c r="I322" s="18">
        <v>165</v>
      </c>
      <c r="J322" s="18"/>
      <c r="K322" s="18">
        <v>525</v>
      </c>
      <c r="L322" s="19">
        <f t="shared" si="16"/>
        <v>690</v>
      </c>
      <c r="M322" s="8"/>
      <c r="N322" s="265"/>
    </row>
    <row r="323" spans="1:14" s="3" customFormat="1" ht="12.2" customHeight="1" x14ac:dyDescent="0.15">
      <c r="A323" s="1" t="s">
        <v>445</v>
      </c>
      <c r="B323" s="2" t="s">
        <v>359</v>
      </c>
      <c r="C323" s="2" t="s">
        <v>297</v>
      </c>
      <c r="D323" s="2" t="s">
        <v>431</v>
      </c>
      <c r="E323" s="6">
        <v>2400</v>
      </c>
      <c r="F323" s="18"/>
      <c r="G323" s="18"/>
      <c r="H323" s="18"/>
      <c r="I323" s="18">
        <v>1003</v>
      </c>
      <c r="J323" s="18"/>
      <c r="K323" s="18"/>
      <c r="L323" s="19">
        <f t="shared" si="16"/>
        <v>1003</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66713</v>
      </c>
      <c r="G329" s="42">
        <f t="shared" si="17"/>
        <v>39523</v>
      </c>
      <c r="H329" s="42">
        <f t="shared" si="17"/>
        <v>28839</v>
      </c>
      <c r="I329" s="42">
        <f t="shared" si="17"/>
        <v>29641</v>
      </c>
      <c r="J329" s="42">
        <f t="shared" si="17"/>
        <v>6349</v>
      </c>
      <c r="K329" s="42">
        <f t="shared" si="17"/>
        <v>14599</v>
      </c>
      <c r="L329" s="41">
        <f t="shared" si="17"/>
        <v>185664</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v>1455</v>
      </c>
      <c r="L336" s="19">
        <f t="shared" si="18"/>
        <v>1455</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1455</v>
      </c>
      <c r="L338" s="41">
        <f t="shared" si="18"/>
        <v>1455</v>
      </c>
      <c r="M338" s="8"/>
      <c r="N338" s="265"/>
    </row>
    <row r="339" spans="1:43" s="3" customFormat="1" ht="12.2" customHeight="1" thickTop="1" x14ac:dyDescent="0.15">
      <c r="A339" s="38" t="s">
        <v>468</v>
      </c>
      <c r="B339" s="40">
        <v>14</v>
      </c>
      <c r="C339" s="40">
        <v>7</v>
      </c>
      <c r="D339" s="39" t="s">
        <v>431</v>
      </c>
      <c r="E339" s="40"/>
      <c r="F339" s="41">
        <f t="shared" ref="F339:L339" si="20">F291+F310+F329+F338</f>
        <v>290800</v>
      </c>
      <c r="G339" s="41">
        <f t="shared" si="20"/>
        <v>163114</v>
      </c>
      <c r="H339" s="41">
        <f t="shared" si="20"/>
        <v>77569</v>
      </c>
      <c r="I339" s="41">
        <f t="shared" si="20"/>
        <v>75043</v>
      </c>
      <c r="J339" s="41">
        <f t="shared" si="20"/>
        <v>35730</v>
      </c>
      <c r="K339" s="41">
        <f t="shared" si="20"/>
        <v>27606</v>
      </c>
      <c r="L339" s="41">
        <f t="shared" si="20"/>
        <v>669862</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290800</v>
      </c>
      <c r="G353" s="41">
        <f>G339</f>
        <v>163114</v>
      </c>
      <c r="H353" s="41">
        <f>H339</f>
        <v>77569</v>
      </c>
      <c r="I353" s="41">
        <f>I339</f>
        <v>75043</v>
      </c>
      <c r="J353" s="41">
        <f>J339</f>
        <v>35730</v>
      </c>
      <c r="K353" s="47">
        <f>K339+K352</f>
        <v>27606</v>
      </c>
      <c r="L353" s="41">
        <f>L339+L352</f>
        <v>669862</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90532</v>
      </c>
      <c r="G359" s="18">
        <v>37283</v>
      </c>
      <c r="H359" s="18">
        <v>4367</v>
      </c>
      <c r="I359" s="18">
        <v>141200</v>
      </c>
      <c r="J359" s="18">
        <v>2299</v>
      </c>
      <c r="K359" s="18">
        <v>582</v>
      </c>
      <c r="L359" s="13">
        <f>SUM(F359:K359)</f>
        <v>276263</v>
      </c>
      <c r="M359" s="8"/>
      <c r="N359" s="265"/>
    </row>
    <row r="360" spans="1:22" s="3" customFormat="1" ht="12.2" customHeight="1" x14ac:dyDescent="0.15">
      <c r="A360" s="1" t="s">
        <v>542</v>
      </c>
      <c r="B360" s="2" t="s">
        <v>366</v>
      </c>
      <c r="C360" s="6">
        <v>2</v>
      </c>
      <c r="D360" s="2" t="s">
        <v>431</v>
      </c>
      <c r="E360" s="6"/>
      <c r="F360" s="18">
        <v>23788</v>
      </c>
      <c r="G360" s="18">
        <v>13912</v>
      </c>
      <c r="H360" s="18">
        <v>1123</v>
      </c>
      <c r="I360" s="18">
        <v>34007</v>
      </c>
      <c r="J360" s="18"/>
      <c r="K360" s="18">
        <v>105</v>
      </c>
      <c r="L360" s="19">
        <f>SUM(F360:K360)</f>
        <v>72935</v>
      </c>
      <c r="M360" s="8"/>
      <c r="N360" s="265"/>
    </row>
    <row r="361" spans="1:22" s="3" customFormat="1" ht="12.2" customHeight="1" x14ac:dyDescent="0.15">
      <c r="A361" s="3" t="s">
        <v>543</v>
      </c>
      <c r="B361" s="2" t="s">
        <v>366</v>
      </c>
      <c r="C361" s="6">
        <v>3</v>
      </c>
      <c r="D361" s="2" t="s">
        <v>431</v>
      </c>
      <c r="E361" s="6"/>
      <c r="F361" s="18">
        <v>55990</v>
      </c>
      <c r="G361" s="18">
        <v>32873</v>
      </c>
      <c r="H361" s="18">
        <v>2649</v>
      </c>
      <c r="I361" s="18">
        <v>79415</v>
      </c>
      <c r="J361" s="18"/>
      <c r="K361" s="18">
        <v>246</v>
      </c>
      <c r="L361" s="19">
        <f>SUM(F361:K361)</f>
        <v>171173</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170310</v>
      </c>
      <c r="G363" s="47">
        <f t="shared" si="22"/>
        <v>84068</v>
      </c>
      <c r="H363" s="47">
        <f t="shared" si="22"/>
        <v>8139</v>
      </c>
      <c r="I363" s="47">
        <f t="shared" si="22"/>
        <v>254622</v>
      </c>
      <c r="J363" s="47">
        <f t="shared" si="22"/>
        <v>2299</v>
      </c>
      <c r="K363" s="47">
        <f t="shared" si="22"/>
        <v>933</v>
      </c>
      <c r="L363" s="47">
        <f t="shared" si="22"/>
        <v>520371</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109618</v>
      </c>
      <c r="G368" s="18">
        <v>22970</v>
      </c>
      <c r="H368" s="18">
        <v>53597</v>
      </c>
      <c r="I368" s="56">
        <f>SUM(F368:H368)</f>
        <v>186185</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31615</v>
      </c>
      <c r="G369" s="63">
        <v>11047</v>
      </c>
      <c r="H369" s="63">
        <v>25775</v>
      </c>
      <c r="I369" s="56">
        <f>SUM(F369:H369)</f>
        <v>68437</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141233</v>
      </c>
      <c r="G370" s="47">
        <f>SUM(G368:G369)</f>
        <v>34017</v>
      </c>
      <c r="H370" s="47">
        <f>SUM(H368:H369)</f>
        <v>79372</v>
      </c>
      <c r="I370" s="47">
        <f>SUM(I368:I369)</f>
        <v>254622</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f>77311+5075</f>
        <v>82386</v>
      </c>
      <c r="I379" s="18">
        <f>126853-431</f>
        <v>126422</v>
      </c>
      <c r="J379" s="18">
        <f>3018978+45000-17750</f>
        <v>3046228</v>
      </c>
      <c r="K379" s="18"/>
      <c r="L379" s="13">
        <f t="shared" si="23"/>
        <v>3255036</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82386</v>
      </c>
      <c r="I383" s="41">
        <f t="shared" si="24"/>
        <v>126422</v>
      </c>
      <c r="J383" s="47">
        <f t="shared" si="24"/>
        <v>3046228</v>
      </c>
      <c r="K383" s="47">
        <f t="shared" si="24"/>
        <v>0</v>
      </c>
      <c r="L383" s="47">
        <f t="shared" si="24"/>
        <v>3255036</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f>121+86</f>
        <v>207</v>
      </c>
      <c r="I393" s="18"/>
      <c r="J393" s="24" t="s">
        <v>288</v>
      </c>
      <c r="K393" s="24" t="s">
        <v>288</v>
      </c>
      <c r="L393" s="56">
        <f t="shared" si="25"/>
        <v>207</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207</v>
      </c>
      <c r="I394" s="65">
        <f>SUM(I388:I393)</f>
        <v>0</v>
      </c>
      <c r="J394" s="45" t="s">
        <v>288</v>
      </c>
      <c r="K394" s="45" t="s">
        <v>288</v>
      </c>
      <c r="L394" s="47">
        <f>SUM(L388:L393)</f>
        <v>207</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150000</v>
      </c>
      <c r="H397" s="18">
        <v>615</v>
      </c>
      <c r="I397" s="18"/>
      <c r="J397" s="24" t="s">
        <v>288</v>
      </c>
      <c r="K397" s="24" t="s">
        <v>288</v>
      </c>
      <c r="L397" s="56">
        <f t="shared" si="26"/>
        <v>150615</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v>25000</v>
      </c>
      <c r="H400" s="18">
        <v>12</v>
      </c>
      <c r="I400" s="18"/>
      <c r="J400" s="24" t="s">
        <v>288</v>
      </c>
      <c r="K400" s="24" t="s">
        <v>288</v>
      </c>
      <c r="L400" s="56">
        <f t="shared" si="26"/>
        <v>25012</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175000</v>
      </c>
      <c r="H402" s="47">
        <f>SUM(H396:H401)</f>
        <v>627</v>
      </c>
      <c r="I402" s="47">
        <f>SUM(I396:I401)</f>
        <v>0</v>
      </c>
      <c r="J402" s="45" t="s">
        <v>288</v>
      </c>
      <c r="K402" s="45" t="s">
        <v>288</v>
      </c>
      <c r="L402" s="47">
        <f>SUM(L396:L401)</f>
        <v>175627</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175000</v>
      </c>
      <c r="H409" s="47">
        <f>H394+H402+H408</f>
        <v>834</v>
      </c>
      <c r="I409" s="47">
        <f>I394+I402+I408</f>
        <v>0</v>
      </c>
      <c r="J409" s="24" t="s">
        <v>288</v>
      </c>
      <c r="K409" s="24" t="s">
        <v>288</v>
      </c>
      <c r="L409" s="47">
        <f>L394+L402+L408</f>
        <v>175834</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v>40631</v>
      </c>
      <c r="L423" s="56">
        <f t="shared" si="29"/>
        <v>40631</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40631</v>
      </c>
      <c r="L428" s="47">
        <f t="shared" si="30"/>
        <v>40631</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40631</v>
      </c>
      <c r="L435" s="47">
        <f t="shared" si="32"/>
        <v>40631</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f>573405-341942</f>
        <v>231463</v>
      </c>
      <c r="G441" s="18">
        <f>316930+25012</f>
        <v>341942</v>
      </c>
      <c r="H441" s="18"/>
      <c r="I441" s="56">
        <f t="shared" si="33"/>
        <v>573405</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231463</v>
      </c>
      <c r="G447" s="13">
        <f>SUM(G440:G446)</f>
        <v>341942</v>
      </c>
      <c r="H447" s="13">
        <f>SUM(H440:H446)</f>
        <v>0</v>
      </c>
      <c r="I447" s="13">
        <f>SUM(I440:I446)</f>
        <v>573405</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v>40631</v>
      </c>
      <c r="H449" s="18"/>
      <c r="I449" s="56">
        <f>SUM(F449:H449)</f>
        <v>40631</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40631</v>
      </c>
      <c r="H453" s="72">
        <f>SUM(H449:H452)</f>
        <v>0</v>
      </c>
      <c r="I453" s="72">
        <f>SUM(I449:I452)</f>
        <v>40631</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231463</v>
      </c>
      <c r="G460" s="18">
        <f>341942-40631</f>
        <v>301311</v>
      </c>
      <c r="H460" s="18"/>
      <c r="I460" s="56">
        <f t="shared" si="34"/>
        <v>532774</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231463</v>
      </c>
      <c r="G461" s="83">
        <f>SUM(G455:G460)</f>
        <v>301311</v>
      </c>
      <c r="H461" s="83">
        <f>SUM(H455:H460)</f>
        <v>0</v>
      </c>
      <c r="I461" s="83">
        <f>SUM(I455:I460)</f>
        <v>532774</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231463</v>
      </c>
      <c r="G462" s="42">
        <f>G453+G461</f>
        <v>341942</v>
      </c>
      <c r="H462" s="42">
        <f>H453+H461</f>
        <v>0</v>
      </c>
      <c r="I462" s="42">
        <f>I453+I461</f>
        <v>573405</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1837732</v>
      </c>
      <c r="G466" s="18">
        <v>1865</v>
      </c>
      <c r="H466" s="18">
        <v>0</v>
      </c>
      <c r="I466" s="18">
        <v>-1136017</v>
      </c>
      <c r="J466" s="18">
        <v>397571</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20785798</v>
      </c>
      <c r="G469" s="18">
        <v>633530</v>
      </c>
      <c r="H469" s="18">
        <f>565643+104219</f>
        <v>669862</v>
      </c>
      <c r="I469" s="18">
        <f>4880299-431</f>
        <v>4879868</v>
      </c>
      <c r="J469" s="18">
        <v>175834</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20785798</v>
      </c>
      <c r="G471" s="53">
        <f>SUM(G469:G470)</f>
        <v>633530</v>
      </c>
      <c r="H471" s="53">
        <f>SUM(H469:H470)</f>
        <v>669862</v>
      </c>
      <c r="I471" s="53">
        <f>SUM(I469:I470)</f>
        <v>4879868</v>
      </c>
      <c r="J471" s="53">
        <f>SUM(J469:J470)</f>
        <v>175834</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20296182+17750</f>
        <v>20313932</v>
      </c>
      <c r="G473" s="18">
        <v>520371</v>
      </c>
      <c r="H473" s="18">
        <f>565643+104219</f>
        <v>669862</v>
      </c>
      <c r="I473" s="18">
        <f>3273217-431-17750</f>
        <v>3255036</v>
      </c>
      <c r="J473" s="18">
        <v>40631</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20313932</v>
      </c>
      <c r="G475" s="53">
        <f>SUM(G473:G474)</f>
        <v>520371</v>
      </c>
      <c r="H475" s="53">
        <f>SUM(H473:H474)</f>
        <v>669862</v>
      </c>
      <c r="I475" s="53">
        <f>SUM(I473:I474)</f>
        <v>3255036</v>
      </c>
      <c r="J475" s="53">
        <f>SUM(J473:J474)</f>
        <v>40631</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2309598</v>
      </c>
      <c r="G477" s="53">
        <f>(G466+G471)- G475</f>
        <v>115024</v>
      </c>
      <c r="H477" s="53">
        <f>(H466+H471)- H475</f>
        <v>0</v>
      </c>
      <c r="I477" s="53">
        <f>(I466+I471)- I475</f>
        <v>488815</v>
      </c>
      <c r="J477" s="53">
        <f>(J466+J471)- J475</f>
        <v>532774</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v>20</v>
      </c>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t="s">
        <v>1805</v>
      </c>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t="s">
        <v>1806</v>
      </c>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4467525</v>
      </c>
      <c r="G494" s="18">
        <v>4168625</v>
      </c>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t="s">
        <v>1804</v>
      </c>
      <c r="G495" s="18" t="s">
        <v>1807</v>
      </c>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4467525</v>
      </c>
      <c r="G496" s="18">
        <v>0</v>
      </c>
      <c r="H496" s="18"/>
      <c r="I496" s="18"/>
      <c r="J496" s="18"/>
      <c r="K496" s="53">
        <f>SUM(F496:J496)</f>
        <v>4467525</v>
      </c>
      <c r="L496" s="24" t="s">
        <v>288</v>
      </c>
      <c r="N496" s="264"/>
    </row>
    <row r="497" spans="1:14" s="52" customFormat="1" ht="12.2" customHeight="1" x14ac:dyDescent="0.2">
      <c r="A497" s="22" t="s">
        <v>620</v>
      </c>
      <c r="B497" s="75">
        <v>20</v>
      </c>
      <c r="C497" s="115">
        <v>7</v>
      </c>
      <c r="D497" s="2" t="s">
        <v>432</v>
      </c>
      <c r="E497" s="115"/>
      <c r="F497" s="18">
        <v>0</v>
      </c>
      <c r="G497" s="18">
        <v>4168625</v>
      </c>
      <c r="H497" s="18"/>
      <c r="I497" s="18"/>
      <c r="J497" s="18"/>
      <c r="K497" s="53">
        <f t="shared" ref="K497:K504" si="35">SUM(F497:J497)</f>
        <v>4168625</v>
      </c>
      <c r="L497" s="24" t="s">
        <v>288</v>
      </c>
      <c r="N497" s="264"/>
    </row>
    <row r="498" spans="1:14" s="52" customFormat="1" ht="12.2" customHeight="1" x14ac:dyDescent="0.2">
      <c r="A498" s="22" t="s">
        <v>621</v>
      </c>
      <c r="B498" s="75">
        <v>20</v>
      </c>
      <c r="C498" s="115">
        <v>8</v>
      </c>
      <c r="D498" s="2" t="s">
        <v>432</v>
      </c>
      <c r="E498" s="115"/>
      <c r="F498" s="18">
        <v>142775</v>
      </c>
      <c r="G498" s="18">
        <v>0</v>
      </c>
      <c r="H498" s="18"/>
      <c r="I498" s="18"/>
      <c r="J498" s="18"/>
      <c r="K498" s="53">
        <f t="shared" si="35"/>
        <v>142775</v>
      </c>
      <c r="L498" s="24" t="s">
        <v>288</v>
      </c>
      <c r="N498" s="264"/>
    </row>
    <row r="499" spans="1:14" s="52" customFormat="1" ht="12.2" customHeight="1" x14ac:dyDescent="0.2">
      <c r="A499" s="199" t="s">
        <v>622</v>
      </c>
      <c r="B499" s="200">
        <v>20</v>
      </c>
      <c r="C499" s="201">
        <v>9</v>
      </c>
      <c r="D499" s="202" t="s">
        <v>432</v>
      </c>
      <c r="E499" s="201"/>
      <c r="F499" s="203">
        <f>F496-F498</f>
        <v>4324750</v>
      </c>
      <c r="G499" s="203">
        <v>4168625</v>
      </c>
      <c r="H499" s="203"/>
      <c r="I499" s="203"/>
      <c r="J499" s="203"/>
      <c r="K499" s="204">
        <f t="shared" si="35"/>
        <v>8493375</v>
      </c>
      <c r="L499" s="205" t="s">
        <v>288</v>
      </c>
      <c r="N499" s="264"/>
    </row>
    <row r="500" spans="1:14" s="52" customFormat="1" ht="12.2" customHeight="1" thickBot="1" x14ac:dyDescent="0.25">
      <c r="A500" s="22" t="s">
        <v>623</v>
      </c>
      <c r="B500" s="75">
        <v>20</v>
      </c>
      <c r="C500" s="115">
        <v>10</v>
      </c>
      <c r="D500" s="2" t="s">
        <v>432</v>
      </c>
      <c r="E500" s="115"/>
      <c r="F500" s="18">
        <f>1424931-151853</f>
        <v>1273078</v>
      </c>
      <c r="G500" s="18">
        <v>1518605</v>
      </c>
      <c r="H500" s="18"/>
      <c r="I500" s="18"/>
      <c r="J500" s="18"/>
      <c r="K500" s="53">
        <f t="shared" si="35"/>
        <v>2791683</v>
      </c>
      <c r="L500" s="24" t="s">
        <v>288</v>
      </c>
      <c r="N500" s="264"/>
    </row>
    <row r="501" spans="1:14" s="52" customFormat="1" ht="12.2" customHeight="1" thickTop="1" x14ac:dyDescent="0.2">
      <c r="A501" s="139" t="s">
        <v>624</v>
      </c>
      <c r="B501" s="44">
        <v>20</v>
      </c>
      <c r="C501" s="194">
        <v>11</v>
      </c>
      <c r="D501" s="39" t="s">
        <v>432</v>
      </c>
      <c r="E501" s="194"/>
      <c r="F501" s="42">
        <f>SUM(F499:F500)</f>
        <v>5597828</v>
      </c>
      <c r="G501" s="42">
        <f>SUM(G499:G500)</f>
        <v>5687230</v>
      </c>
      <c r="H501" s="42">
        <f>SUM(H499:H500)</f>
        <v>0</v>
      </c>
      <c r="I501" s="42">
        <f>SUM(I499:I500)</f>
        <v>0</v>
      </c>
      <c r="J501" s="42">
        <f>SUM(J499:J500)</f>
        <v>0</v>
      </c>
      <c r="K501" s="42">
        <f t="shared" si="35"/>
        <v>11285058</v>
      </c>
      <c r="L501" s="45" t="s">
        <v>288</v>
      </c>
      <c r="N501" s="264"/>
    </row>
    <row r="502" spans="1:14" s="52" customFormat="1" ht="12.2" customHeight="1" x14ac:dyDescent="0.2">
      <c r="A502" s="199" t="s">
        <v>651</v>
      </c>
      <c r="B502" s="200">
        <v>20</v>
      </c>
      <c r="C502" s="201">
        <v>12</v>
      </c>
      <c r="D502" s="202" t="s">
        <v>432</v>
      </c>
      <c r="E502" s="201"/>
      <c r="F502" s="203">
        <v>150000</v>
      </c>
      <c r="G502" s="203">
        <v>133625</v>
      </c>
      <c r="H502" s="203"/>
      <c r="I502" s="203"/>
      <c r="J502" s="203"/>
      <c r="K502" s="204">
        <f t="shared" si="35"/>
        <v>283625</v>
      </c>
      <c r="L502" s="205" t="s">
        <v>288</v>
      </c>
      <c r="N502" s="264"/>
    </row>
    <row r="503" spans="1:14" s="52" customFormat="1" ht="12.2" customHeight="1" thickBot="1" x14ac:dyDescent="0.25">
      <c r="A503" s="22" t="s">
        <v>625</v>
      </c>
      <c r="B503" s="75">
        <v>20</v>
      </c>
      <c r="C503" s="115">
        <v>13</v>
      </c>
      <c r="D503" s="2" t="s">
        <v>432</v>
      </c>
      <c r="E503" s="115"/>
      <c r="F503" s="18">
        <f>74106+70281</f>
        <v>144387</v>
      </c>
      <c r="G503" s="18">
        <f>78975+75568</f>
        <v>154543</v>
      </c>
      <c r="H503" s="18"/>
      <c r="I503" s="18"/>
      <c r="J503" s="18"/>
      <c r="K503" s="53">
        <f t="shared" si="35"/>
        <v>298930</v>
      </c>
      <c r="L503" s="24" t="s">
        <v>288</v>
      </c>
      <c r="N503" s="264"/>
    </row>
    <row r="504" spans="1:14" s="52" customFormat="1" ht="12.2" customHeight="1" thickTop="1" x14ac:dyDescent="0.2">
      <c r="A504" s="139" t="s">
        <v>626</v>
      </c>
      <c r="B504" s="44">
        <v>20</v>
      </c>
      <c r="C504" s="194">
        <v>14</v>
      </c>
      <c r="D504" s="39" t="s">
        <v>432</v>
      </c>
      <c r="E504" s="194"/>
      <c r="F504" s="42">
        <f>SUM(F502:F503)</f>
        <v>294387</v>
      </c>
      <c r="G504" s="42">
        <f>SUM(G502:G503)</f>
        <v>288168</v>
      </c>
      <c r="H504" s="42">
        <f>SUM(H502:H503)</f>
        <v>0</v>
      </c>
      <c r="I504" s="42">
        <f>SUM(I502:I503)</f>
        <v>0</v>
      </c>
      <c r="J504" s="42">
        <f>SUM(J502:J503)</f>
        <v>0</v>
      </c>
      <c r="K504" s="42">
        <f t="shared" si="35"/>
        <v>582555</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1249476</f>
        <v>1249476</v>
      </c>
      <c r="G522" s="18">
        <v>567200</v>
      </c>
      <c r="H522" s="18">
        <v>446260</v>
      </c>
      <c r="I522" s="18">
        <v>8415</v>
      </c>
      <c r="J522" s="18"/>
      <c r="K522" s="18">
        <v>530</v>
      </c>
      <c r="L522" s="88">
        <f>SUM(F522:K522)</f>
        <v>2271881</v>
      </c>
      <c r="N522" s="264"/>
    </row>
    <row r="523" spans="1:14" s="52" customFormat="1" ht="12.2" customHeight="1" x14ac:dyDescent="0.2">
      <c r="A523" s="22" t="s">
        <v>634</v>
      </c>
      <c r="B523" s="105">
        <v>21</v>
      </c>
      <c r="C523" s="115">
        <v>2</v>
      </c>
      <c r="D523" s="2" t="s">
        <v>432</v>
      </c>
      <c r="E523" s="115"/>
      <c r="F523" s="18">
        <v>371716</v>
      </c>
      <c r="G523" s="18">
        <v>188999</v>
      </c>
      <c r="H523" s="18">
        <v>142980</v>
      </c>
      <c r="I523" s="18">
        <v>2454</v>
      </c>
      <c r="J523" s="18"/>
      <c r="K523" s="18">
        <v>170</v>
      </c>
      <c r="L523" s="88">
        <f>SUM(F523:K523)</f>
        <v>706319</v>
      </c>
      <c r="N523" s="264"/>
    </row>
    <row r="524" spans="1:14" s="52" customFormat="1" ht="12.2" customHeight="1" thickBot="1" x14ac:dyDescent="0.25">
      <c r="A524" s="22" t="s">
        <v>635</v>
      </c>
      <c r="B524" s="105">
        <v>21</v>
      </c>
      <c r="C524" s="115">
        <v>3</v>
      </c>
      <c r="D524" s="2" t="s">
        <v>432</v>
      </c>
      <c r="E524" s="115"/>
      <c r="F524" s="18">
        <v>355102</v>
      </c>
      <c r="G524" s="18">
        <v>170182</v>
      </c>
      <c r="H524" s="18">
        <v>254836</v>
      </c>
      <c r="I524" s="18">
        <v>4847</v>
      </c>
      <c r="J524" s="18"/>
      <c r="K524" s="18">
        <v>300</v>
      </c>
      <c r="L524" s="88">
        <f>SUM(F524:K524)</f>
        <v>785267</v>
      </c>
      <c r="N524" s="264"/>
    </row>
    <row r="525" spans="1:14" s="52" customFormat="1" ht="12.2" customHeight="1" thickTop="1" x14ac:dyDescent="0.2">
      <c r="A525" s="139" t="s">
        <v>63</v>
      </c>
      <c r="B525" s="107">
        <v>21</v>
      </c>
      <c r="C525" s="194">
        <v>4</v>
      </c>
      <c r="D525" s="195" t="s">
        <v>432</v>
      </c>
      <c r="E525" s="194"/>
      <c r="F525" s="108">
        <f>SUM(F522:F524)</f>
        <v>1976294</v>
      </c>
      <c r="G525" s="108">
        <f t="shared" ref="G525:L525" si="36">SUM(G522:G524)</f>
        <v>926381</v>
      </c>
      <c r="H525" s="108">
        <f t="shared" si="36"/>
        <v>844076</v>
      </c>
      <c r="I525" s="108">
        <f t="shared" si="36"/>
        <v>15716</v>
      </c>
      <c r="J525" s="108">
        <f t="shared" si="36"/>
        <v>0</v>
      </c>
      <c r="K525" s="108">
        <f t="shared" si="36"/>
        <v>1000</v>
      </c>
      <c r="L525" s="89">
        <f t="shared" si="36"/>
        <v>3763467</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360578</v>
      </c>
      <c r="G527" s="18">
        <v>159342</v>
      </c>
      <c r="H527" s="18">
        <v>96048</v>
      </c>
      <c r="I527" s="18">
        <v>1368</v>
      </c>
      <c r="J527" s="18"/>
      <c r="K527" s="18"/>
      <c r="L527" s="88">
        <f>SUM(F527:K527)</f>
        <v>617336</v>
      </c>
      <c r="M527" s="8"/>
      <c r="N527" s="265"/>
    </row>
    <row r="528" spans="1:14" s="3" customFormat="1" ht="12.2" customHeight="1" x14ac:dyDescent="0.15">
      <c r="A528" s="22" t="s">
        <v>634</v>
      </c>
      <c r="B528" s="105">
        <v>21</v>
      </c>
      <c r="C528" s="115">
        <v>6</v>
      </c>
      <c r="D528" s="2" t="s">
        <v>432</v>
      </c>
      <c r="E528" s="115"/>
      <c r="F528" s="18">
        <v>85636</v>
      </c>
      <c r="G528" s="18">
        <v>35958</v>
      </c>
      <c r="H528" s="18">
        <v>29200</v>
      </c>
      <c r="I528" s="18">
        <v>166</v>
      </c>
      <c r="J528" s="18"/>
      <c r="K528" s="18"/>
      <c r="L528" s="88">
        <f>SUM(F528:K528)</f>
        <v>150960</v>
      </c>
      <c r="M528" s="8"/>
      <c r="N528" s="265"/>
    </row>
    <row r="529" spans="1:14" s="3" customFormat="1" ht="12.2" customHeight="1" thickBot="1" x14ac:dyDescent="0.2">
      <c r="A529" s="22" t="s">
        <v>635</v>
      </c>
      <c r="B529" s="118">
        <v>21</v>
      </c>
      <c r="C529" s="118">
        <v>7</v>
      </c>
      <c r="D529" s="2" t="s">
        <v>432</v>
      </c>
      <c r="E529" s="118"/>
      <c r="F529" s="18">
        <v>286464</v>
      </c>
      <c r="G529" s="18">
        <v>121927</v>
      </c>
      <c r="H529" s="18">
        <v>74284</v>
      </c>
      <c r="I529" s="18">
        <v>1109</v>
      </c>
      <c r="J529" s="18"/>
      <c r="K529" s="18">
        <v>1344</v>
      </c>
      <c r="L529" s="88">
        <f>SUM(F529:K529)</f>
        <v>485128</v>
      </c>
      <c r="M529" s="8"/>
      <c r="N529" s="265"/>
    </row>
    <row r="530" spans="1:14" s="3" customFormat="1" ht="12.2" customHeight="1" thickTop="1" x14ac:dyDescent="0.15">
      <c r="A530" s="139" t="s">
        <v>65</v>
      </c>
      <c r="B530" s="107">
        <v>21</v>
      </c>
      <c r="C530" s="107">
        <v>8</v>
      </c>
      <c r="D530" s="158" t="s">
        <v>432</v>
      </c>
      <c r="E530" s="107"/>
      <c r="F530" s="89">
        <f>SUM(F527:F529)</f>
        <v>732678</v>
      </c>
      <c r="G530" s="89">
        <f t="shared" ref="G530:L530" si="37">SUM(G527:G529)</f>
        <v>317227</v>
      </c>
      <c r="H530" s="89">
        <f t="shared" si="37"/>
        <v>199532</v>
      </c>
      <c r="I530" s="89">
        <f t="shared" si="37"/>
        <v>2643</v>
      </c>
      <c r="J530" s="89">
        <f t="shared" si="37"/>
        <v>0</v>
      </c>
      <c r="K530" s="89">
        <f t="shared" si="37"/>
        <v>1344</v>
      </c>
      <c r="L530" s="89">
        <f t="shared" si="37"/>
        <v>1253424</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63361</v>
      </c>
      <c r="G532" s="18">
        <v>37291</v>
      </c>
      <c r="H532" s="18"/>
      <c r="I532" s="18"/>
      <c r="J532" s="18"/>
      <c r="K532" s="18"/>
      <c r="L532" s="88">
        <f>SUM(F532:K532)</f>
        <v>100652</v>
      </c>
      <c r="M532" s="8"/>
      <c r="N532" s="265"/>
    </row>
    <row r="533" spans="1:14" s="3" customFormat="1" ht="12.2" customHeight="1" x14ac:dyDescent="0.15">
      <c r="A533" s="22" t="s">
        <v>634</v>
      </c>
      <c r="B533" s="105">
        <v>21</v>
      </c>
      <c r="C533" s="105">
        <v>10</v>
      </c>
      <c r="D533" s="2" t="s">
        <v>432</v>
      </c>
      <c r="E533" s="105"/>
      <c r="F533" s="18">
        <v>19396</v>
      </c>
      <c r="G533" s="18">
        <v>11416</v>
      </c>
      <c r="H533" s="18"/>
      <c r="I533" s="18"/>
      <c r="J533" s="18"/>
      <c r="K533" s="18"/>
      <c r="L533" s="88">
        <f>SUM(F533:K533)</f>
        <v>30812</v>
      </c>
      <c r="M533" s="8"/>
      <c r="N533" s="265"/>
    </row>
    <row r="534" spans="1:14" s="3" customFormat="1" ht="12.2" customHeight="1" thickBot="1" x14ac:dyDescent="0.2">
      <c r="A534" s="22" t="s">
        <v>635</v>
      </c>
      <c r="B534" s="105">
        <v>21</v>
      </c>
      <c r="C534" s="105">
        <v>11</v>
      </c>
      <c r="D534" s="2" t="s">
        <v>432</v>
      </c>
      <c r="E534" s="105"/>
      <c r="F534" s="18">
        <v>46551</v>
      </c>
      <c r="G534" s="18">
        <v>27398</v>
      </c>
      <c r="H534" s="18"/>
      <c r="I534" s="18"/>
      <c r="J534" s="18"/>
      <c r="K534" s="18"/>
      <c r="L534" s="88">
        <f>SUM(F534:K534)</f>
        <v>73949</v>
      </c>
      <c r="M534" s="8"/>
      <c r="N534" s="265"/>
    </row>
    <row r="535" spans="1:14" s="3" customFormat="1" ht="12.2" customHeight="1" thickTop="1" x14ac:dyDescent="0.15">
      <c r="A535" s="139" t="s">
        <v>67</v>
      </c>
      <c r="B535" s="107">
        <v>21</v>
      </c>
      <c r="C535" s="107">
        <v>12</v>
      </c>
      <c r="D535" s="158" t="s">
        <v>432</v>
      </c>
      <c r="E535" s="107"/>
      <c r="F535" s="89">
        <f>SUM(F532:F534)</f>
        <v>129308</v>
      </c>
      <c r="G535" s="89">
        <f t="shared" ref="G535:L535" si="38">SUM(G532:G534)</f>
        <v>76105</v>
      </c>
      <c r="H535" s="89">
        <f t="shared" si="38"/>
        <v>0</v>
      </c>
      <c r="I535" s="89">
        <f t="shared" si="38"/>
        <v>0</v>
      </c>
      <c r="J535" s="89">
        <f t="shared" si="38"/>
        <v>0</v>
      </c>
      <c r="K535" s="89">
        <f t="shared" si="38"/>
        <v>0</v>
      </c>
      <c r="L535" s="89">
        <f t="shared" si="38"/>
        <v>205413</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1097</v>
      </c>
      <c r="I537" s="18"/>
      <c r="J537" s="18"/>
      <c r="K537" s="18"/>
      <c r="L537" s="88">
        <f>SUM(F537:K537)</f>
        <v>1097</v>
      </c>
      <c r="M537" s="8"/>
      <c r="N537" s="265"/>
    </row>
    <row r="538" spans="1:14" s="3" customFormat="1" ht="12.2" customHeight="1" x14ac:dyDescent="0.15">
      <c r="A538" s="22" t="s">
        <v>634</v>
      </c>
      <c r="B538" s="105">
        <v>21</v>
      </c>
      <c r="C538" s="105">
        <v>14</v>
      </c>
      <c r="D538" s="2" t="s">
        <v>432</v>
      </c>
      <c r="E538" s="105"/>
      <c r="F538" s="18"/>
      <c r="G538" s="18"/>
      <c r="H538" s="18">
        <v>336</v>
      </c>
      <c r="I538" s="18"/>
      <c r="J538" s="18"/>
      <c r="K538" s="18"/>
      <c r="L538" s="88">
        <f>SUM(F538:K538)</f>
        <v>336</v>
      </c>
      <c r="M538" s="8"/>
      <c r="N538" s="265"/>
    </row>
    <row r="539" spans="1:14" s="3" customFormat="1" ht="12.2" customHeight="1" thickBot="1" x14ac:dyDescent="0.2">
      <c r="A539" s="22" t="s">
        <v>635</v>
      </c>
      <c r="B539" s="105">
        <v>21</v>
      </c>
      <c r="C539" s="105">
        <v>15</v>
      </c>
      <c r="D539" s="2" t="s">
        <v>432</v>
      </c>
      <c r="E539" s="105"/>
      <c r="F539" s="18"/>
      <c r="G539" s="18"/>
      <c r="H539" s="18">
        <v>806</v>
      </c>
      <c r="I539" s="18"/>
      <c r="J539" s="18"/>
      <c r="K539" s="18"/>
      <c r="L539" s="88">
        <f>SUM(F539:K539)</f>
        <v>806</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2239</v>
      </c>
      <c r="I540" s="89">
        <f t="shared" si="39"/>
        <v>0</v>
      </c>
      <c r="J540" s="89">
        <f t="shared" si="39"/>
        <v>0</v>
      </c>
      <c r="K540" s="89">
        <f t="shared" si="39"/>
        <v>0</v>
      </c>
      <c r="L540" s="89">
        <f t="shared" si="39"/>
        <v>2239</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5485</v>
      </c>
      <c r="G542" s="18">
        <v>691</v>
      </c>
      <c r="H542" s="18">
        <v>90860</v>
      </c>
      <c r="I542" s="18"/>
      <c r="J542" s="18"/>
      <c r="K542" s="18"/>
      <c r="L542" s="88">
        <f>SUM(F542:K542)</f>
        <v>97036</v>
      </c>
      <c r="M542" s="8"/>
      <c r="N542" s="265"/>
    </row>
    <row r="543" spans="1:14" s="3" customFormat="1" ht="12.2" customHeight="1" x14ac:dyDescent="0.15">
      <c r="A543" s="22" t="s">
        <v>634</v>
      </c>
      <c r="B543" s="105">
        <v>21</v>
      </c>
      <c r="C543" s="105">
        <v>18</v>
      </c>
      <c r="D543" s="2" t="s">
        <v>432</v>
      </c>
      <c r="E543" s="105"/>
      <c r="F543" s="18">
        <v>1679</v>
      </c>
      <c r="G543" s="18">
        <v>212</v>
      </c>
      <c r="H543" s="18">
        <v>27814</v>
      </c>
      <c r="I543" s="18"/>
      <c r="J543" s="18"/>
      <c r="K543" s="18"/>
      <c r="L543" s="88">
        <f>SUM(F543:K543)</f>
        <v>29705</v>
      </c>
      <c r="M543" s="8"/>
      <c r="N543" s="265"/>
    </row>
    <row r="544" spans="1:14" s="3" customFormat="1" ht="12.2" customHeight="1" thickBot="1" x14ac:dyDescent="0.2">
      <c r="A544" s="22" t="s">
        <v>635</v>
      </c>
      <c r="B544" s="105">
        <v>21</v>
      </c>
      <c r="C544" s="105">
        <v>19</v>
      </c>
      <c r="D544" s="2" t="s">
        <v>432</v>
      </c>
      <c r="E544" s="105"/>
      <c r="F544" s="18">
        <v>4030</v>
      </c>
      <c r="G544" s="18">
        <v>508</v>
      </c>
      <c r="H544" s="18">
        <v>66754</v>
      </c>
      <c r="I544" s="18"/>
      <c r="J544" s="18"/>
      <c r="K544" s="18"/>
      <c r="L544" s="88">
        <f>SUM(F544:K544)</f>
        <v>71292</v>
      </c>
      <c r="M544" s="8"/>
      <c r="N544" s="265"/>
    </row>
    <row r="545" spans="1:14" s="3" customFormat="1" ht="12.2" customHeight="1" thickTop="1" thickBot="1" x14ac:dyDescent="0.2">
      <c r="A545" s="130" t="s">
        <v>71</v>
      </c>
      <c r="B545" s="190">
        <v>21</v>
      </c>
      <c r="C545" s="190">
        <v>20</v>
      </c>
      <c r="D545" s="191" t="s">
        <v>432</v>
      </c>
      <c r="E545" s="190"/>
      <c r="F545" s="192">
        <f>SUM(F542:F544)</f>
        <v>11194</v>
      </c>
      <c r="G545" s="192">
        <f t="shared" ref="G545:L545" si="40">SUM(G542:G544)</f>
        <v>1411</v>
      </c>
      <c r="H545" s="192">
        <f t="shared" si="40"/>
        <v>185428</v>
      </c>
      <c r="I545" s="192">
        <f t="shared" si="40"/>
        <v>0</v>
      </c>
      <c r="J545" s="192">
        <f t="shared" si="40"/>
        <v>0</v>
      </c>
      <c r="K545" s="192">
        <f t="shared" si="40"/>
        <v>0</v>
      </c>
      <c r="L545" s="192">
        <f t="shared" si="40"/>
        <v>198033</v>
      </c>
      <c r="M545" s="8"/>
      <c r="N545" s="265"/>
    </row>
    <row r="546" spans="1:14" s="3" customFormat="1" ht="12.2" customHeight="1" thickTop="1" x14ac:dyDescent="0.15">
      <c r="A546" s="98" t="s">
        <v>72</v>
      </c>
      <c r="B546" s="107">
        <v>21</v>
      </c>
      <c r="C546" s="107">
        <v>21</v>
      </c>
      <c r="D546" s="158" t="s">
        <v>432</v>
      </c>
      <c r="E546" s="107"/>
      <c r="F546" s="89">
        <f>F525+F530+F535+F540+F545</f>
        <v>2849474</v>
      </c>
      <c r="G546" s="89">
        <f t="shared" ref="G546:L546" si="41">G525+G530+G535+G540+G545</f>
        <v>1321124</v>
      </c>
      <c r="H546" s="89">
        <f t="shared" si="41"/>
        <v>1231275</v>
      </c>
      <c r="I546" s="89">
        <f t="shared" si="41"/>
        <v>18359</v>
      </c>
      <c r="J546" s="89">
        <f t="shared" si="41"/>
        <v>0</v>
      </c>
      <c r="K546" s="89">
        <f t="shared" si="41"/>
        <v>2344</v>
      </c>
      <c r="L546" s="89">
        <f t="shared" si="41"/>
        <v>5422576</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2271881</v>
      </c>
      <c r="G550" s="87">
        <f>L527</f>
        <v>617336</v>
      </c>
      <c r="H550" s="87">
        <f>L532</f>
        <v>100652</v>
      </c>
      <c r="I550" s="87">
        <f>L537</f>
        <v>1097</v>
      </c>
      <c r="J550" s="87">
        <f>L542</f>
        <v>97036</v>
      </c>
      <c r="K550" s="87">
        <f>SUM(F550:J550)</f>
        <v>3088002</v>
      </c>
      <c r="L550" s="24" t="s">
        <v>288</v>
      </c>
      <c r="M550" s="8"/>
      <c r="N550" s="265"/>
    </row>
    <row r="551" spans="1:14" s="3" customFormat="1" ht="12.2" customHeight="1" x14ac:dyDescent="0.15">
      <c r="A551" s="22" t="s">
        <v>634</v>
      </c>
      <c r="B551" s="75">
        <v>21</v>
      </c>
      <c r="C551" s="75">
        <v>23</v>
      </c>
      <c r="D551" s="2" t="s">
        <v>432</v>
      </c>
      <c r="E551" s="75"/>
      <c r="F551" s="87">
        <f>L523</f>
        <v>706319</v>
      </c>
      <c r="G551" s="87">
        <f>L528</f>
        <v>150960</v>
      </c>
      <c r="H551" s="87">
        <f>L533</f>
        <v>30812</v>
      </c>
      <c r="I551" s="87">
        <f>L538</f>
        <v>336</v>
      </c>
      <c r="J551" s="87">
        <f>L543</f>
        <v>29705</v>
      </c>
      <c r="K551" s="87">
        <f>SUM(F551:J551)</f>
        <v>918132</v>
      </c>
      <c r="L551" s="24" t="s">
        <v>288</v>
      </c>
      <c r="M551" s="8"/>
      <c r="N551" s="265"/>
    </row>
    <row r="552" spans="1:14" s="3" customFormat="1" ht="12.2" customHeight="1" thickBot="1" x14ac:dyDescent="0.2">
      <c r="A552" s="22" t="s">
        <v>635</v>
      </c>
      <c r="B552" s="75">
        <v>21</v>
      </c>
      <c r="C552" s="75">
        <v>24</v>
      </c>
      <c r="D552" s="2" t="s">
        <v>432</v>
      </c>
      <c r="E552" s="75"/>
      <c r="F552" s="87">
        <f>L524</f>
        <v>785267</v>
      </c>
      <c r="G552" s="87">
        <f>L529</f>
        <v>485128</v>
      </c>
      <c r="H552" s="87">
        <f>L534</f>
        <v>73949</v>
      </c>
      <c r="I552" s="87">
        <f>L539</f>
        <v>806</v>
      </c>
      <c r="J552" s="87">
        <f>L544</f>
        <v>71292</v>
      </c>
      <c r="K552" s="87">
        <f>SUM(F552:J552)</f>
        <v>1416442</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3763467</v>
      </c>
      <c r="G553" s="89">
        <f t="shared" si="42"/>
        <v>1253424</v>
      </c>
      <c r="H553" s="89">
        <f t="shared" si="42"/>
        <v>205413</v>
      </c>
      <c r="I553" s="89">
        <f t="shared" si="42"/>
        <v>2239</v>
      </c>
      <c r="J553" s="89">
        <f t="shared" si="42"/>
        <v>198033</v>
      </c>
      <c r="K553" s="89">
        <f t="shared" si="42"/>
        <v>5422576</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4933</v>
      </c>
      <c r="G580" s="18">
        <v>1121</v>
      </c>
      <c r="H580" s="18">
        <v>1420</v>
      </c>
      <c r="I580" s="87">
        <f t="shared" si="47"/>
        <v>7474</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460941</v>
      </c>
      <c r="G583" s="18">
        <v>104759</v>
      </c>
      <c r="H583" s="18">
        <v>132695</v>
      </c>
      <c r="I583" s="87">
        <f t="shared" si="47"/>
        <v>698395</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78995</v>
      </c>
      <c r="I585" s="87">
        <f t="shared" si="47"/>
        <v>78995</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235156</v>
      </c>
      <c r="I592" s="18">
        <v>71627</v>
      </c>
      <c r="J592" s="18">
        <v>171906</v>
      </c>
      <c r="K592" s="104">
        <f t="shared" ref="K592:K598" si="48">SUM(H592:J592)</f>
        <v>478689</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109733</v>
      </c>
      <c r="I593" s="18">
        <v>33666</v>
      </c>
      <c r="J593" s="18">
        <v>54634</v>
      </c>
      <c r="K593" s="104">
        <f t="shared" si="48"/>
        <v>198033</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53345</v>
      </c>
      <c r="K594" s="104">
        <f t="shared" si="48"/>
        <v>53345</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13710</v>
      </c>
      <c r="J595" s="18">
        <v>44823</v>
      </c>
      <c r="K595" s="104">
        <f t="shared" si="48"/>
        <v>58533</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3455</v>
      </c>
      <c r="I596" s="18"/>
      <c r="J596" s="18">
        <v>1084</v>
      </c>
      <c r="K596" s="104">
        <f t="shared" si="48"/>
        <v>4539</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348344</v>
      </c>
      <c r="I599" s="108">
        <f>SUM(I592:I598)</f>
        <v>119003</v>
      </c>
      <c r="J599" s="108">
        <f>SUM(J592:J598)</f>
        <v>325792</v>
      </c>
      <c r="K599" s="108">
        <f>SUM(K592:K598)</f>
        <v>793139</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26661+97529</f>
        <v>124190</v>
      </c>
      <c r="I605" s="18">
        <f>2720+36647</f>
        <v>39367</v>
      </c>
      <c r="J605" s="18">
        <f>6349+99340</f>
        <v>105689</v>
      </c>
      <c r="K605" s="104">
        <f>SUM(H605:J605)</f>
        <v>269246</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124190</v>
      </c>
      <c r="I606" s="108">
        <f>SUM(I603:I605)</f>
        <v>39367</v>
      </c>
      <c r="J606" s="108">
        <f>SUM(J603:J605)</f>
        <v>105689</v>
      </c>
      <c r="K606" s="108">
        <f>SUM(K603:K605)</f>
        <v>269246</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30329</v>
      </c>
      <c r="G612" s="18">
        <f>6768+274+84+49</f>
        <v>7175</v>
      </c>
      <c r="H612" s="18">
        <f>62705+477+1509+912+982+12454+1</f>
        <v>79040</v>
      </c>
      <c r="I612" s="18">
        <v>105</v>
      </c>
      <c r="J612" s="18"/>
      <c r="K612" s="18"/>
      <c r="L612" s="88">
        <f>SUM(F612:K612)</f>
        <v>116649</v>
      </c>
      <c r="M612" s="8"/>
      <c r="N612" s="265"/>
    </row>
    <row r="613" spans="1:14" s="3" customFormat="1" ht="12.2" customHeight="1" x14ac:dyDescent="0.15">
      <c r="A613" s="22" t="s">
        <v>634</v>
      </c>
      <c r="B613" s="75">
        <v>23</v>
      </c>
      <c r="C613" s="75">
        <v>14</v>
      </c>
      <c r="D613" s="2" t="s">
        <v>432</v>
      </c>
      <c r="E613" s="75"/>
      <c r="F613" s="18">
        <f>6302+1627+288+321+138</f>
        <v>8676</v>
      </c>
      <c r="G613" s="18">
        <f>1538+469+84+26+11</f>
        <v>2128</v>
      </c>
      <c r="H613" s="18">
        <f>14251+146+462+279+301+2830</f>
        <v>18269</v>
      </c>
      <c r="I613" s="18">
        <v>24</v>
      </c>
      <c r="J613" s="18"/>
      <c r="K613" s="18"/>
      <c r="L613" s="88">
        <f>SUM(F613:K613)</f>
        <v>29097</v>
      </c>
      <c r="M613" s="8"/>
      <c r="N613" s="265"/>
    </row>
    <row r="614" spans="1:14" s="3" customFormat="1" ht="12.2" customHeight="1" thickBot="1" x14ac:dyDescent="0.2">
      <c r="A614" s="22" t="s">
        <v>645</v>
      </c>
      <c r="B614" s="75">
        <v>23</v>
      </c>
      <c r="C614" s="75">
        <v>15</v>
      </c>
      <c r="D614" s="2" t="s">
        <v>432</v>
      </c>
      <c r="E614" s="75"/>
      <c r="F614" s="18">
        <f>7983+692+6053+771+174</f>
        <v>15673</v>
      </c>
      <c r="G614" s="18">
        <f>1948+1751+201+62+14</f>
        <v>3976</v>
      </c>
      <c r="H614" s="18">
        <f>18052+350+1108+670+722+3585</f>
        <v>24487</v>
      </c>
      <c r="I614" s="18">
        <v>30</v>
      </c>
      <c r="J614" s="18"/>
      <c r="K614" s="18"/>
      <c r="L614" s="88">
        <f>SUM(F614:K614)</f>
        <v>44166</v>
      </c>
      <c r="M614" s="8"/>
      <c r="N614" s="265"/>
    </row>
    <row r="615" spans="1:14" s="3" customFormat="1" ht="12.2" customHeight="1" thickTop="1" x14ac:dyDescent="0.15">
      <c r="A615" s="98" t="s">
        <v>340</v>
      </c>
      <c r="B615" s="107">
        <v>23</v>
      </c>
      <c r="C615" s="107">
        <v>16</v>
      </c>
      <c r="D615" s="39" t="s">
        <v>432</v>
      </c>
      <c r="E615" s="107"/>
      <c r="F615" s="108">
        <f t="shared" ref="F615:L615" si="49">SUM(F612:F614)</f>
        <v>54678</v>
      </c>
      <c r="G615" s="108">
        <f t="shared" si="49"/>
        <v>13279</v>
      </c>
      <c r="H615" s="108">
        <f t="shared" si="49"/>
        <v>121796</v>
      </c>
      <c r="I615" s="108">
        <f t="shared" si="49"/>
        <v>159</v>
      </c>
      <c r="J615" s="108">
        <f t="shared" si="49"/>
        <v>0</v>
      </c>
      <c r="K615" s="108">
        <f t="shared" si="49"/>
        <v>0</v>
      </c>
      <c r="L615" s="89">
        <f t="shared" si="49"/>
        <v>189912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2821286</v>
      </c>
      <c r="H618" s="109">
        <f>SUM(F52)</f>
        <v>2821286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138812</v>
      </c>
      <c r="H619" s="109">
        <f>SUM(G52)</f>
        <v>138812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226379</v>
      </c>
      <c r="H620" s="109">
        <f>SUM(H52)</f>
        <v>226379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535031</v>
      </c>
      <c r="H621" s="109">
        <f>SUM(I52)</f>
        <v>535031</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573405</v>
      </c>
      <c r="H622" s="109">
        <f>SUM(J52)</f>
        <v>573405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2309598</v>
      </c>
      <c r="H623" s="109">
        <f>F477</f>
        <v>2309598</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115024</v>
      </c>
      <c r="H624" s="109">
        <f>G477</f>
        <v>115024</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488815</v>
      </c>
      <c r="H626" s="109">
        <f>I477</f>
        <v>488815</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532774</v>
      </c>
      <c r="H627" s="109">
        <f>J477</f>
        <v>532774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20785798</v>
      </c>
      <c r="H628" s="104">
        <f>SUM(F469)</f>
        <v>20785798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633530</v>
      </c>
      <c r="H629" s="104">
        <f>SUM(G469)</f>
        <v>633530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669862</v>
      </c>
      <c r="H630" s="104">
        <f>SUM(H469)</f>
        <v>669862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4879868</v>
      </c>
      <c r="H631" s="104">
        <f>SUM(I469)</f>
        <v>4879868</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175834</v>
      </c>
      <c r="H632" s="104">
        <f>SUM(J469)</f>
        <v>175834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20313932</v>
      </c>
      <c r="H633" s="104">
        <f>SUM(F473)</f>
        <v>20313932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669862</v>
      </c>
      <c r="H634" s="104">
        <f>SUM(H473)</f>
        <v>669862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254622</v>
      </c>
      <c r="H635" s="104">
        <f>I370</f>
        <v>254622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520371</v>
      </c>
      <c r="H636" s="104">
        <f>SUM(G473)</f>
        <v>520371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3255036</v>
      </c>
      <c r="H637" s="104">
        <f>SUM(I473)</f>
        <v>3255036</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175834</v>
      </c>
      <c r="H638" s="164">
        <f>SUM(J469)</f>
        <v>175834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40631</v>
      </c>
      <c r="H639" s="164">
        <f>SUM(J473)</f>
        <v>40631</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231463</v>
      </c>
      <c r="H640" s="104">
        <f>SUM(F462)</f>
        <v>231463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341942</v>
      </c>
      <c r="H641" s="104">
        <f>SUM(G462)</f>
        <v>341942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573405</v>
      </c>
      <c r="H643" s="104">
        <f>SUM(I462)</f>
        <v>573405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834</v>
      </c>
      <c r="H645" s="104">
        <f>H409</f>
        <v>834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175000</v>
      </c>
      <c r="H646" s="104">
        <f>G409</f>
        <v>175000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175834</v>
      </c>
      <c r="H647" s="104">
        <f>L409</f>
        <v>175834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793139</v>
      </c>
      <c r="H648" s="104">
        <f>L209+L227+L245</f>
        <v>793139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269246</v>
      </c>
      <c r="H649" s="104">
        <f>(J258+J339)-(J256+J337)</f>
        <v>269246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348344</v>
      </c>
      <c r="H650" s="104">
        <f>H599</f>
        <v>348344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119003</v>
      </c>
      <c r="H651" s="104">
        <f>I599</f>
        <v>119003</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325792</v>
      </c>
      <c r="H652" s="104">
        <f>J599</f>
        <v>325792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1958</v>
      </c>
      <c r="H654" s="104">
        <f>K265</f>
        <v>1958</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68127</v>
      </c>
      <c r="H655" s="104">
        <f>K266+K347</f>
        <v>68127</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175000</v>
      </c>
      <c r="H656" s="104">
        <f>K267+K348</f>
        <v>175000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10894458</v>
      </c>
      <c r="G661" s="19">
        <f>(L230+L310+L360)</f>
        <v>3158893</v>
      </c>
      <c r="H661" s="19">
        <f>(L248+L329+L361)</f>
        <v>6811166</v>
      </c>
      <c r="I661" s="19">
        <f>SUM(F661:H661)</f>
        <v>20864517</v>
      </c>
      <c r="J661" s="13"/>
      <c r="K661" s="13"/>
      <c r="L661" s="13"/>
      <c r="M661" s="9"/>
    </row>
    <row r="662" spans="1:13" s="3" customFormat="1" ht="12.2" customHeight="1" x14ac:dyDescent="0.2">
      <c r="A662" s="1" t="s">
        <v>127</v>
      </c>
      <c r="F662" s="19">
        <f>(L359/IF(SUM(L359:L361)=0,1,SUM(L359:L361))*(SUM(G97:G110)))</f>
        <v>38446.973787932067</v>
      </c>
      <c r="G662" s="19">
        <f>(L360/IF(SUM(L359:L361)=0,1,SUM(L359:L361))*(SUM(G97:G110)))</f>
        <v>10150.219295464198</v>
      </c>
      <c r="H662" s="19">
        <f>(L361/IF(SUM(L359:L361)=0,1,SUM(L359:L361))*(SUM(G97:G110)))</f>
        <v>23821.806916603731</v>
      </c>
      <c r="I662" s="19">
        <f>SUM(F662:H662)</f>
        <v>72419</v>
      </c>
      <c r="J662"/>
      <c r="K662" s="13"/>
      <c r="L662" s="13"/>
      <c r="M662" s="8"/>
    </row>
    <row r="663" spans="1:13" s="3" customFormat="1" ht="12.2" customHeight="1" x14ac:dyDescent="0.2">
      <c r="A663" s="1" t="s">
        <v>128</v>
      </c>
      <c r="F663" s="19">
        <f>(L209+L288)-(J209+J288)</f>
        <v>348344</v>
      </c>
      <c r="G663" s="19">
        <f>(L227+L307)-(J227+J307)</f>
        <v>119003</v>
      </c>
      <c r="H663" s="19">
        <f>(L245+L326)-(J245+J326)</f>
        <v>325792</v>
      </c>
      <c r="I663" s="19">
        <f>SUM(F663:H663)</f>
        <v>793139</v>
      </c>
      <c r="J663"/>
      <c r="K663" s="13"/>
      <c r="L663" s="13"/>
      <c r="M663" s="9"/>
    </row>
    <row r="664" spans="1:13" s="3" customFormat="1" ht="12.2" customHeight="1" x14ac:dyDescent="0.15">
      <c r="A664" s="197" t="s">
        <v>129</v>
      </c>
      <c r="B664" s="169"/>
      <c r="C664" s="169"/>
      <c r="D664" s="169"/>
      <c r="E664" s="169"/>
      <c r="F664" s="198">
        <f>SUM(F576:F588)+SUM(H603:H605)+SUM(L612)</f>
        <v>706713</v>
      </c>
      <c r="G664" s="198">
        <f>SUM(G576:G588)+SUM(I603:I605)+L613</f>
        <v>174344</v>
      </c>
      <c r="H664" s="198">
        <f>SUM(H576:H588)+SUM(J603:J605)+L614</f>
        <v>362965</v>
      </c>
      <c r="I664" s="19">
        <f>SUM(F664:H664)</f>
        <v>1244022</v>
      </c>
      <c r="J664" s="13"/>
      <c r="K664" s="13"/>
      <c r="L664" s="13"/>
      <c r="M664" s="9"/>
    </row>
    <row r="665" spans="1:13" s="3" customFormat="1" ht="12.2" customHeight="1" x14ac:dyDescent="0.15">
      <c r="A665" s="1" t="s">
        <v>130</v>
      </c>
      <c r="F665" s="19">
        <f>F661-SUM(F662:F664)</f>
        <v>9800954.0262120683</v>
      </c>
      <c r="G665" s="19">
        <f>G661-SUM(G662:G664)</f>
        <v>2855395.7807045355</v>
      </c>
      <c r="H665" s="19">
        <f>H661-SUM(H662:H664)</f>
        <v>6098587.1930833962</v>
      </c>
      <c r="I665" s="19">
        <f>I661-SUM(I662:I664)</f>
        <v>18754937</v>
      </c>
      <c r="J665" s="13"/>
      <c r="K665" s="13"/>
      <c r="L665" s="13"/>
      <c r="M665" s="8"/>
    </row>
    <row r="666" spans="1:13" s="3" customFormat="1" ht="12.2" customHeight="1" x14ac:dyDescent="0.2">
      <c r="A666" s="1" t="s">
        <v>131</v>
      </c>
      <c r="F666" s="245">
        <v>449.91</v>
      </c>
      <c r="G666" s="246">
        <v>133.05000000000001</v>
      </c>
      <c r="H666" s="246">
        <v>317.77</v>
      </c>
      <c r="I666" s="19">
        <f>SUM(F666:H666)</f>
        <v>900.73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21784.25</v>
      </c>
      <c r="G668" s="19">
        <f>ROUND(G665/G666,2)</f>
        <v>21461.07</v>
      </c>
      <c r="H668" s="19">
        <f>ROUND(H665/H666,2)</f>
        <v>19191.830000000002</v>
      </c>
      <c r="I668" s="19">
        <f>ROUND(I665/I666,2)</f>
        <v>20821.93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-9.67</v>
      </c>
      <c r="I671" s="19">
        <f>SUM(F671:H671)</f>
        <v>-9.67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21784.25</v>
      </c>
      <c r="G673" s="19">
        <f>ROUND((G665+G670)/(G666+G671),2)</f>
        <v>21461.07</v>
      </c>
      <c r="H673" s="19">
        <f>ROUND((H665+H670)/(H666+H671),2)</f>
        <v>19794.18</v>
      </c>
      <c r="I673" s="19">
        <f>ROUND((I665+I670)/(I666+I671),2)</f>
        <v>21047.89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A10" sqref="A10"/>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52265</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6013+11864+1167+8590+14159</f>
        <v>41793</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10472</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Hopkinton</v>
      </c>
      <c r="C5" s="375"/>
      <c r="D5" s="375"/>
      <c r="E5" s="375"/>
      <c r="F5" s="375"/>
    </row>
    <row r="8" spans="1:9" ht="18" x14ac:dyDescent="0.25">
      <c r="A8" s="312" t="s">
        <v>1568</v>
      </c>
      <c r="F8" s="319" t="s">
        <v>1586</v>
      </c>
    </row>
    <row r="9" spans="1:9" ht="15" x14ac:dyDescent="0.2">
      <c r="A9" s="310" t="s">
        <v>1569</v>
      </c>
      <c r="B9" s="313">
        <f>'DOE25'!G97</f>
        <v>67808</v>
      </c>
      <c r="F9" s="310" t="s">
        <v>1582</v>
      </c>
    </row>
    <row r="10" spans="1:9" ht="15" x14ac:dyDescent="0.2">
      <c r="A10" s="310" t="s">
        <v>1570</v>
      </c>
      <c r="B10" s="313">
        <f>'DOE25'!G112-'DOE25'!G97</f>
        <v>4611</v>
      </c>
      <c r="F10" s="310" t="s">
        <v>1583</v>
      </c>
    </row>
    <row r="11" spans="1:9" ht="15" x14ac:dyDescent="0.2">
      <c r="A11" s="310" t="s">
        <v>1571</v>
      </c>
      <c r="B11" s="313">
        <f>'DOE25'!G140</f>
        <v>37181</v>
      </c>
      <c r="F11" s="310" t="s">
        <v>1584</v>
      </c>
    </row>
    <row r="12" spans="1:9" ht="15" x14ac:dyDescent="0.2">
      <c r="A12" s="310" t="s">
        <v>1572</v>
      </c>
      <c r="B12" s="313">
        <f>'DOE25'!G170</f>
        <v>523930</v>
      </c>
      <c r="F12" s="310" t="s">
        <v>1585</v>
      </c>
    </row>
    <row r="13" spans="1:9" ht="15" x14ac:dyDescent="0.2">
      <c r="A13" s="310" t="s">
        <v>1573</v>
      </c>
      <c r="B13" s="313">
        <f>'DOE25'!G193-'DOE25'!G180</f>
        <v>0</v>
      </c>
      <c r="F13" s="310" t="s">
        <v>1595</v>
      </c>
    </row>
    <row r="14" spans="1:9" ht="18" x14ac:dyDescent="0.25">
      <c r="A14" s="312" t="s">
        <v>732</v>
      </c>
      <c r="B14" s="314">
        <f>SUM(B9:B13)</f>
        <v>633530</v>
      </c>
    </row>
    <row r="16" spans="1:9" ht="18" x14ac:dyDescent="0.25">
      <c r="A16" s="312" t="s">
        <v>786</v>
      </c>
      <c r="F16" s="319" t="s">
        <v>1587</v>
      </c>
    </row>
    <row r="17" spans="1:6" ht="15" x14ac:dyDescent="0.2">
      <c r="A17" s="310" t="s">
        <v>1574</v>
      </c>
      <c r="B17" s="313">
        <f>'DOE25'!L363-'DOE25'!L362</f>
        <v>520371</v>
      </c>
      <c r="F17" s="310" t="s">
        <v>1588</v>
      </c>
    </row>
    <row r="18" spans="1:6" ht="15" x14ac:dyDescent="0.2">
      <c r="A18" s="310" t="s">
        <v>1575</v>
      </c>
      <c r="B18" s="323"/>
      <c r="F18" s="319" t="s">
        <v>1612</v>
      </c>
    </row>
    <row r="19" spans="1:6" ht="18" x14ac:dyDescent="0.25">
      <c r="A19" s="312" t="s">
        <v>725</v>
      </c>
      <c r="B19" s="314">
        <f>SUM(B17:B18)</f>
        <v>520371</v>
      </c>
    </row>
    <row r="21" spans="1:6" ht="18.75" thickBot="1" x14ac:dyDescent="0.3">
      <c r="A21" s="312" t="s">
        <v>1576</v>
      </c>
    </row>
    <row r="22" spans="1:6" ht="18.75" thickTop="1" x14ac:dyDescent="0.25">
      <c r="A22" s="312" t="s">
        <v>1577</v>
      </c>
      <c r="B22" s="318">
        <f>B14-B19</f>
        <v>113159</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1865</v>
      </c>
      <c r="F31" s="310" t="s">
        <v>1592</v>
      </c>
    </row>
    <row r="33" spans="1:6" ht="15" x14ac:dyDescent="0.2">
      <c r="A33" s="310" t="s">
        <v>1635</v>
      </c>
      <c r="B33" s="313">
        <f>'DOE25'!G477</f>
        <v>115024</v>
      </c>
      <c r="F33" s="310" t="s">
        <v>1593</v>
      </c>
    </row>
    <row r="36" spans="1:6" ht="15" x14ac:dyDescent="0.2">
      <c r="A36" s="310" t="s">
        <v>1579</v>
      </c>
      <c r="B36" s="324">
        <v>25852</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Hopkinton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5363578</v>
      </c>
      <c r="C9" s="228">
        <f>'DOE25'!G198+'DOE25'!G216+'DOE25'!G234+'DOE25'!G277+'DOE25'!G296+'DOE25'!G315</f>
        <v>3089618</v>
      </c>
    </row>
    <row r="10" spans="1:3" x14ac:dyDescent="0.2">
      <c r="A10" t="s">
        <v>775</v>
      </c>
      <c r="B10" s="239">
        <v>5228892</v>
      </c>
      <c r="C10" s="239">
        <v>3031439</v>
      </c>
    </row>
    <row r="11" spans="1:3" x14ac:dyDescent="0.2">
      <c r="A11" t="s">
        <v>776</v>
      </c>
      <c r="B11" s="239">
        <f>34867+685</f>
        <v>35552</v>
      </c>
      <c r="C11" s="239">
        <f>52374-35552</f>
        <v>16822</v>
      </c>
    </row>
    <row r="12" spans="1:3" x14ac:dyDescent="0.2">
      <c r="A12" t="s">
        <v>777</v>
      </c>
      <c r="B12" s="239">
        <v>99134</v>
      </c>
      <c r="C12" s="239">
        <v>41357</v>
      </c>
    </row>
    <row r="13" spans="1:3" x14ac:dyDescent="0.2">
      <c r="A13" t="str">
        <f>IF(B9=B13,IF(C9=C13,"Check Total OK","Check Total Error"),"Check Total Error")</f>
        <v>Check Total OK</v>
      </c>
      <c r="B13" s="230">
        <f>SUM(B10:B12)</f>
        <v>5363578</v>
      </c>
      <c r="C13" s="230">
        <f>SUM(C10:C12)</f>
        <v>3089618</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2111499</v>
      </c>
      <c r="C18" s="228">
        <f>'DOE25'!G199+'DOE25'!G217+'DOE25'!G235+'DOE25'!G278+'DOE25'!G297+'DOE25'!G316</f>
        <v>1018748</v>
      </c>
    </row>
    <row r="19" spans="1:3" x14ac:dyDescent="0.2">
      <c r="A19" t="s">
        <v>775</v>
      </c>
      <c r="B19" s="239">
        <v>1250498</v>
      </c>
      <c r="C19" s="239">
        <v>758918</v>
      </c>
    </row>
    <row r="20" spans="1:3" x14ac:dyDescent="0.2">
      <c r="A20" t="s">
        <v>776</v>
      </c>
      <c r="B20" s="239">
        <f>27223+2833+280884+3302+287824+157780+99244+1911</f>
        <v>861001</v>
      </c>
      <c r="C20" s="239">
        <f>1120831-861001</f>
        <v>259830</v>
      </c>
    </row>
    <row r="21" spans="1:3" x14ac:dyDescent="0.2">
      <c r="A21" t="s">
        <v>777</v>
      </c>
      <c r="B21" s="239"/>
      <c r="C21" s="239"/>
    </row>
    <row r="22" spans="1:3" x14ac:dyDescent="0.2">
      <c r="A22" t="str">
        <f>IF(B18=B22,IF(C18=C22,"Check Total OK","Check Total Error"),"Check Total Error")</f>
        <v>Check Total OK</v>
      </c>
      <c r="B22" s="230">
        <f>SUM(B19:B21)</f>
        <v>2111499</v>
      </c>
      <c r="C22" s="230">
        <f>SUM(C19:C21)</f>
        <v>1018748</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243031</v>
      </c>
      <c r="C36" s="234">
        <f>'DOE25'!G201+'DOE25'!G219+'DOE25'!G237+'DOE25'!G280+'DOE25'!G299+'DOE25'!G318</f>
        <v>59532</v>
      </c>
    </row>
    <row r="37" spans="1:3" x14ac:dyDescent="0.2">
      <c r="A37" t="s">
        <v>775</v>
      </c>
      <c r="B37" s="239">
        <v>243031</v>
      </c>
      <c r="C37" s="239">
        <v>59532</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243031</v>
      </c>
      <c r="C40" s="230">
        <f>SUM(C37:C39)</f>
        <v>59532</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8" activePane="bottomLeft" state="frozen"/>
      <selection activeCell="F46" sqref="F46"/>
      <selection pane="bottomLeft" activeCell="F8" sqref="F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Hopkinton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12698027</v>
      </c>
      <c r="D5" s="20">
        <f>SUM('DOE25'!L198:L201)+SUM('DOE25'!L216:L219)+SUM('DOE25'!L234:L237)-F5-G5-H5</f>
        <v>12493838</v>
      </c>
      <c r="E5" s="242"/>
      <c r="F5" s="243">
        <f>107599+29034+36000</f>
        <v>172633</v>
      </c>
      <c r="G5" s="53">
        <f>SUM('DOE25'!J198:J201)+SUM('DOE25'!J216:J219)+SUM('DOE25'!J234:J237)</f>
        <v>10517</v>
      </c>
      <c r="H5" s="53">
        <f>SUM('DOE25'!K198:K201)+SUM('DOE25'!K216:K219)+SUM('DOE25'!K234:K237)</f>
        <v>21039</v>
      </c>
      <c r="I5" s="255"/>
    </row>
    <row r="6" spans="1:9" x14ac:dyDescent="0.2">
      <c r="A6" s="32">
        <v>2100</v>
      </c>
      <c r="B6" t="s">
        <v>796</v>
      </c>
      <c r="C6" s="274">
        <f t="shared" si="0"/>
        <v>1565398</v>
      </c>
      <c r="D6" s="20">
        <f>'DOE25'!L203+'DOE25'!L221+'DOE25'!L239-F6-G6-H6</f>
        <v>1369113</v>
      </c>
      <c r="E6" s="242"/>
      <c r="F6" s="243">
        <v>194761</v>
      </c>
      <c r="G6" s="53">
        <f>'DOE25'!J203+'DOE25'!J221+'DOE25'!J239</f>
        <v>0</v>
      </c>
      <c r="H6" s="53">
        <f>'DOE25'!K203+'DOE25'!K221+'DOE25'!K239</f>
        <v>1524</v>
      </c>
      <c r="I6" s="255"/>
    </row>
    <row r="7" spans="1:9" x14ac:dyDescent="0.2">
      <c r="A7" s="32">
        <v>2200</v>
      </c>
      <c r="B7" t="s">
        <v>821</v>
      </c>
      <c r="C7" s="274">
        <f t="shared" si="0"/>
        <v>768358</v>
      </c>
      <c r="D7" s="20">
        <f>'DOE25'!L204+'DOE25'!L222+'DOE25'!L240-F7-G7-H7</f>
        <v>689490</v>
      </c>
      <c r="E7" s="242"/>
      <c r="F7" s="243">
        <v>0</v>
      </c>
      <c r="G7" s="53">
        <f>'DOE25'!J204+'DOE25'!J222+'DOE25'!J240</f>
        <v>50806</v>
      </c>
      <c r="H7" s="53">
        <f>'DOE25'!K204+'DOE25'!K222+'DOE25'!K240</f>
        <v>28062</v>
      </c>
      <c r="I7" s="255"/>
    </row>
    <row r="8" spans="1:9" x14ac:dyDescent="0.2">
      <c r="A8" s="32">
        <v>2300</v>
      </c>
      <c r="B8" t="s">
        <v>797</v>
      </c>
      <c r="C8" s="274">
        <f t="shared" si="0"/>
        <v>247702</v>
      </c>
      <c r="D8" s="242"/>
      <c r="E8" s="20">
        <f>'DOE25'!L205+'DOE25'!L223+'DOE25'!L241-F8-G8-H8-D9-D11</f>
        <v>193715</v>
      </c>
      <c r="F8" s="243">
        <v>34403</v>
      </c>
      <c r="G8" s="53">
        <f>'DOE25'!J205+'DOE25'!J223+'DOE25'!J241</f>
        <v>0</v>
      </c>
      <c r="H8" s="53">
        <f>'DOE25'!K205+'DOE25'!K223+'DOE25'!K241</f>
        <v>19584</v>
      </c>
      <c r="I8" s="255"/>
    </row>
    <row r="9" spans="1:9" ht="14.25" x14ac:dyDescent="0.2">
      <c r="A9" s="32">
        <v>2310</v>
      </c>
      <c r="B9" s="184" t="s">
        <v>888</v>
      </c>
      <c r="C9" s="274">
        <f t="shared" si="0"/>
        <v>15514</v>
      </c>
      <c r="D9" s="243">
        <v>15514</v>
      </c>
      <c r="E9" s="242"/>
      <c r="F9" s="252"/>
      <c r="G9" s="252"/>
      <c r="H9" s="252"/>
      <c r="I9" s="255"/>
    </row>
    <row r="10" spans="1:9" ht="14.25" x14ac:dyDescent="0.2">
      <c r="A10" s="32">
        <v>2317</v>
      </c>
      <c r="B10" s="184" t="s">
        <v>889</v>
      </c>
      <c r="C10" s="274">
        <f t="shared" si="0"/>
        <v>13028</v>
      </c>
      <c r="D10" s="242"/>
      <c r="E10" s="243">
        <v>13028</v>
      </c>
      <c r="F10" s="252"/>
      <c r="G10" s="252"/>
      <c r="H10" s="252"/>
      <c r="I10" s="255"/>
    </row>
    <row r="11" spans="1:9" ht="14.25" x14ac:dyDescent="0.2">
      <c r="A11" s="32">
        <v>2321</v>
      </c>
      <c r="B11" s="184" t="s">
        <v>890</v>
      </c>
      <c r="C11" s="274">
        <f t="shared" si="0"/>
        <v>403776</v>
      </c>
      <c r="D11" s="243">
        <v>403776</v>
      </c>
      <c r="E11" s="242"/>
      <c r="F11" s="252"/>
      <c r="G11" s="252"/>
      <c r="H11" s="252"/>
      <c r="I11" s="255"/>
    </row>
    <row r="12" spans="1:9" x14ac:dyDescent="0.2">
      <c r="A12" s="32">
        <v>2400</v>
      </c>
      <c r="B12" t="s">
        <v>711</v>
      </c>
      <c r="C12" s="274">
        <f t="shared" si="0"/>
        <v>1022345</v>
      </c>
      <c r="D12" s="20">
        <f>'DOE25'!L206+'DOE25'!L224+'DOE25'!L242-F12-G12-H12</f>
        <v>1015658</v>
      </c>
      <c r="E12" s="242"/>
      <c r="F12" s="243">
        <v>0</v>
      </c>
      <c r="G12" s="53">
        <f>'DOE25'!J206+'DOE25'!J224+'DOE25'!J242</f>
        <v>1709</v>
      </c>
      <c r="H12" s="53">
        <f>'DOE25'!K206+'DOE25'!K224+'DOE25'!K242</f>
        <v>4978</v>
      </c>
      <c r="I12" s="255"/>
    </row>
    <row r="13" spans="1:9" x14ac:dyDescent="0.2">
      <c r="A13" s="32">
        <v>2500</v>
      </c>
      <c r="B13" t="s">
        <v>798</v>
      </c>
      <c r="C13" s="274">
        <f t="shared" si="0"/>
        <v>368932</v>
      </c>
      <c r="D13" s="242"/>
      <c r="E13" s="20">
        <f>'DOE25'!L207+'DOE25'!L225+'DOE25'!L243-F13-G13-H13</f>
        <v>368932</v>
      </c>
      <c r="F13" s="243">
        <v>0</v>
      </c>
      <c r="G13" s="53">
        <f>'DOE25'!J207+'DOE25'!J225+'DOE25'!J243</f>
        <v>0</v>
      </c>
      <c r="H13" s="53">
        <f>'DOE25'!K207+'DOE25'!K225+'DOE25'!K243</f>
        <v>0</v>
      </c>
      <c r="I13" s="255"/>
    </row>
    <row r="14" spans="1:9" x14ac:dyDescent="0.2">
      <c r="A14" s="32">
        <v>2600</v>
      </c>
      <c r="B14" t="s">
        <v>819</v>
      </c>
      <c r="C14" s="274">
        <f t="shared" si="0"/>
        <v>1504446</v>
      </c>
      <c r="D14" s="20">
        <f>'DOE25'!L208+'DOE25'!L226+'DOE25'!L244-F14-G14-H14</f>
        <v>1236336</v>
      </c>
      <c r="E14" s="242"/>
      <c r="F14" s="243">
        <f>50998+25000+30000</f>
        <v>105998</v>
      </c>
      <c r="G14" s="53">
        <f>'DOE25'!J208+'DOE25'!J226+'DOE25'!J244</f>
        <v>162074</v>
      </c>
      <c r="H14" s="53">
        <f>'DOE25'!K208+'DOE25'!K226+'DOE25'!K244</f>
        <v>38</v>
      </c>
      <c r="I14" s="255"/>
    </row>
    <row r="15" spans="1:9" x14ac:dyDescent="0.2">
      <c r="A15" s="32">
        <v>2700</v>
      </c>
      <c r="B15" t="s">
        <v>799</v>
      </c>
      <c r="C15" s="274">
        <f t="shared" si="0"/>
        <v>793139</v>
      </c>
      <c r="D15" s="20">
        <f>'DOE25'!L209+'DOE25'!L227+'DOE25'!L245-F15-G15-H15</f>
        <v>34463</v>
      </c>
      <c r="E15" s="242"/>
      <c r="F15" s="243">
        <f>475533+166558+53345+13710+44823+1800+1655+1084</f>
        <v>758508</v>
      </c>
      <c r="G15" s="53">
        <f>'DOE25'!J209+'DOE25'!J227+'DOE25'!J245</f>
        <v>0</v>
      </c>
      <c r="H15" s="53">
        <f>'DOE25'!K209+'DOE25'!K227+'DOE25'!K245</f>
        <v>168</v>
      </c>
      <c r="I15" s="255"/>
    </row>
    <row r="16" spans="1:9" x14ac:dyDescent="0.2">
      <c r="A16" s="32">
        <v>2800</v>
      </c>
      <c r="B16" t="s">
        <v>800</v>
      </c>
      <c r="C16" s="274">
        <f t="shared" si="0"/>
        <v>288102</v>
      </c>
      <c r="D16" s="242"/>
      <c r="E16" s="20">
        <f>'DOE25'!L210+'DOE25'!L228+'DOE25'!L246-F16-G16-H16</f>
        <v>265550</v>
      </c>
      <c r="F16" s="243">
        <v>0</v>
      </c>
      <c r="G16" s="53">
        <f>'DOE25'!J210+'DOE25'!J228+'DOE25'!J246</f>
        <v>8410</v>
      </c>
      <c r="H16" s="53">
        <f>'DOE25'!K210+'DOE25'!K228+'DOE25'!K246</f>
        <v>14142</v>
      </c>
      <c r="I16" s="255"/>
    </row>
    <row r="17" spans="1:9" x14ac:dyDescent="0.2">
      <c r="A17" s="32">
        <v>1600</v>
      </c>
      <c r="B17" t="s">
        <v>801</v>
      </c>
      <c r="C17" s="274">
        <f t="shared" si="0"/>
        <v>0</v>
      </c>
      <c r="D17" s="20">
        <f>'DOE25'!L252-F17-G17-H17</f>
        <v>0</v>
      </c>
      <c r="E17" s="242"/>
      <c r="F17" s="243">
        <v>0</v>
      </c>
      <c r="G17" s="53">
        <f>'DOE25'!J252</f>
        <v>0</v>
      </c>
      <c r="H17" s="53">
        <f>'DOE25'!K252</f>
        <v>0</v>
      </c>
      <c r="I17" s="255"/>
    </row>
    <row r="18" spans="1:9" x14ac:dyDescent="0.2">
      <c r="A18" s="32">
        <v>1700</v>
      </c>
      <c r="B18" t="s">
        <v>802</v>
      </c>
      <c r="C18" s="274">
        <f t="shared" si="0"/>
        <v>0</v>
      </c>
      <c r="D18" s="20">
        <f>'DOE25'!L253-F18-G18-H18</f>
        <v>0</v>
      </c>
      <c r="E18" s="242"/>
      <c r="F18" s="243">
        <v>0</v>
      </c>
      <c r="G18" s="53">
        <f>'DOE25'!J253</f>
        <v>0</v>
      </c>
      <c r="H18" s="53">
        <f>'DOE25'!K253</f>
        <v>0</v>
      </c>
      <c r="I18" s="255"/>
    </row>
    <row r="19" spans="1:9" x14ac:dyDescent="0.2">
      <c r="A19" s="32">
        <v>1800</v>
      </c>
      <c r="B19" t="s">
        <v>803</v>
      </c>
      <c r="C19" s="274">
        <f t="shared" si="0"/>
        <v>0</v>
      </c>
      <c r="D19" s="20">
        <f>'DOE25'!L254-F19-G19-H19</f>
        <v>0</v>
      </c>
      <c r="E19" s="242"/>
      <c r="F19" s="243">
        <v>0</v>
      </c>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17750</v>
      </c>
      <c r="D22" s="242"/>
      <c r="E22" s="242"/>
      <c r="F22" s="242"/>
      <c r="G22" s="53">
        <f>'DOE25'!L256+'DOE25'!L337</f>
        <v>17750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375358</v>
      </c>
      <c r="D25" s="242"/>
      <c r="E25" s="242"/>
      <c r="F25" s="254"/>
      <c r="G25" s="252"/>
      <c r="H25" s="252"/>
      <c r="I25" s="253">
        <f>'DOE25'!L261+'DOE25'!L262+'DOE25'!L342+'DOE25'!L343</f>
        <v>375358</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334186</v>
      </c>
      <c r="D29" s="282">
        <f>'DOE25'!L359+'DOE25'!L360+'DOE25'!L361-'DOE25'!I368-F29-G29-H29</f>
        <v>330954</v>
      </c>
      <c r="E29" s="242"/>
      <c r="F29" s="243">
        <v>0</v>
      </c>
      <c r="G29" s="53">
        <f>'DOE25'!J359+'DOE25'!J360+'DOE25'!J361</f>
        <v>2299</v>
      </c>
      <c r="H29" s="53">
        <f>'DOE25'!K359+'DOE25'!K360+'DOE25'!K361</f>
        <v>933</v>
      </c>
      <c r="I29" s="255"/>
    </row>
    <row r="30" spans="1:9" x14ac:dyDescent="0.2">
      <c r="A30" s="32"/>
      <c r="C30" s="275"/>
      <c r="D30" s="20"/>
      <c r="E30" s="279"/>
      <c r="F30" s="269"/>
      <c r="G30" s="53"/>
      <c r="H30" s="53"/>
      <c r="I30" s="255"/>
    </row>
    <row r="31" spans="1:9" x14ac:dyDescent="0.2">
      <c r="A31" s="32" t="s">
        <v>818</v>
      </c>
      <c r="B31" t="s">
        <v>817</v>
      </c>
      <c r="C31" s="274">
        <f>SUM(D31:I31)</f>
        <v>669862</v>
      </c>
      <c r="D31" s="20">
        <f>'DOE25'!L291+'DOE25'!L310+'DOE25'!L329+'DOE25'!L334+'DOE25'!L335+'DOE25'!L336-F31-G31-H31</f>
        <v>606526</v>
      </c>
      <c r="E31" s="242"/>
      <c r="F31" s="243">
        <v>0</v>
      </c>
      <c r="G31" s="53">
        <f>'DOE25'!J291+'DOE25'!J310+'DOE25'!J329+'DOE25'!J334+'DOE25'!J335+'DOE25'!J336</f>
        <v>35730</v>
      </c>
      <c r="H31" s="53">
        <f>'DOE25'!K291+'DOE25'!K310+'DOE25'!K329+'DOE25'!K334+'DOE25'!K335+'DOE25'!K336</f>
        <v>27606</v>
      </c>
      <c r="I31" s="255"/>
    </row>
    <row r="32" spans="1:9" ht="12" thickBot="1" x14ac:dyDescent="0.25">
      <c r="C32" s="275"/>
      <c r="G32" s="250"/>
      <c r="H32" s="250"/>
      <c r="I32" s="257"/>
    </row>
    <row r="33" spans="1:9" ht="12" thickTop="1" x14ac:dyDescent="0.2">
      <c r="B33" t="s">
        <v>809</v>
      </c>
      <c r="D33" s="244">
        <f t="shared" ref="D33:I33" si="1">SUM(D5:D31)</f>
        <v>18195668</v>
      </c>
      <c r="E33" s="244">
        <f t="shared" si="1"/>
        <v>841225</v>
      </c>
      <c r="F33" s="244">
        <f t="shared" si="1"/>
        <v>1266303</v>
      </c>
      <c r="G33" s="244">
        <f t="shared" si="1"/>
        <v>289295</v>
      </c>
      <c r="H33" s="244">
        <f t="shared" si="1"/>
        <v>118074</v>
      </c>
      <c r="I33" s="244">
        <f t="shared" si="1"/>
        <v>375358</v>
      </c>
    </row>
    <row r="35" spans="1:9" ht="12" thickBot="1" x14ac:dyDescent="0.25">
      <c r="B35" s="250" t="s">
        <v>831</v>
      </c>
      <c r="D35" s="251">
        <f>E33</f>
        <v>841225</v>
      </c>
      <c r="E35" s="247"/>
      <c r="F35" s="328" t="s">
        <v>1617</v>
      </c>
      <c r="G35" s="329"/>
      <c r="H35" s="329"/>
      <c r="I35" s="329"/>
    </row>
    <row r="36" spans="1:9" ht="12" thickTop="1" x14ac:dyDescent="0.2">
      <c r="B36" t="s">
        <v>810</v>
      </c>
      <c r="D36" s="20">
        <f>D33</f>
        <v>18195668</v>
      </c>
      <c r="F36" s="331"/>
      <c r="G36" s="330" t="str">
        <f>IF(F36=0,"&lt;&lt;&lt;&lt;&lt; YOU HAVE NOT CHOSEN IF YOU WANT AN INDIRECT COST RATE!!","")</f>
        <v>&lt;&lt;&lt;&lt;&lt; YOU HAVE NOT CHOSEN IF YOU WANT AN INDIRECT COST RATE!!</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11"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Hopkinton</v>
      </c>
      <c r="B2" s="126">
        <f>'DOE25'!B2</f>
        <v>263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10618195</v>
      </c>
      <c r="G4" s="299">
        <f>'DOE25'!L212+'DOE25'!L291</f>
        <v>10618195</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Harold Martin School</v>
      </c>
      <c r="B6" s="300">
        <f>IFERROR(VLOOKUP(A6,'School Tables'!$C$3:$D$365,2,FALSE),"")</f>
        <v>20975</v>
      </c>
      <c r="C6" s="293" t="str">
        <f>IFERROR(INDEX('School Tables'!$B$3:$B$365,MATCH('School Level Expenditures'!B6,'School Tables'!$D$3:$D$365,0)),"")</f>
        <v>Hopkinton</v>
      </c>
      <c r="D6" s="290">
        <f>4438298+1069303+29879</f>
        <v>5537480</v>
      </c>
      <c r="E6" s="290">
        <v>212335</v>
      </c>
      <c r="F6" s="303">
        <f t="shared" ref="F6:F20" si="0">D6+E6</f>
        <v>5749815</v>
      </c>
      <c r="G6" s="293"/>
      <c r="H6" s="293"/>
      <c r="I6" s="384"/>
      <c r="N6"/>
    </row>
    <row r="7" spans="1:18" x14ac:dyDescent="0.2">
      <c r="A7" s="126" t="str" cm="1">
        <f t="array" ref="A7">IFERROR(INDEX('School Tables'!$A$4:$G$325,'School Tables'!$J5,3),"")</f>
        <v>Maple Street Elementary School</v>
      </c>
      <c r="B7" s="300">
        <f>IFERROR(VLOOKUP(A7,'School Tables'!$C$3:$D$365,2,FALSE),"")</f>
        <v>20965</v>
      </c>
      <c r="C7" s="293" t="str">
        <f>IFERROR(INDEX('School Tables'!$B$3:$B$365,MATCH('School Level Expenditures'!B7,'School Tables'!$D$3:$D$365,0)),"")</f>
        <v>Hopkinton</v>
      </c>
      <c r="D7" s="290">
        <f>3620171+1069303+25835</f>
        <v>4715309</v>
      </c>
      <c r="E7" s="290">
        <v>153071</v>
      </c>
      <c r="F7" s="303">
        <f t="shared" si="0"/>
        <v>4868380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10252789</v>
      </c>
      <c r="E21" s="338">
        <f>SUM(E5:E20)</f>
        <v>365406</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3085958</v>
      </c>
      <c r="G24" s="299">
        <f>'DOE25'!L230+'DOE25'!L310</f>
        <v>3085958</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Hopkinton Middle School</v>
      </c>
      <c r="B26" s="300">
        <f>IFERROR(VLOOKUP(A26,'School Tables'!$N$4:$O$75,2,FALSE),"")</f>
        <v>27000</v>
      </c>
      <c r="C26" s="293" t="str">
        <f>IFERROR(INDEX('School Tables'!$M$4:$M$75,MATCH('School Level Expenditures'!A26,'School Tables'!$N$4:$N$75,0)),"")</f>
        <v>Hopkinton</v>
      </c>
      <c r="D26" s="290">
        <f>3024336+1503+216+1370+971+3010+2691+75+240+315</f>
        <v>3034727</v>
      </c>
      <c r="E26" s="290">
        <v>51231</v>
      </c>
      <c r="F26" s="303">
        <f t="shared" ref="F26:F32" si="1">D26+E26</f>
        <v>3085958</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3034727</v>
      </c>
      <c r="E33" s="338">
        <f>SUM(E25:E32)</f>
        <v>51231</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6639993</v>
      </c>
      <c r="G36" s="299">
        <f>'DOE25'!L248+'DOE25'!L329</f>
        <v>6639993</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Hopkinton High School</v>
      </c>
      <c r="B38" s="300">
        <f>IFERROR(VLOOKUP(A38,'School Tables'!$Y$4:$Z$100,2,FALSE),"")</f>
        <v>20970</v>
      </c>
      <c r="C38" s="293" t="str">
        <f>IFERROR(INDEX('School Tables'!$X$4:$X$100,MATCH('School Level Expenditures'!A38,'School Tables'!$Y$4:$Y$100,0)),"")</f>
        <v>Hopkinton</v>
      </c>
      <c r="D38" s="290">
        <f>6454329+519+3196+2337+7024+6279+165+525+1003+17381</f>
        <v>6492758</v>
      </c>
      <c r="E38" s="290">
        <v>147235</v>
      </c>
      <c r="F38" s="303">
        <f t="shared" si="2"/>
        <v>6639993</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6492758</v>
      </c>
      <c r="E43" s="339">
        <f>SUM(E37:E42)</f>
        <v>147235</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42" zoomScale="80" zoomScaleNormal="80" workbookViewId="0">
      <selection activeCell="C12" sqref="C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Hopkinton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2639354</v>
      </c>
      <c r="D8" s="95">
        <f>'DOE25'!G9</f>
        <v>100</v>
      </c>
      <c r="E8" s="95">
        <f>'DOE25'!H9</f>
        <v>0</v>
      </c>
      <c r="F8" s="95">
        <f>'DOE25'!I9</f>
        <v>491987</v>
      </c>
      <c r="G8" s="95">
        <f>'DOE25'!J9</f>
        <v>0</v>
      </c>
      <c r="H8" s="124"/>
      <c r="I8" s="124"/>
    </row>
    <row r="9" spans="1:9" x14ac:dyDescent="0.2">
      <c r="A9" s="1" t="s">
        <v>140</v>
      </c>
      <c r="B9" s="6">
        <v>110</v>
      </c>
      <c r="C9" s="95">
        <f>'DOE25'!F10</f>
        <v>0</v>
      </c>
      <c r="D9" s="95">
        <f>'DOE25'!G10</f>
        <v>0</v>
      </c>
      <c r="E9" s="95">
        <f>'DOE25'!H10</f>
        <v>0</v>
      </c>
      <c r="F9" s="95">
        <f>'DOE25'!I10</f>
        <v>0</v>
      </c>
      <c r="G9" s="95">
        <f>'DOE25'!J10</f>
        <v>573405</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138700</v>
      </c>
      <c r="D11" s="95">
        <f>'DOE25'!G12</f>
        <v>101093</v>
      </c>
      <c r="E11" s="95">
        <f>'DOE25'!H12</f>
        <v>97729</v>
      </c>
      <c r="F11" s="95">
        <f>'DOE25'!I12</f>
        <v>43044</v>
      </c>
      <c r="G11" s="95">
        <f>'DOE25'!J12</f>
        <v>0</v>
      </c>
      <c r="H11" s="124"/>
      <c r="I11" s="124"/>
    </row>
    <row r="12" spans="1:9" x14ac:dyDescent="0.2">
      <c r="A12" s="1" t="s">
        <v>143</v>
      </c>
      <c r="B12" s="6">
        <v>140</v>
      </c>
      <c r="C12" s="95">
        <f>'DOE25'!F13</f>
        <v>16724</v>
      </c>
      <c r="D12" s="95">
        <f>'DOE25'!G13</f>
        <v>37619</v>
      </c>
      <c r="E12" s="95">
        <f>'DOE25'!H13</f>
        <v>128650</v>
      </c>
      <c r="F12" s="95">
        <f>'DOE25'!I13</f>
        <v>0</v>
      </c>
      <c r="G12" s="95">
        <f>'DOE25'!J13</f>
        <v>0</v>
      </c>
      <c r="H12" s="124"/>
      <c r="I12" s="124"/>
    </row>
    <row r="13" spans="1:9" x14ac:dyDescent="0.2">
      <c r="A13" s="1" t="s">
        <v>144</v>
      </c>
      <c r="B13" s="6">
        <v>150</v>
      </c>
      <c r="C13" s="95">
        <f>'DOE25'!F14</f>
        <v>11780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14728</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2821286</v>
      </c>
      <c r="D18" s="41">
        <f>SUM(D8:D17)</f>
        <v>138812</v>
      </c>
      <c r="E18" s="41">
        <f>SUM(E8:E17)</f>
        <v>226379</v>
      </c>
      <c r="F18" s="41">
        <f>SUM(F8:F17)</f>
        <v>535031</v>
      </c>
      <c r="G18" s="41">
        <f>SUM(G8:G17)</f>
        <v>573405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216572</v>
      </c>
      <c r="D21" s="95">
        <f>'DOE25'!G22</f>
        <v>0</v>
      </c>
      <c r="E21" s="95">
        <f>'DOE25'!H22</f>
        <v>123364</v>
      </c>
      <c r="F21" s="95">
        <f>'DOE25'!I22</f>
        <v>0</v>
      </c>
      <c r="G21" s="95">
        <f>'DOE25'!J22</f>
        <v>40631</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138964</v>
      </c>
      <c r="D23" s="95">
        <f>'DOE25'!G24</f>
        <v>457</v>
      </c>
      <c r="E23" s="95">
        <f>'DOE25'!H24</f>
        <v>18564</v>
      </c>
      <c r="F23" s="95">
        <f>'DOE25'!I24</f>
        <v>1216</v>
      </c>
      <c r="G23" s="95">
        <f>'DOE25'!J24</f>
        <v>0</v>
      </c>
      <c r="H23" s="124"/>
      <c r="I23" s="124"/>
    </row>
    <row r="24" spans="1:9" x14ac:dyDescent="0.2">
      <c r="A24" s="1" t="s">
        <v>153</v>
      </c>
      <c r="B24" s="6">
        <v>430</v>
      </c>
      <c r="C24" s="95">
        <f>'DOE25'!F25</f>
        <v>0</v>
      </c>
      <c r="D24" s="95">
        <f>'DOE25'!G25</f>
        <v>0</v>
      </c>
      <c r="E24" s="95">
        <f>'DOE25'!H25</f>
        <v>0</v>
      </c>
      <c r="F24" s="95">
        <f>'DOE25'!I25</f>
        <v>45000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143412</v>
      </c>
      <c r="D27" s="95">
        <f>'DOE25'!G28</f>
        <v>4405</v>
      </c>
      <c r="E27" s="95">
        <f>'DOE25'!H28</f>
        <v>182</v>
      </c>
      <c r="F27" s="95">
        <f>'DOE25'!I28</f>
        <v>0</v>
      </c>
      <c r="G27" s="24" t="s">
        <v>288</v>
      </c>
      <c r="H27" s="124"/>
      <c r="I27" s="124"/>
    </row>
    <row r="28" spans="1:9" x14ac:dyDescent="0.2">
      <c r="A28" s="1" t="s">
        <v>157</v>
      </c>
      <c r="B28" s="6">
        <v>470</v>
      </c>
      <c r="C28" s="95">
        <f>'DOE25'!F29</f>
        <v>-2878</v>
      </c>
      <c r="D28" s="95">
        <f>'DOE25'!G29</f>
        <v>0</v>
      </c>
      <c r="E28" s="95">
        <f>'DOE25'!H29</f>
        <v>0</v>
      </c>
      <c r="F28" s="95">
        <f>'DOE25'!I29</f>
        <v>0</v>
      </c>
      <c r="G28" s="24" t="s">
        <v>288</v>
      </c>
      <c r="H28" s="124"/>
      <c r="I28" s="124"/>
    </row>
    <row r="29" spans="1:9" x14ac:dyDescent="0.2">
      <c r="A29" s="1" t="s">
        <v>158</v>
      </c>
      <c r="B29" s="6">
        <v>480</v>
      </c>
      <c r="C29" s="95">
        <f>'DOE25'!F30</f>
        <v>15618</v>
      </c>
      <c r="D29" s="95">
        <f>'DOE25'!G30</f>
        <v>18926</v>
      </c>
      <c r="E29" s="95">
        <f>'DOE25'!H30</f>
        <v>84269</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511688</v>
      </c>
      <c r="D31" s="41">
        <f>SUM(D21:D30)</f>
        <v>23788</v>
      </c>
      <c r="E31" s="41">
        <f>SUM(E21:E30)</f>
        <v>226379</v>
      </c>
      <c r="F31" s="41">
        <f>SUM(F21:F30)</f>
        <v>46216</v>
      </c>
      <c r="G31" s="41">
        <f>SUM(G21:G30)</f>
        <v>40631</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14728</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785404</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88506</v>
      </c>
      <c r="E47" s="95">
        <f>'DOE25'!H48</f>
        <v>0</v>
      </c>
      <c r="F47" s="95">
        <f>'DOE25'!I48</f>
        <v>488815</v>
      </c>
      <c r="G47" s="95">
        <f>'DOE25'!J48</f>
        <v>532774</v>
      </c>
      <c r="H47" s="124"/>
      <c r="I47" s="124"/>
    </row>
    <row r="48" spans="1:9" x14ac:dyDescent="0.2">
      <c r="A48" s="1" t="s">
        <v>882</v>
      </c>
      <c r="B48" s="6">
        <v>753</v>
      </c>
      <c r="C48" s="95">
        <f>'DOE25'!F49</f>
        <v>433430</v>
      </c>
      <c r="D48" s="95">
        <f>'DOE25'!G49</f>
        <v>26518</v>
      </c>
      <c r="E48" s="95">
        <f>'DOE25'!H49</f>
        <v>0</v>
      </c>
      <c r="F48" s="95">
        <f>'DOE25'!I49</f>
        <v>0</v>
      </c>
      <c r="G48" s="95">
        <f>'DOE25'!J49</f>
        <v>0</v>
      </c>
      <c r="H48" s="124"/>
      <c r="I48" s="124"/>
    </row>
    <row r="49" spans="1:9" ht="12" thickBot="1" x14ac:dyDescent="0.25">
      <c r="A49" s="29" t="s">
        <v>883</v>
      </c>
      <c r="B49" s="71">
        <v>770</v>
      </c>
      <c r="C49" s="95">
        <f>'DOE25'!F50</f>
        <v>551036</v>
      </c>
      <c r="D49" s="24" t="s">
        <v>288</v>
      </c>
      <c r="E49" s="24" t="s">
        <v>288</v>
      </c>
      <c r="F49" s="24" t="s">
        <v>288</v>
      </c>
      <c r="G49" s="24" t="s">
        <v>288</v>
      </c>
      <c r="H49" s="124"/>
      <c r="I49" s="124"/>
    </row>
    <row r="50" spans="1:9" ht="12.75" thickTop="1" thickBot="1" x14ac:dyDescent="0.25">
      <c r="A50" s="38" t="s">
        <v>884</v>
      </c>
      <c r="B50" s="48"/>
      <c r="C50" s="41">
        <f>SUM(C34:C49)</f>
        <v>2309598</v>
      </c>
      <c r="D50" s="41">
        <f>SUM(D34:D49)</f>
        <v>115024</v>
      </c>
      <c r="E50" s="41">
        <f>SUM(E34:E49)</f>
        <v>0</v>
      </c>
      <c r="F50" s="41">
        <f>SUM(F34:F49)</f>
        <v>488815</v>
      </c>
      <c r="G50" s="41">
        <f>SUM(G34:G49)</f>
        <v>532774</v>
      </c>
      <c r="H50" s="124"/>
      <c r="I50" s="124"/>
    </row>
    <row r="51" spans="1:9" ht="12" thickTop="1" x14ac:dyDescent="0.2">
      <c r="A51" s="38" t="s">
        <v>885</v>
      </c>
      <c r="B51" s="2"/>
      <c r="C51" s="41">
        <f>C50+C31</f>
        <v>2821286</v>
      </c>
      <c r="D51" s="41">
        <f>D50+D31</f>
        <v>138812</v>
      </c>
      <c r="E51" s="41">
        <f>E50+E31</f>
        <v>226379</v>
      </c>
      <c r="F51" s="41">
        <f>F50+F31</f>
        <v>535031</v>
      </c>
      <c r="G51" s="41">
        <f>G50+G31</f>
        <v>573405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15708082</v>
      </c>
      <c r="D56" s="95">
        <f>'DOE25'!G60</f>
        <v>0</v>
      </c>
      <c r="E56" s="95">
        <f>'DOE25'!H60</f>
        <v>0</v>
      </c>
      <c r="F56" s="95">
        <f>'DOE25'!I60</f>
        <v>0</v>
      </c>
      <c r="G56" s="95">
        <f>'DOE25'!J60</f>
        <v>0</v>
      </c>
      <c r="H56"/>
      <c r="I56"/>
    </row>
    <row r="57" spans="1:9" x14ac:dyDescent="0.2">
      <c r="A57" s="1" t="s">
        <v>164</v>
      </c>
      <c r="B57" s="6" t="s">
        <v>165</v>
      </c>
      <c r="C57" s="95">
        <f>'DOE25'!F79</f>
        <v>54445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3732</v>
      </c>
      <c r="D59" s="95">
        <f>'DOE25'!G96</f>
        <v>0</v>
      </c>
      <c r="E59" s="95">
        <f>'DOE25'!H96</f>
        <v>0</v>
      </c>
      <c r="F59" s="95">
        <f>'DOE25'!I96</f>
        <v>0</v>
      </c>
      <c r="G59" s="95">
        <f>'DOE25'!J96</f>
        <v>834</v>
      </c>
      <c r="H59"/>
      <c r="I59"/>
    </row>
    <row r="60" spans="1:9" x14ac:dyDescent="0.2">
      <c r="A60" s="1" t="s">
        <v>170</v>
      </c>
      <c r="B60" s="118" t="s">
        <v>171</v>
      </c>
      <c r="C60" s="24" t="s">
        <v>288</v>
      </c>
      <c r="D60" s="95">
        <f>'DOE25'!G97</f>
        <v>67808</v>
      </c>
      <c r="E60" s="24" t="s">
        <v>288</v>
      </c>
      <c r="F60" s="24" t="s">
        <v>288</v>
      </c>
      <c r="G60" s="24" t="s">
        <v>288</v>
      </c>
      <c r="H60"/>
      <c r="I60"/>
    </row>
    <row r="61" spans="1:9" ht="12" thickBot="1" x14ac:dyDescent="0.25">
      <c r="A61" s="1" t="s">
        <v>172</v>
      </c>
      <c r="B61" s="118" t="s">
        <v>173</v>
      </c>
      <c r="C61" s="95">
        <f>SUM('DOE25'!F98:F110)</f>
        <v>383760</v>
      </c>
      <c r="D61" s="95">
        <f>SUM('DOE25'!G98:G110)</f>
        <v>4611</v>
      </c>
      <c r="E61" s="95">
        <f>SUM('DOE25'!H98:H110)</f>
        <v>98261</v>
      </c>
      <c r="F61" s="95">
        <f>SUM('DOE25'!I98:I110)</f>
        <v>15049</v>
      </c>
      <c r="G61" s="95">
        <f>SUM('DOE25'!J98:J110)</f>
        <v>0</v>
      </c>
      <c r="H61"/>
      <c r="I61"/>
    </row>
    <row r="62" spans="1:9" ht="12.75" thickTop="1" thickBot="1" x14ac:dyDescent="0.25">
      <c r="A62" s="29" t="s">
        <v>174</v>
      </c>
      <c r="B62" s="6"/>
      <c r="C62" s="130">
        <f>SUM(C57:C61)</f>
        <v>441937</v>
      </c>
      <c r="D62" s="130">
        <f>SUM(D57:D61)</f>
        <v>72419</v>
      </c>
      <c r="E62" s="130">
        <f>SUM(E57:E61)</f>
        <v>98261</v>
      </c>
      <c r="F62" s="130">
        <f>SUM(F57:F61)</f>
        <v>15049</v>
      </c>
      <c r="G62" s="130">
        <f>SUM(G57:G61)</f>
        <v>834</v>
      </c>
      <c r="H62"/>
      <c r="I62"/>
    </row>
    <row r="63" spans="1:9" ht="12" thickTop="1" x14ac:dyDescent="0.2">
      <c r="A63" s="29" t="s">
        <v>175</v>
      </c>
      <c r="B63" s="6"/>
      <c r="C63" s="22">
        <f>C56+C62</f>
        <v>16150019</v>
      </c>
      <c r="D63" s="22">
        <f>D56+D62</f>
        <v>72419</v>
      </c>
      <c r="E63" s="22">
        <f>E56+E62</f>
        <v>98261</v>
      </c>
      <c r="F63" s="22">
        <f>F56+F62</f>
        <v>15049</v>
      </c>
      <c r="G63" s="22">
        <f>G56+G62</f>
        <v>834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2689160</v>
      </c>
      <c r="D66" s="24" t="s">
        <v>288</v>
      </c>
      <c r="E66" s="24" t="s">
        <v>288</v>
      </c>
      <c r="F66" s="24" t="s">
        <v>288</v>
      </c>
      <c r="G66" s="24" t="s">
        <v>288</v>
      </c>
      <c r="H66"/>
      <c r="I66"/>
    </row>
    <row r="67" spans="1:9" x14ac:dyDescent="0.2">
      <c r="A67" s="1" t="s">
        <v>770</v>
      </c>
      <c r="B67" s="6">
        <v>3112</v>
      </c>
      <c r="C67" s="95">
        <f>'DOE25'!F118</f>
        <v>1434605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4123765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308245</v>
      </c>
      <c r="D75" s="24" t="s">
        <v>288</v>
      </c>
      <c r="E75" s="24" t="s">
        <v>288</v>
      </c>
      <c r="F75" s="24" t="s">
        <v>288</v>
      </c>
      <c r="G75" s="24" t="s">
        <v>288</v>
      </c>
      <c r="H75"/>
      <c r="I75"/>
    </row>
    <row r="76" spans="1:9" x14ac:dyDescent="0.2">
      <c r="A76" s="1" t="s">
        <v>257</v>
      </c>
      <c r="B76" s="6" t="s">
        <v>179</v>
      </c>
      <c r="C76" s="95">
        <f>SUM('DOE25'!F127:F130)</f>
        <v>10742</v>
      </c>
      <c r="D76" s="24" t="s">
        <v>288</v>
      </c>
      <c r="E76" s="95">
        <f>SUM('DOE25'!H127:H130)</f>
        <v>3550</v>
      </c>
      <c r="F76" s="95">
        <f>SUM('DOE25'!I127:I130)</f>
        <v>0</v>
      </c>
      <c r="G76" s="24" t="s">
        <v>288</v>
      </c>
      <c r="H76"/>
      <c r="I76"/>
    </row>
    <row r="77" spans="1:9" ht="12" thickBot="1" x14ac:dyDescent="0.25">
      <c r="A77" s="1" t="s">
        <v>258</v>
      </c>
      <c r="B77" s="6" t="s">
        <v>180</v>
      </c>
      <c r="C77" s="95">
        <f>SUM('DOE25'!F131:F135)</f>
        <v>0</v>
      </c>
      <c r="D77" s="95">
        <f>SUM('DOE25'!G131:G135)</f>
        <v>37181</v>
      </c>
      <c r="E77" s="95">
        <f>SUM('DOE25'!H131:H135)</f>
        <v>4000</v>
      </c>
      <c r="F77" s="95">
        <f>SUM('DOE25'!I131:I135)</f>
        <v>0</v>
      </c>
      <c r="G77" s="95">
        <f>SUM('DOE25'!J131:J135)</f>
        <v>0</v>
      </c>
      <c r="H77"/>
      <c r="I77"/>
    </row>
    <row r="78" spans="1:9" ht="12.75" thickTop="1" thickBot="1" x14ac:dyDescent="0.25">
      <c r="A78" s="29" t="s">
        <v>259</v>
      </c>
      <c r="B78" s="6"/>
      <c r="C78" s="130">
        <f>SUM(C72:C77)</f>
        <v>318987</v>
      </c>
      <c r="D78" s="130">
        <f>SUM(D72:D77)</f>
        <v>37181</v>
      </c>
      <c r="E78" s="130">
        <f>SUM(E72:E77)</f>
        <v>7550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4442752</v>
      </c>
      <c r="D81" s="130">
        <f>SUM(D79:D80)+D78+D70</f>
        <v>37181</v>
      </c>
      <c r="E81" s="130">
        <f>SUM(E79:E80)+E78+E70</f>
        <v>7550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7" t="s">
        <v>747</v>
      </c>
      <c r="B88" s="325" t="s">
        <v>184</v>
      </c>
      <c r="C88" s="326">
        <f>SUM('DOE25'!F153:F162)</f>
        <v>193027</v>
      </c>
      <c r="D88" s="326">
        <f>SUM('DOE25'!G153:G162)</f>
        <v>523930</v>
      </c>
      <c r="E88" s="326">
        <f>SUM('DOE25'!H153:H162)</f>
        <v>562093</v>
      </c>
      <c r="F88" s="326">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193027</v>
      </c>
      <c r="D91" s="131">
        <f>SUM(D85:D90)</f>
        <v>523930</v>
      </c>
      <c r="E91" s="131">
        <f>SUM(E85:E90)</f>
        <v>562093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4796692</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1958</v>
      </c>
      <c r="F96" s="95">
        <f>'DOE25'!I180</f>
        <v>68127</v>
      </c>
      <c r="G96" s="95">
        <f>'DOE25'!J180</f>
        <v>175000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1958</v>
      </c>
      <c r="F103" s="86">
        <f>SUM(F93:F102)</f>
        <v>4864819</v>
      </c>
      <c r="G103" s="86">
        <f>SUM(G93:G102)</f>
        <v>175000</v>
      </c>
    </row>
    <row r="104" spans="1:7" ht="12.75" thickTop="1" thickBot="1" x14ac:dyDescent="0.25">
      <c r="A104" s="33" t="s">
        <v>761</v>
      </c>
      <c r="C104" s="86">
        <f>C63+C81+C91+C103</f>
        <v>20785798</v>
      </c>
      <c r="D104" s="86">
        <f>D63+D81+D91+D103</f>
        <v>633530</v>
      </c>
      <c r="E104" s="86">
        <f>E63+E81+E91+E103</f>
        <v>669862</v>
      </c>
      <c r="F104" s="86">
        <f>F63+F81+F91+F103</f>
        <v>4879868</v>
      </c>
      <c r="G104" s="86">
        <f>G63+G81+G103</f>
        <v>175834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8432374</v>
      </c>
      <c r="D109" s="24" t="s">
        <v>288</v>
      </c>
      <c r="E109" s="95">
        <f>('DOE25'!L277)+('DOE25'!L296)+('DOE25'!L315)</f>
        <v>265896</v>
      </c>
      <c r="F109" s="24" t="s">
        <v>288</v>
      </c>
      <c r="G109" s="24" t="s">
        <v>288</v>
      </c>
    </row>
    <row r="110" spans="1:7" x14ac:dyDescent="0.2">
      <c r="A110" t="s">
        <v>198</v>
      </c>
      <c r="B110" s="32" t="s">
        <v>199</v>
      </c>
      <c r="C110" s="95">
        <f>('DOE25'!L199)+('DOE25'!L217)+('DOE25'!L235)</f>
        <v>3763467</v>
      </c>
      <c r="D110" s="24" t="s">
        <v>288</v>
      </c>
      <c r="E110" s="95">
        <f>('DOE25'!L278)+('DOE25'!L297)+('DOE25'!L316)</f>
        <v>266829</v>
      </c>
      <c r="F110" s="24" t="s">
        <v>288</v>
      </c>
      <c r="G110" s="24" t="s">
        <v>288</v>
      </c>
    </row>
    <row r="111" spans="1:7" x14ac:dyDescent="0.2">
      <c r="A111" t="s">
        <v>200</v>
      </c>
      <c r="B111" s="32" t="s">
        <v>165</v>
      </c>
      <c r="C111" s="95">
        <f>('DOE25'!L200)+('DOE25'!L218)+('DOE25'!L236)</f>
        <v>78995</v>
      </c>
      <c r="D111" s="24" t="s">
        <v>288</v>
      </c>
      <c r="E111" s="95">
        <f>('DOE25'!L279)+('DOE25'!L298)+('DOE25'!L317)</f>
        <v>0</v>
      </c>
      <c r="F111" s="24" t="s">
        <v>288</v>
      </c>
      <c r="G111" s="24" t="s">
        <v>288</v>
      </c>
    </row>
    <row r="112" spans="1:7" x14ac:dyDescent="0.2">
      <c r="A112" t="s">
        <v>201</v>
      </c>
      <c r="B112" s="32" t="s">
        <v>167</v>
      </c>
      <c r="C112" s="95">
        <f>('DOE25'!L201)+('DOE25'!L219)+('DOE25'!L237)</f>
        <v>423191</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1455</v>
      </c>
      <c r="F114" s="24" t="s">
        <v>288</v>
      </c>
      <c r="G114" s="24" t="s">
        <v>288</v>
      </c>
    </row>
    <row r="115" spans="1:7" ht="12.75" thickTop="1" thickBot="1" x14ac:dyDescent="0.25">
      <c r="A115" s="33" t="s">
        <v>205</v>
      </c>
      <c r="C115" s="86">
        <f>SUM(C109:C114)</f>
        <v>12698027</v>
      </c>
      <c r="D115" s="86">
        <f>SUM(D109:D114)</f>
        <v>0</v>
      </c>
      <c r="E115" s="86">
        <f>SUM(E109:E114)</f>
        <v>534180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1565398</v>
      </c>
      <c r="D118" s="24" t="s">
        <v>288</v>
      </c>
      <c r="E118" s="95">
        <f>+('DOE25'!L282)+('DOE25'!L301)+('DOE25'!L320)</f>
        <v>17425</v>
      </c>
      <c r="F118" s="24" t="s">
        <v>288</v>
      </c>
      <c r="G118" s="24" t="s">
        <v>288</v>
      </c>
    </row>
    <row r="119" spans="1:7" x14ac:dyDescent="0.2">
      <c r="A119" t="s">
        <v>208</v>
      </c>
      <c r="B119" s="32" t="s">
        <v>209</v>
      </c>
      <c r="C119" s="95">
        <f>('DOE25'!L204)+('DOE25'!L222)+('DOE25'!L240)</f>
        <v>768358</v>
      </c>
      <c r="D119" s="24" t="s">
        <v>288</v>
      </c>
      <c r="E119" s="95">
        <f>+('DOE25'!L283)+('DOE25'!L302)+('DOE25'!L321)</f>
        <v>96534</v>
      </c>
      <c r="F119" s="24" t="s">
        <v>288</v>
      </c>
      <c r="G119" s="24" t="s">
        <v>288</v>
      </c>
    </row>
    <row r="120" spans="1:7" x14ac:dyDescent="0.2">
      <c r="A120" t="s">
        <v>210</v>
      </c>
      <c r="B120" s="32" t="s">
        <v>211</v>
      </c>
      <c r="C120" s="95">
        <f>('DOE25'!L205)+('DOE25'!L223)+('DOE25'!L241)</f>
        <v>666992</v>
      </c>
      <c r="D120" s="24" t="s">
        <v>288</v>
      </c>
      <c r="E120" s="95">
        <f>+('DOE25'!L284)+('DOE25'!L303)+('DOE25'!L322)</f>
        <v>1971</v>
      </c>
      <c r="F120" s="24" t="s">
        <v>288</v>
      </c>
      <c r="G120" s="24" t="s">
        <v>288</v>
      </c>
    </row>
    <row r="121" spans="1:7" x14ac:dyDescent="0.2">
      <c r="A121" t="s">
        <v>212</v>
      </c>
      <c r="B121" s="32" t="s">
        <v>213</v>
      </c>
      <c r="C121" s="95">
        <f>('DOE25'!L206)+('DOE25'!L224)+('DOE25'!L242)</f>
        <v>1022345</v>
      </c>
      <c r="D121" s="24" t="s">
        <v>288</v>
      </c>
      <c r="E121" s="95">
        <f>+('DOE25'!L285)+('DOE25'!L304)+('DOE25'!L323)</f>
        <v>1003</v>
      </c>
      <c r="F121" s="24" t="s">
        <v>288</v>
      </c>
      <c r="G121" s="24" t="s">
        <v>288</v>
      </c>
    </row>
    <row r="122" spans="1:7" x14ac:dyDescent="0.2">
      <c r="A122" t="s">
        <v>214</v>
      </c>
      <c r="B122" s="32" t="s">
        <v>215</v>
      </c>
      <c r="C122" s="95">
        <f>('DOE25'!L207)+('DOE25'!L225)+('DOE25'!L243)</f>
        <v>368932</v>
      </c>
      <c r="D122" s="24" t="s">
        <v>288</v>
      </c>
      <c r="E122" s="95">
        <f>+('DOE25'!L286)+('DOE25'!L305)+('DOE25'!L324)</f>
        <v>0</v>
      </c>
      <c r="F122" s="24" t="s">
        <v>288</v>
      </c>
      <c r="G122" s="24" t="s">
        <v>288</v>
      </c>
    </row>
    <row r="123" spans="1:7" x14ac:dyDescent="0.2">
      <c r="A123" t="s">
        <v>216</v>
      </c>
      <c r="B123" s="32" t="s">
        <v>217</v>
      </c>
      <c r="C123" s="95">
        <f>('DOE25'!L208)+('DOE25'!L226)+('DOE25'!L244)</f>
        <v>1504446</v>
      </c>
      <c r="D123" s="24" t="s">
        <v>288</v>
      </c>
      <c r="E123" s="95">
        <f>+('DOE25'!L287)+('DOE25'!L306)+('DOE25'!L325)</f>
        <v>18749</v>
      </c>
      <c r="F123" s="24" t="s">
        <v>288</v>
      </c>
      <c r="G123" s="24" t="s">
        <v>288</v>
      </c>
    </row>
    <row r="124" spans="1:7" x14ac:dyDescent="0.2">
      <c r="A124" t="s">
        <v>218</v>
      </c>
      <c r="B124" s="32" t="s">
        <v>219</v>
      </c>
      <c r="C124" s="95">
        <f>('DOE25'!L209)+('DOE25'!L227)+('DOE25'!L245+'DOE25'!L255)</f>
        <v>793139</v>
      </c>
      <c r="D124" s="24" t="s">
        <v>288</v>
      </c>
      <c r="E124" s="95">
        <f>+('DOE25'!L288)+('DOE25'!L307)+('DOE25'!L326)</f>
        <v>0</v>
      </c>
      <c r="F124" s="24" t="s">
        <v>288</v>
      </c>
      <c r="G124" s="24" t="s">
        <v>288</v>
      </c>
    </row>
    <row r="125" spans="1:7" x14ac:dyDescent="0.2">
      <c r="A125" t="s">
        <v>220</v>
      </c>
      <c r="B125" s="32" t="s">
        <v>221</v>
      </c>
      <c r="C125" s="95">
        <f>('DOE25'!L210)+('DOE25'!L228)+('DOE25'!L246)</f>
        <v>288102</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520371</v>
      </c>
      <c r="E127" s="24" t="s">
        <v>288</v>
      </c>
      <c r="F127" s="24" t="s">
        <v>288</v>
      </c>
      <c r="G127" s="24" t="s">
        <v>288</v>
      </c>
    </row>
    <row r="128" spans="1:7" ht="12.75" thickTop="1" thickBot="1" x14ac:dyDescent="0.25">
      <c r="A128" s="33" t="s">
        <v>226</v>
      </c>
      <c r="C128" s="86">
        <f>SUM(C118:C127)</f>
        <v>6977712</v>
      </c>
      <c r="D128" s="86">
        <f>SUM(D118:D127)</f>
        <v>520371</v>
      </c>
      <c r="E128" s="86">
        <f>SUM(E118:E127)</f>
        <v>135682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17750</v>
      </c>
      <c r="D130" s="24" t="s">
        <v>288</v>
      </c>
      <c r="E130" s="129">
        <f>'DOE25'!L337</f>
        <v>0</v>
      </c>
      <c r="F130" s="129">
        <f>SUM('DOE25'!L375:'DOE25'!L381)</f>
        <v>3255036</v>
      </c>
      <c r="G130" s="24" t="s">
        <v>288</v>
      </c>
    </row>
    <row r="131" spans="1:7" x14ac:dyDescent="0.2">
      <c r="A131" t="s">
        <v>229</v>
      </c>
      <c r="B131" s="32">
        <v>5110</v>
      </c>
      <c r="C131" s="95">
        <f>'DOE25'!L261</f>
        <v>142775</v>
      </c>
      <c r="D131" s="24" t="s">
        <v>288</v>
      </c>
      <c r="E131" s="129">
        <f>'DOE25'!L342</f>
        <v>0</v>
      </c>
      <c r="F131" s="24" t="s">
        <v>288</v>
      </c>
      <c r="G131" s="24" t="s">
        <v>288</v>
      </c>
    </row>
    <row r="132" spans="1:7" x14ac:dyDescent="0.2">
      <c r="A132" t="s">
        <v>230</v>
      </c>
      <c r="B132" s="32">
        <v>5120</v>
      </c>
      <c r="C132" s="95">
        <f>'DOE25'!L262</f>
        <v>232583</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40631</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1958</v>
      </c>
      <c r="D136" s="24" t="s">
        <v>288</v>
      </c>
      <c r="E136" s="24" t="s">
        <v>288</v>
      </c>
      <c r="F136" s="24" t="s">
        <v>288</v>
      </c>
      <c r="G136" s="24" t="s">
        <v>288</v>
      </c>
    </row>
    <row r="137" spans="1:7" x14ac:dyDescent="0.2">
      <c r="A137" t="s">
        <v>237</v>
      </c>
      <c r="B137" s="32" t="s">
        <v>189</v>
      </c>
      <c r="C137" s="95">
        <f>'DOE25'!L266</f>
        <v>68127</v>
      </c>
      <c r="D137" s="24" t="s">
        <v>288</v>
      </c>
      <c r="E137" s="129">
        <f>'DOE25'!L347</f>
        <v>0</v>
      </c>
      <c r="F137" s="24" t="s">
        <v>288</v>
      </c>
      <c r="G137" s="24" t="s">
        <v>288</v>
      </c>
    </row>
    <row r="138" spans="1:7" x14ac:dyDescent="0.2">
      <c r="A138" t="s">
        <v>238</v>
      </c>
      <c r="B138" s="32">
        <v>5251</v>
      </c>
      <c r="C138" s="95">
        <f>'DOE25'!L394</f>
        <v>207</v>
      </c>
      <c r="D138" s="24" t="s">
        <v>288</v>
      </c>
      <c r="E138" s="24" t="s">
        <v>288</v>
      </c>
      <c r="F138" s="24" t="s">
        <v>288</v>
      </c>
      <c r="G138" s="24" t="s">
        <v>288</v>
      </c>
    </row>
    <row r="139" spans="1:7" x14ac:dyDescent="0.2">
      <c r="A139" t="s">
        <v>239</v>
      </c>
      <c r="B139" s="32">
        <v>5252</v>
      </c>
      <c r="C139" s="95">
        <f>'DOE25'!L402</f>
        <v>175627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-834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638193</v>
      </c>
      <c r="D144" s="141">
        <f>SUM(D130:D143)</f>
        <v>0</v>
      </c>
      <c r="E144" s="141">
        <f>SUM(E130:E143)</f>
        <v>0</v>
      </c>
      <c r="F144" s="141">
        <f>SUM(F130:F143)</f>
        <v>3255036</v>
      </c>
      <c r="G144" s="141">
        <f>SUM(G130:G143)</f>
        <v>40631</v>
      </c>
    </row>
    <row r="145" spans="1:9" ht="12.75" thickTop="1" thickBot="1" x14ac:dyDescent="0.25">
      <c r="A145" s="33" t="s">
        <v>244</v>
      </c>
      <c r="C145" s="86">
        <f>(C115+C128+C144)</f>
        <v>20313932</v>
      </c>
      <c r="D145" s="86">
        <f>(D115+D128+D144)</f>
        <v>520371</v>
      </c>
      <c r="E145" s="86">
        <f>(E115+E128+E144)</f>
        <v>669862</v>
      </c>
      <c r="F145" s="86">
        <f>(F115+F128+F144)</f>
        <v>3255036</v>
      </c>
      <c r="G145" s="86">
        <f>(G115+G128+G144)</f>
        <v>40631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0</v>
      </c>
      <c r="E151" s="153">
        <f>'DOE25'!I491</f>
        <v>0</v>
      </c>
      <c r="F151" s="153">
        <f>'DOE25'!J491</f>
        <v>0</v>
      </c>
      <c r="G151" s="24" t="s">
        <v>288</v>
      </c>
    </row>
    <row r="152" spans="1:9" x14ac:dyDescent="0.2">
      <c r="A152" s="136" t="s">
        <v>28</v>
      </c>
      <c r="B152" s="152" t="str">
        <f>'DOE25'!F492</f>
        <v>7/20</v>
      </c>
      <c r="C152" s="152" t="str">
        <f>'DOE25'!G492</f>
        <v>7/21</v>
      </c>
      <c r="D152" s="152">
        <f>'DOE25'!H492</f>
        <v>0</v>
      </c>
      <c r="E152" s="152">
        <f>'DOE25'!I492</f>
        <v>0</v>
      </c>
      <c r="F152" s="152">
        <f>'DOE25'!J492</f>
        <v>0</v>
      </c>
      <c r="G152" s="24" t="s">
        <v>288</v>
      </c>
    </row>
    <row r="153" spans="1:9" x14ac:dyDescent="0.2">
      <c r="A153" s="136" t="s">
        <v>29</v>
      </c>
      <c r="B153" s="152" t="str">
        <f>'DOE25'!F493</f>
        <v>8/15/40</v>
      </c>
      <c r="C153" s="152" t="str">
        <f>'DOE25'!G493</f>
        <v>8/15/41</v>
      </c>
      <c r="D153" s="152">
        <f>'DOE25'!H493</f>
        <v>0</v>
      </c>
      <c r="E153" s="152">
        <f>'DOE25'!I493</f>
        <v>0</v>
      </c>
      <c r="F153" s="152">
        <f>'DOE25'!J493</f>
        <v>0</v>
      </c>
      <c r="G153" s="24" t="s">
        <v>288</v>
      </c>
    </row>
    <row r="154" spans="1:9" x14ac:dyDescent="0.2">
      <c r="A154" s="136" t="s">
        <v>30</v>
      </c>
      <c r="B154" s="137">
        <f>'DOE25'!F494</f>
        <v>4467525</v>
      </c>
      <c r="C154" s="137">
        <f>'DOE25'!G494</f>
        <v>4168625</v>
      </c>
      <c r="D154" s="137">
        <f>'DOE25'!H494</f>
        <v>0</v>
      </c>
      <c r="E154" s="137">
        <f>'DOE25'!I494</f>
        <v>0</v>
      </c>
      <c r="F154" s="137">
        <f>'DOE25'!J494</f>
        <v>0</v>
      </c>
      <c r="G154" s="24" t="s">
        <v>288</v>
      </c>
    </row>
    <row r="155" spans="1:9" x14ac:dyDescent="0.2">
      <c r="A155" s="136" t="s">
        <v>31</v>
      </c>
      <c r="B155" s="137" t="str">
        <f>'DOE25'!F495</f>
        <v>varies 2.10-5.10</v>
      </c>
      <c r="C155" s="137" t="str">
        <f>'DOE25'!G495</f>
        <v>vares 2.10-5.10</v>
      </c>
      <c r="D155" s="137">
        <f>'DOE25'!H495</f>
        <v>0</v>
      </c>
      <c r="E155" s="137">
        <f>'DOE25'!I495</f>
        <v>0</v>
      </c>
      <c r="F155" s="137">
        <f>'DOE25'!J495</f>
        <v>0</v>
      </c>
      <c r="G155" s="24" t="s">
        <v>288</v>
      </c>
    </row>
    <row r="156" spans="1:9" x14ac:dyDescent="0.2">
      <c r="A156" s="22" t="s">
        <v>32</v>
      </c>
      <c r="B156" s="137">
        <f>'DOE25'!F496</f>
        <v>4467525</v>
      </c>
      <c r="C156" s="137">
        <f>'DOE25'!G496</f>
        <v>0</v>
      </c>
      <c r="D156" s="137">
        <f>'DOE25'!H496</f>
        <v>0</v>
      </c>
      <c r="E156" s="137">
        <f>'DOE25'!I496</f>
        <v>0</v>
      </c>
      <c r="F156" s="137">
        <f>'DOE25'!J496</f>
        <v>0</v>
      </c>
      <c r="G156" s="138">
        <f>SUM(B156:F156)</f>
        <v>4467525</v>
      </c>
    </row>
    <row r="157" spans="1:9" x14ac:dyDescent="0.2">
      <c r="A157" s="22" t="s">
        <v>33</v>
      </c>
      <c r="B157" s="137">
        <f>'DOE25'!F497</f>
        <v>0</v>
      </c>
      <c r="C157" s="137">
        <f>'DOE25'!G497</f>
        <v>4168625</v>
      </c>
      <c r="D157" s="137">
        <f>'DOE25'!H497</f>
        <v>0</v>
      </c>
      <c r="E157" s="137">
        <f>'DOE25'!I497</f>
        <v>0</v>
      </c>
      <c r="F157" s="137">
        <f>'DOE25'!J497</f>
        <v>0</v>
      </c>
      <c r="G157" s="138">
        <f t="shared" ref="G157:G164" si="0">SUM(B157:F157)</f>
        <v>4168625</v>
      </c>
    </row>
    <row r="158" spans="1:9" x14ac:dyDescent="0.2">
      <c r="A158" s="22" t="s">
        <v>34</v>
      </c>
      <c r="B158" s="137">
        <f>'DOE25'!F498</f>
        <v>142775</v>
      </c>
      <c r="C158" s="137">
        <f>'DOE25'!G498</f>
        <v>0</v>
      </c>
      <c r="D158" s="137">
        <f>'DOE25'!H498</f>
        <v>0</v>
      </c>
      <c r="E158" s="137">
        <f>'DOE25'!I498</f>
        <v>0</v>
      </c>
      <c r="F158" s="137">
        <f>'DOE25'!J498</f>
        <v>0</v>
      </c>
      <c r="G158" s="138">
        <f t="shared" si="0"/>
        <v>142775</v>
      </c>
    </row>
    <row r="159" spans="1:9" x14ac:dyDescent="0.2">
      <c r="A159" s="22" t="s">
        <v>35</v>
      </c>
      <c r="B159" s="137">
        <f>'DOE25'!F499</f>
        <v>4324750</v>
      </c>
      <c r="C159" s="137">
        <f>'DOE25'!G499</f>
        <v>4168625</v>
      </c>
      <c r="D159" s="137">
        <f>'DOE25'!H499</f>
        <v>0</v>
      </c>
      <c r="E159" s="137">
        <f>'DOE25'!I499</f>
        <v>0</v>
      </c>
      <c r="F159" s="137">
        <f>'DOE25'!J499</f>
        <v>0</v>
      </c>
      <c r="G159" s="138">
        <f t="shared" si="0"/>
        <v>8493375</v>
      </c>
    </row>
    <row r="160" spans="1:9" x14ac:dyDescent="0.2">
      <c r="A160" s="22" t="s">
        <v>36</v>
      </c>
      <c r="B160" s="137">
        <f>'DOE25'!F500</f>
        <v>1273078</v>
      </c>
      <c r="C160" s="137">
        <f>'DOE25'!G500</f>
        <v>1518605</v>
      </c>
      <c r="D160" s="137">
        <f>'DOE25'!H500</f>
        <v>0</v>
      </c>
      <c r="E160" s="137">
        <f>'DOE25'!I500</f>
        <v>0</v>
      </c>
      <c r="F160" s="137">
        <f>'DOE25'!J500</f>
        <v>0</v>
      </c>
      <c r="G160" s="138">
        <f t="shared" si="0"/>
        <v>2791683</v>
      </c>
    </row>
    <row r="161" spans="1:7" x14ac:dyDescent="0.2">
      <c r="A161" s="22" t="s">
        <v>37</v>
      </c>
      <c r="B161" s="137">
        <f>'DOE25'!F501</f>
        <v>5597828</v>
      </c>
      <c r="C161" s="137">
        <f>'DOE25'!G501</f>
        <v>5687230</v>
      </c>
      <c r="D161" s="137">
        <f>'DOE25'!H501</f>
        <v>0</v>
      </c>
      <c r="E161" s="137">
        <f>'DOE25'!I501</f>
        <v>0</v>
      </c>
      <c r="F161" s="137">
        <f>'DOE25'!J501</f>
        <v>0</v>
      </c>
      <c r="G161" s="138">
        <f t="shared" si="0"/>
        <v>11285058</v>
      </c>
    </row>
    <row r="162" spans="1:7" x14ac:dyDescent="0.2">
      <c r="A162" s="22" t="s">
        <v>38</v>
      </c>
      <c r="B162" s="137">
        <f>'DOE25'!F502</f>
        <v>150000</v>
      </c>
      <c r="C162" s="137">
        <f>'DOE25'!G502</f>
        <v>133625</v>
      </c>
      <c r="D162" s="137">
        <f>'DOE25'!H502</f>
        <v>0</v>
      </c>
      <c r="E162" s="137">
        <f>'DOE25'!I502</f>
        <v>0</v>
      </c>
      <c r="F162" s="137">
        <f>'DOE25'!J502</f>
        <v>0</v>
      </c>
      <c r="G162" s="138">
        <f t="shared" si="0"/>
        <v>283625</v>
      </c>
    </row>
    <row r="163" spans="1:7" x14ac:dyDescent="0.2">
      <c r="A163" s="22" t="s">
        <v>39</v>
      </c>
      <c r="B163" s="137">
        <f>'DOE25'!F503</f>
        <v>144387</v>
      </c>
      <c r="C163" s="137">
        <f>'DOE25'!G503</f>
        <v>154543</v>
      </c>
      <c r="D163" s="137">
        <f>'DOE25'!H503</f>
        <v>0</v>
      </c>
      <c r="E163" s="137">
        <f>'DOE25'!I503</f>
        <v>0</v>
      </c>
      <c r="F163" s="137">
        <f>'DOE25'!J503</f>
        <v>0</v>
      </c>
      <c r="G163" s="138">
        <f t="shared" si="0"/>
        <v>298930</v>
      </c>
    </row>
    <row r="164" spans="1:7" x14ac:dyDescent="0.2">
      <c r="A164" s="22" t="s">
        <v>246</v>
      </c>
      <c r="B164" s="137">
        <f>'DOE25'!F504</f>
        <v>294387</v>
      </c>
      <c r="C164" s="137">
        <f>'DOE25'!G504</f>
        <v>288168</v>
      </c>
      <c r="D164" s="137">
        <f>'DOE25'!H504</f>
        <v>0</v>
      </c>
      <c r="E164" s="137">
        <f>'DOE25'!I504</f>
        <v>0</v>
      </c>
      <c r="F164" s="137">
        <f>'DOE25'!J504</f>
        <v>0</v>
      </c>
      <c r="G164" s="138">
        <f t="shared" si="0"/>
        <v>582555</v>
      </c>
    </row>
  </sheetData>
  <sheetProtection password="B90A"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Hopkinton</v>
      </c>
    </row>
    <row r="3" spans="1:4" x14ac:dyDescent="0.2">
      <c r="B3" s="187" t="s">
        <v>1799</v>
      </c>
    </row>
    <row r="4" spans="1:4" x14ac:dyDescent="0.2">
      <c r="B4" t="s">
        <v>61</v>
      </c>
      <c r="C4" s="178">
        <f>IF('DOE25'!F666+'DOE25'!F671=0,0,ROUND('DOE25'!F673,0))</f>
        <v>21784</v>
      </c>
    </row>
    <row r="5" spans="1:4" x14ac:dyDescent="0.2">
      <c r="B5" t="s">
        <v>700</v>
      </c>
      <c r="C5" s="178">
        <f>IF('DOE25'!G666+'DOE25'!G671=0,0,ROUND('DOE25'!G673,0))</f>
        <v>21461</v>
      </c>
    </row>
    <row r="6" spans="1:4" x14ac:dyDescent="0.2">
      <c r="B6" t="s">
        <v>62</v>
      </c>
      <c r="C6" s="178">
        <f>IF('DOE25'!H666+'DOE25'!H671=0,0,ROUND('DOE25'!H673,0))</f>
        <v>19794</v>
      </c>
    </row>
    <row r="7" spans="1:4" x14ac:dyDescent="0.2">
      <c r="B7" t="s">
        <v>701</v>
      </c>
      <c r="C7" s="178">
        <f>IF('DOE25'!I666+'DOE25'!I671=0,0,ROUND('DOE25'!I673,0))</f>
        <v>21048</v>
      </c>
    </row>
    <row r="9" spans="1:4" x14ac:dyDescent="0.2">
      <c r="A9" s="186" t="s">
        <v>94</v>
      </c>
      <c r="B9" s="187" t="s">
        <v>1800</v>
      </c>
      <c r="C9" s="180" t="s">
        <v>720</v>
      </c>
      <c r="D9" s="180" t="s">
        <v>721</v>
      </c>
    </row>
    <row r="10" spans="1:4" x14ac:dyDescent="0.2">
      <c r="A10">
        <v>1100</v>
      </c>
      <c r="B10" t="s">
        <v>702</v>
      </c>
      <c r="C10" s="178">
        <f>ROUND('DOE25'!L198+'DOE25'!L216+'DOE25'!L234+'DOE25'!L277+'DOE25'!L296+'DOE25'!L315,0)</f>
        <v>8698270</v>
      </c>
      <c r="D10" s="181">
        <f>ROUND((C10/$C$28)*100,1)</f>
        <v>41.4</v>
      </c>
    </row>
    <row r="11" spans="1:4" x14ac:dyDescent="0.2">
      <c r="A11">
        <v>1200</v>
      </c>
      <c r="B11" t="s">
        <v>703</v>
      </c>
      <c r="C11" s="178">
        <f>ROUND('DOE25'!L199+'DOE25'!L217+'DOE25'!L235+'DOE25'!L278+'DOE25'!L297+'DOE25'!L316,0)</f>
        <v>4030296</v>
      </c>
      <c r="D11" s="181">
        <f>ROUND((C11/$C$28)*100,1)</f>
        <v>19.2</v>
      </c>
    </row>
    <row r="12" spans="1:4" x14ac:dyDescent="0.2">
      <c r="A12">
        <v>1300</v>
      </c>
      <c r="B12" t="s">
        <v>704</v>
      </c>
      <c r="C12" s="178">
        <f>ROUND('DOE25'!L200+'DOE25'!L218+'DOE25'!L236+'DOE25'!L279+'DOE25'!L298+'DOE25'!L317,0)</f>
        <v>78995</v>
      </c>
      <c r="D12" s="181">
        <f>ROUND((C12/$C$28)*100,1)</f>
        <v>0.4</v>
      </c>
    </row>
    <row r="13" spans="1:4" x14ac:dyDescent="0.2">
      <c r="A13">
        <v>1400</v>
      </c>
      <c r="B13" t="s">
        <v>705</v>
      </c>
      <c r="C13" s="178">
        <f>ROUND('DOE25'!L201+'DOE25'!L219+'DOE25'!L237+'DOE25'!L280+'DOE25'!L299+'DOE25'!L318,0)</f>
        <v>423191</v>
      </c>
      <c r="D13" s="181">
        <f>ROUND((C13/$C$28)*100,1)</f>
        <v>2</v>
      </c>
    </row>
    <row r="14" spans="1:4" x14ac:dyDescent="0.2">
      <c r="D14" s="181"/>
    </row>
    <row r="15" spans="1:4" x14ac:dyDescent="0.2">
      <c r="A15">
        <v>2100</v>
      </c>
      <c r="B15" t="s">
        <v>706</v>
      </c>
      <c r="C15" s="178">
        <f>ROUND('DOE25'!L203+'DOE25'!L221+'DOE25'!L239+'DOE25'!L282+'DOE25'!L301+'DOE25'!L320,0)</f>
        <v>1582823</v>
      </c>
      <c r="D15" s="181">
        <f t="shared" ref="D15:D27" si="0">ROUND((C15/$C$28)*100,1)</f>
        <v>7.5</v>
      </c>
    </row>
    <row r="16" spans="1:4" x14ac:dyDescent="0.2">
      <c r="A16">
        <v>2200</v>
      </c>
      <c r="B16" t="s">
        <v>707</v>
      </c>
      <c r="C16" s="178">
        <f>ROUND('DOE25'!L204+'DOE25'!L222+'DOE25'!L240+'DOE25'!L283+'DOE25'!L302+'DOE25'!L321,0)</f>
        <v>864892</v>
      </c>
      <c r="D16" s="181">
        <f t="shared" si="0"/>
        <v>4.0999999999999996</v>
      </c>
    </row>
    <row r="17" spans="1:4" x14ac:dyDescent="0.2">
      <c r="A17" s="182" t="s">
        <v>723</v>
      </c>
      <c r="B17" t="s">
        <v>738</v>
      </c>
      <c r="C17" s="178">
        <f>ROUND('DOE25'!L205+'DOE25'!L210+'DOE25'!L223+'DOE25'!L228+'DOE25'!L241+'DOE25'!L246+'DOE25'!L284+'DOE25'!L289+'DOE25'!L303+'DOE25'!L308+'DOE25'!L322+'DOE25'!L327,0)</f>
        <v>957065</v>
      </c>
      <c r="D17" s="181">
        <f t="shared" si="0"/>
        <v>4.5999999999999996</v>
      </c>
    </row>
    <row r="18" spans="1:4" x14ac:dyDescent="0.2">
      <c r="A18">
        <v>2400</v>
      </c>
      <c r="B18" t="s">
        <v>711</v>
      </c>
      <c r="C18" s="178">
        <f>ROUND('DOE25'!L206+'DOE25'!L224+'DOE25'!L242+'DOE25'!L285+'DOE25'!L304+'DOE25'!L323,0)</f>
        <v>1023348</v>
      </c>
      <c r="D18" s="181">
        <f t="shared" si="0"/>
        <v>4.9000000000000004</v>
      </c>
    </row>
    <row r="19" spans="1:4" x14ac:dyDescent="0.2">
      <c r="A19">
        <v>2500</v>
      </c>
      <c r="B19" t="s">
        <v>708</v>
      </c>
      <c r="C19" s="178">
        <f>ROUND('DOE25'!L207+'DOE25'!L225+'DOE25'!L243+'DOE25'!L286+'DOE25'!L305+'DOE25'!L324,0)</f>
        <v>368932</v>
      </c>
      <c r="D19" s="181">
        <f t="shared" si="0"/>
        <v>1.8</v>
      </c>
    </row>
    <row r="20" spans="1:4" x14ac:dyDescent="0.2">
      <c r="A20">
        <v>2600</v>
      </c>
      <c r="B20" t="s">
        <v>709</v>
      </c>
      <c r="C20" s="178">
        <f>ROUND('DOE25'!L208+'DOE25'!L226+'DOE25'!L244+'DOE25'!L287+'DOE25'!L306+'DOE25'!L325,0)</f>
        <v>1523195</v>
      </c>
      <c r="D20" s="181">
        <f t="shared" si="0"/>
        <v>7.2</v>
      </c>
    </row>
    <row r="21" spans="1:4" x14ac:dyDescent="0.2">
      <c r="A21">
        <v>2700</v>
      </c>
      <c r="B21" t="s">
        <v>710</v>
      </c>
      <c r="C21" s="178">
        <f>ROUND('DOE25'!L209+'DOE25'!L227+'DOE25'!L245+'DOE25'!L288+'DOE25'!L307+'DOE25'!L326,0)</f>
        <v>793139</v>
      </c>
      <c r="D21" s="181">
        <f t="shared" si="0"/>
        <v>3.8</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1455</v>
      </c>
      <c r="D24" s="181">
        <f t="shared" si="0"/>
        <v>0</v>
      </c>
    </row>
    <row r="25" spans="1:4" x14ac:dyDescent="0.2">
      <c r="A25">
        <v>5120</v>
      </c>
      <c r="B25" t="s">
        <v>716</v>
      </c>
      <c r="C25" s="178">
        <f>ROUND('DOE25'!L262+'DOE25'!L343,0)</f>
        <v>232583</v>
      </c>
      <c r="D25" s="181">
        <f t="shared" si="0"/>
        <v>1.1000000000000001</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447952</v>
      </c>
      <c r="D27" s="181">
        <f t="shared" si="0"/>
        <v>2.1</v>
      </c>
    </row>
    <row r="28" spans="1:4" x14ac:dyDescent="0.2">
      <c r="B28" s="186" t="s">
        <v>719</v>
      </c>
      <c r="C28" s="179">
        <f>SUM(C10:C27)</f>
        <v>21026136</v>
      </c>
      <c r="D28" s="183">
        <f>ROUND(SUM(D10:D27),0)</f>
        <v>100</v>
      </c>
    </row>
    <row r="29" spans="1:4" x14ac:dyDescent="0.2">
      <c r="A29">
        <v>4000</v>
      </c>
      <c r="B29" t="s">
        <v>724</v>
      </c>
      <c r="C29" s="178">
        <f>ROUND('DOE25'!L256+'DOE25'!L337+'DOE25'!L375+'DOE25'!L376+'DOE25'!L377+'DOE25'!L378+'DOE25'!L379+'DOE25'!L380+'DOE25'!L381,0)</f>
        <v>3272786</v>
      </c>
    </row>
    <row r="30" spans="1:4" x14ac:dyDescent="0.2">
      <c r="B30" s="186" t="s">
        <v>725</v>
      </c>
      <c r="C30" s="179">
        <f>SUM(C28:C29)</f>
        <v>24298922</v>
      </c>
    </row>
    <row r="31" spans="1:4" x14ac:dyDescent="0.2">
      <c r="B31" s="33"/>
      <c r="C31" s="179"/>
    </row>
    <row r="32" spans="1:4" x14ac:dyDescent="0.2">
      <c r="A32">
        <v>5100</v>
      </c>
      <c r="B32" s="33" t="s">
        <v>726</v>
      </c>
      <c r="C32" s="179">
        <f>ROUND('DOE25'!L261+'DOE25'!L342,0)</f>
        <v>142775</v>
      </c>
    </row>
    <row r="34" spans="1:4" x14ac:dyDescent="0.2">
      <c r="A34" s="186" t="s">
        <v>94</v>
      </c>
      <c r="B34" s="187" t="s">
        <v>1801</v>
      </c>
      <c r="C34" s="180" t="s">
        <v>720</v>
      </c>
      <c r="D34" s="180" t="s">
        <v>721</v>
      </c>
    </row>
    <row r="35" spans="1:4" x14ac:dyDescent="0.2">
      <c r="A35">
        <v>1100</v>
      </c>
      <c r="B35" s="184" t="s">
        <v>727</v>
      </c>
      <c r="C35" s="178">
        <f>ROUND('DOE25'!F60+'DOE25'!G60+'DOE25'!H60+'DOE25'!I60+'DOE25'!J60,0)</f>
        <v>15708082</v>
      </c>
      <c r="D35" s="181">
        <f t="shared" ref="D35:D40" si="1">ROUND((C35/$C$41)*100,1)</f>
        <v>71.3</v>
      </c>
    </row>
    <row r="36" spans="1:4" x14ac:dyDescent="0.2">
      <c r="B36" s="184" t="s">
        <v>739</v>
      </c>
      <c r="C36" s="178">
        <f>SUM('DOE25'!F112:J112)-SUM('DOE25'!G97:G110)+('DOE25'!F175+'DOE25'!F176+'DOE25'!I175+'DOE25'!I176)-C35</f>
        <v>556081</v>
      </c>
      <c r="D36" s="181">
        <f t="shared" si="1"/>
        <v>2.5</v>
      </c>
    </row>
    <row r="37" spans="1:4" x14ac:dyDescent="0.2">
      <c r="A37" s="182" t="s">
        <v>835</v>
      </c>
      <c r="B37" s="184" t="s">
        <v>728</v>
      </c>
      <c r="C37" s="178">
        <f>ROUND('DOE25'!F117+'DOE25'!F118,0)</f>
        <v>4123765</v>
      </c>
      <c r="D37" s="181">
        <f t="shared" si="1"/>
        <v>18.7</v>
      </c>
    </row>
    <row r="38" spans="1:4" x14ac:dyDescent="0.2">
      <c r="A38" s="182" t="s">
        <v>734</v>
      </c>
      <c r="B38" s="184" t="s">
        <v>729</v>
      </c>
      <c r="C38" s="178">
        <f>ROUND(SUM('DOE25'!F140:J140)-SUM('DOE25'!F117:F119),0)</f>
        <v>363718</v>
      </c>
      <c r="D38" s="181">
        <f t="shared" si="1"/>
        <v>1.7</v>
      </c>
    </row>
    <row r="39" spans="1:4" x14ac:dyDescent="0.2">
      <c r="A39">
        <v>4000</v>
      </c>
      <c r="B39" s="184" t="s">
        <v>730</v>
      </c>
      <c r="C39" s="178">
        <f>ROUND('DOE25'!F170+'DOE25'!G170+'DOE25'!H170+'DOE25'!I170,0)</f>
        <v>1279050</v>
      </c>
      <c r="D39" s="181">
        <f t="shared" si="1"/>
        <v>5.8</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22030696</v>
      </c>
      <c r="D41" s="183">
        <f>SUM(D35:D40)</f>
        <v>100</v>
      </c>
    </row>
    <row r="42" spans="1:4" x14ac:dyDescent="0.2">
      <c r="A42" s="182" t="s">
        <v>737</v>
      </c>
      <c r="B42" s="184" t="s">
        <v>733</v>
      </c>
      <c r="C42" s="178">
        <f>ROUND('DOE25'!F174+'DOE25'!I174+'DOE25'!F177+'DOE25'!I177,0)</f>
        <v>4796692</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Hopkinton</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116</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28</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33</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172</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f>IF('School Level Expenditures'!$B$2='School Tables'!L31,'School Tables'!S31,"")</f>
        <v>28</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f>IF('School Level Expenditures'!$B$2='School Tables'!W36,'School Tables'!AD36,"")</f>
        <v>33</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f>IF('School Level Expenditures'!$B$2=A119,'School Tables'!H119,"")</f>
        <v>116</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f>IF('School Level Expenditures'!$B$2=A175,'School Tables'!H175,"")</f>
        <v>172</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2022-08-08T17:52:15Z</cp:lastPrinted>
  <dcterms:created xsi:type="dcterms:W3CDTF">1997-12-04T19:04:30Z</dcterms:created>
  <dcterms:modified xsi:type="dcterms:W3CDTF">2022-12-19T15:51:25Z</dcterms:modified>
</cp:coreProperties>
</file>