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E3E299D-AF1A-4FD1-8519-226E2BDC708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E124" i="2" s="1"/>
  <c r="L327" i="1"/>
  <c r="E125" i="2" s="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H25" i="2" s="1"/>
  <c r="F25" i="2"/>
  <c r="C26" i="2"/>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H61" i="2" s="1"/>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0" i="2"/>
  <c r="H120" i="2" s="1"/>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J652" i="1" s="1"/>
  <c r="H653" i="1"/>
  <c r="G654" i="1"/>
  <c r="H654" i="1"/>
  <c r="H655" i="1"/>
  <c r="H656" i="1"/>
  <c r="I170" i="1"/>
  <c r="H69" i="2" l="1"/>
  <c r="H30" i="2"/>
  <c r="H17" i="2"/>
  <c r="H135" i="2"/>
  <c r="H97" i="2"/>
  <c r="H96" i="2"/>
  <c r="H93" i="2"/>
  <c r="H87" i="2"/>
  <c r="H80" i="2"/>
  <c r="H26" i="2"/>
  <c r="H24" i="2"/>
  <c r="H143" i="2"/>
  <c r="H113" i="2"/>
  <c r="H102" i="2"/>
  <c r="H101" i="2"/>
  <c r="H100" i="2"/>
  <c r="H99" i="2"/>
  <c r="H98" i="2"/>
  <c r="H79" i="2"/>
  <c r="H76" i="2"/>
  <c r="H73" i="2"/>
  <c r="H58" i="2"/>
  <c r="H15" i="2"/>
  <c r="H13" i="2"/>
  <c r="H36" i="2"/>
  <c r="H38" i="2"/>
  <c r="H43" i="2"/>
  <c r="H44" i="2"/>
  <c r="H48" i="2"/>
  <c r="G646" i="1"/>
  <c r="J646" i="1" s="1"/>
  <c r="I409" i="1"/>
  <c r="D144" i="2"/>
  <c r="H89" i="2"/>
  <c r="H59" i="2"/>
  <c r="H35" i="2"/>
  <c r="H34" i="2"/>
  <c r="H29" i="2"/>
  <c r="H11" i="2"/>
  <c r="H9" i="2"/>
  <c r="G62" i="2"/>
  <c r="H8" i="2"/>
  <c r="H477" i="1"/>
  <c r="H625" i="1" s="1"/>
  <c r="J625" i="1" s="1"/>
  <c r="H47" i="2"/>
  <c r="D15" i="13"/>
  <c r="C15" i="13" s="1"/>
  <c r="E13" i="13"/>
  <c r="C13" i="13" s="1"/>
  <c r="C13" i="10"/>
  <c r="C12" i="10"/>
  <c r="C110" i="2"/>
  <c r="H125" i="2"/>
  <c r="D6" i="13"/>
  <c r="C6" i="13" s="1"/>
  <c r="C112" i="2"/>
  <c r="A40" i="12"/>
  <c r="G477" i="1"/>
  <c r="H624" i="1" s="1"/>
  <c r="J624" i="1" s="1"/>
  <c r="D78" i="2"/>
  <c r="D81" i="2" s="1"/>
  <c r="H77" i="2"/>
  <c r="H23" i="2"/>
  <c r="H12" i="2"/>
  <c r="H21" i="2"/>
  <c r="E121" i="2"/>
  <c r="H121" i="2" s="1"/>
  <c r="E112"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F661" i="1" s="1"/>
  <c r="H648" i="1"/>
  <c r="G626" i="1"/>
  <c r="L530" i="1"/>
  <c r="H546" i="1"/>
  <c r="G164" i="2"/>
  <c r="G161" i="2"/>
  <c r="G157" i="2"/>
  <c r="G156" i="2"/>
  <c r="G81" i="2"/>
  <c r="C78" i="2"/>
  <c r="F78" i="2"/>
  <c r="F81" i="2" s="1"/>
  <c r="C70" i="2"/>
  <c r="H70" i="2" s="1"/>
  <c r="D62" i="2"/>
  <c r="D63" i="2" s="1"/>
  <c r="E57" i="2"/>
  <c r="E62"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F194" i="1" l="1"/>
  <c r="H57" i="2"/>
  <c r="H122" i="2"/>
  <c r="B33" i="16"/>
  <c r="H42" i="2"/>
  <c r="D51" i="2"/>
  <c r="H134" i="2"/>
  <c r="H16" i="2"/>
  <c r="H85" i="2"/>
  <c r="L572" i="1"/>
  <c r="H112" i="2"/>
  <c r="H123" i="2"/>
  <c r="D128" i="2"/>
  <c r="D145" i="2" s="1"/>
  <c r="H127" i="2"/>
  <c r="H91" i="2"/>
  <c r="H78" i="2"/>
  <c r="H18" i="2"/>
  <c r="H31" i="2"/>
  <c r="E51" i="2"/>
  <c r="H50" i="2"/>
  <c r="I663" i="1"/>
  <c r="E128" i="2"/>
  <c r="H118" i="2"/>
  <c r="E115" i="2"/>
  <c r="H109" i="2"/>
  <c r="E63" i="2"/>
  <c r="E104" i="2" s="1"/>
  <c r="H62" i="2"/>
  <c r="C81" i="2"/>
  <c r="H81" i="2" s="1"/>
  <c r="F144" i="2"/>
  <c r="H130" i="2"/>
  <c r="H661" i="1"/>
  <c r="H665" i="1" s="1"/>
  <c r="H668" i="1" s="1"/>
  <c r="H194" i="1"/>
  <c r="G630" i="1" s="1"/>
  <c r="J630" i="1" s="1"/>
  <c r="H649" i="1"/>
  <c r="J649" i="1" s="1"/>
  <c r="C141" i="2"/>
  <c r="F51" i="2"/>
  <c r="G36" i="14"/>
  <c r="H36" i="14" s="1"/>
  <c r="I36" i="14" s="1"/>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44" i="2" l="1"/>
  <c r="H141" i="2"/>
  <c r="H673" i="1"/>
  <c r="C6" i="10" s="1"/>
  <c r="H115" i="2"/>
  <c r="H51" i="2"/>
  <c r="H128" i="2"/>
  <c r="E145" i="2"/>
  <c r="C104" i="2"/>
  <c r="H104" i="2" s="1"/>
  <c r="H63"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<sst xmlns="http://schemas.openxmlformats.org/spreadsheetml/2006/main" count="6536" uniqueCount="1808">
  <si>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</si>
  <si>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</si>
  <si>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</si>
  <si>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</si>
  <si>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</si>
  <si>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</si>
  <si>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</si>
  <si>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</si>
  <si>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</si>
  <si>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</si>
  <si>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</si>
  <si>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</si>
  <si>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</si>
  <si>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</si>
  <si>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</si>
  <si>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</si>
  <si>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</si>
  <si>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</si>
  <si>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</si>
  <si>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</si>
  <si>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</si>
  <si>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</si>
  <si>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</si>
  <si>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</si>
  <si>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</si>
  <si>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</si>
  <si>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</si>
  <si>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</si>
  <si>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</si>
  <si>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</si>
  <si>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</si>
  <si>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</si>
  <si>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</si>
  <si>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</si>
  <si>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</si>
  <si>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</si>
  <si>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</si>
  <si>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</si>
  <si>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</si>
  <si>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</si>
  <si>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</si>
  <si>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</si>
  <si>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</si>
  <si>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</si>
  <si>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</si>
  <si>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</si>
  <si>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</si>
  <si>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</si>
  <si>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</si>
  <si>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</si>
  <si>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</si>
  <si>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</si>
  <si>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</si>
  <si>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</si>
  <si>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</si>
  <si>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</si>
  <si>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</si>
  <si>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</si>
  <si>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</si>
  <si>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</si>
  <si>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</si>
  <si>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</si>
  <si>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</si>
  <si>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</si>
  <si>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</si>
  <si>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</si>
  <si>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</si>
  <si>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</si>
  <si>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</si>
  <si>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</si>
  <si>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</si>
  <si>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</si>
  <si>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</si>
  <si>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</si>
  <si>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</si>
  <si>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</si>
  <si>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</si>
  <si>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</si>
  <si>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</si>
  <si>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</si>
  <si>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</si>
  <si>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</si>
  <si>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</si>
  <si>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</si>
  <si>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</si>
  <si>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</si>
  <si>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</si>
  <si>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</si>
  <si>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</si>
  <si>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</si>
  <si>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</si>
  <si>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</si>
  <si>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</si>
  <si>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</si>
  <si>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</si>
  <si>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</si>
  <si>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</si>
  <si>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</si>
  <si>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</si>
  <si>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</si>
  <si>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</si>
  <si>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</si>
  <si>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</si>
  <si>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</si>
  <si>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</si>
  <si>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</si>
  <si>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</si>
  <si>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</si>
  <si>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</si>
  <si>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</si>
  <si>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</si>
  <si>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</si>
  <si>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</si>
  <si>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</si>
  <si>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</si>
  <si>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</si>
  <si>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</si>
  <si>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</si>
  <si>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</si>
  <si>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</si>
  <si>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</si>
  <si>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</si>
  <si>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</si>
  <si>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</si>
  <si>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</si>
  <si>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</si>
  <si>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</si>
  <si>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</si>
  <si>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</si>
  <si>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</si>
  <si>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</si>
  <si>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</si>
  <si>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</si>
  <si>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</si>
  <si>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</si>
  <si>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</si>
  <si>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</si>
  <si>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</si>
  <si>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</si>
  <si>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</si>
  <si>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</si>
  <si>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</si>
  <si>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</si>
  <si>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</si>
  <si>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</si>
  <si>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</si>
  <si>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</si>
  <si>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</si>
  <si>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</si>
  <si>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</si>
  <si>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</si>
  <si>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</si>
  <si>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</si>
  <si>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</si>
  <si>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</si>
  <si>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</si>
  <si>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</si>
  <si>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</si>
  <si>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</si>
  <si>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</si>
  <si>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</si>
  <si>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</si>
  <si>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</si>
  <si>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</si>
  <si>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</si>
  <si>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</si>
  <si>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</si>
  <si>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</si>
  <si>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</si>
  <si>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</si>
  <si>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</si>
  <si>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</si>
  <si>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</si>
  <si>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</si>
  <si>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</si>
  <si>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</si>
  <si>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</si>
  <si>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</si>
  <si>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</si>
  <si>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</si>
  <si>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</si>
  <si>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</si>
  <si>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</si>
  <si>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</si>
  <si>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</si>
  <si>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</si>
  <si>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</si>
  <si>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</si>
  <si>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</si>
  <si>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</si>
  <si>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</si>
  <si>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</si>
  <si>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</si>
  <si>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</si>
  <si>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</si>
  <si>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</si>
  <si>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</si>
  <si>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</si>
  <si>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</si>
  <si>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</si>
  <si>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</si>
  <si>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</si>
  <si>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</si>
  <si>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</si>
  <si>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</si>
  <si>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</si>
  <si>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</si>
  <si>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</si>
  <si>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</si>
  <si>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</si>
  <si>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</si>
  <si>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</si>
  <si>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</si>
  <si>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</si>
  <si>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</si>
  <si>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</si>
  <si>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</si>
  <si>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</si>
  <si>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</si>
  <si>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</si>
  <si>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</si>
  <si>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</si>
  <si>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</si>
  <si>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</si>
  <si>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</si>
  <si>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</si>
  <si>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</si>
  <si>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</si>
  <si>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</si>
  <si>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</si>
  <si>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</si>
  <si>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</si>
  <si>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</si>
  <si>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</si>
  <si>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</si>
  <si>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</si>
  <si>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</si>
  <si>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</si>
  <si>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</si>
  <si>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</si>
  <si>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</si>
  <si>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</si>
  <si>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</si>
  <si>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</si>
  <si>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</si>
  <si>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</si>
  <si>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</si>
  <si>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</si>
  <si>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</si>
  <si>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</si>
  <si>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</si>
  <si>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</si>
  <si>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</si>
  <si>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</si>
  <si>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</si>
  <si>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</si>
  <si>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</si>
  <si>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</si>
  <si>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</si>
  <si>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</si>
  <si>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</si>
  <si>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</si>
  <si>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</si>
  <si>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</si>
  <si>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</si>
  <si>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</si>
  <si>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</si>
  <si>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</si>
  <si>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</si>
  <si>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</si>
  <si>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</si>
  <si>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</si>
  <si>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</si>
  <si>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</si>
  <si>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</si>
  <si>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</si>
  <si>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</si>
  <si>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</si>
  <si>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</si>
  <si>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</si>
  <si>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</si>
  <si>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</si>
  <si>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</si>
  <si>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</si>
  <si>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</si>
  <si>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</si>
  <si>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</si>
  <si>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</si>
  <si>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</si>
  <si>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</si>
  <si>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</si>
  <si>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</si>
  <si>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</si>
  <si>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</si>
  <si>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</si>
  <si>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</si>
  <si>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</si>
  <si>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</si>
  <si>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</si>
  <si>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</si>
  <si>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</si>
  <si>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</si>
  <si>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</si>
  <si>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</si>
  <si>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</si>
  <si>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</si>
  <si>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</si>
  <si>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</si>
  <si>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</si>
  <si>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</si>
  <si>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</si>
  <si>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</si>
  <si>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</si>
  <si>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</si>
  <si>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</si>
  <si>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</si>
  <si>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</si>
  <si>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</si>
  <si>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</si>
  <si>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</si>
  <si>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</si>
  <si>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</si>
  <si>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</si>
  <si>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</si>
  <si>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</si>
  <si>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</si>
  <si>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</si>
  <si>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</si>
  <si>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</si>
  <si>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</si>
  <si>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</si>
  <si>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</si>
  <si>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</si>
  <si>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</si>
  <si>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</si>
  <si>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</si>
  <si>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</si>
  <si>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</si>
  <si>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</si>
  <si>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</si>
  <si>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</si>
  <si>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</si>
  <si>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</si>
  <si>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</si>
  <si>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</si>
  <si>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</si>
  <si>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</si>
  <si>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</si>
  <si>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</si>
  <si>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</si>
  <si>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</si>
  <si>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</si>
  <si>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</si>
  <si>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</si>
  <si>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</si>
  <si>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</si>
  <si>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</si>
  <si>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</si>
  <si>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</si>
  <si>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</si>
  <si>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</si>
  <si>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</si>
  <si>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</si>
  <si>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</si>
  <si>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</si>
  <si>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</si>
  <si>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</si>
  <si>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</si>
  <si>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</si>
  <si>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</si>
  <si>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</si>
  <si>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</si>
  <si>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</si>
  <si>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</si>
  <si>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</si>
  <si>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</si>
  <si>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</si>
  <si>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</si>
  <si>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</si>
  <si>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</si>
  <si>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</si>
  <si>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</si>
  <si>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</si>
  <si>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</si>
  <si>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</si>
  <si>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</si>
  <si>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</si>
  <si>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</si>
  <si>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</si>
  <si>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</si>
  <si>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</si>
  <si>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</si>
  <si>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</si>
  <si>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</si>
  <si>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</si>
  <si>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</si>
  <si>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</si>
  <si>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</si>
  <si>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</si>
  <si>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</si>
  <si>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</si>
  <si>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</si>
  <si>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</si>
  <si>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</si>
  <si>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</si>
  <si>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</si>
  <si>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</si>
  <si>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</si>
  <si>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</si>
  <si>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</si>
  <si>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</si>
  <si>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</si>
  <si>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</si>
  <si>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</si>
  <si>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</si>
  <si>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</si>
  <si>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</si>
  <si>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</si>
  <si>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</si>
  <si>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</si>
  <si>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</si>
  <si>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</si>
  <si>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</si>
  <si>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</si>
  <si>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</si>
  <si>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</si>
  <si>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</si>
  <si>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</si>
  <si>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</si>
  <si>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</si>
  <si>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</si>
  <si>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</si>
  <si>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</si>
  <si>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</si>
  <si>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</si>
  <si>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</si>
  <si>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</si>
  <si>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</si>
  <si>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</si>
  <si>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</si>
  <si>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</si>
  <si>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</si>
  <si>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</si>
  <si>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</si>
  <si>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</si>
  <si>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</si>
  <si>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</si>
  <si>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</si>
  <si>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</si>
  <si>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</si>
  <si>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</si>
  <si>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</si>
  <si>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</si>
  <si>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</si>
  <si>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</si>
  <si>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</si>
  <si>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</si>
  <si>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</si>
  <si>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</si>
  <si>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</si>
  <si>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</si>
  <si>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</si>
  <si>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</si>
  <si>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</si>
  <si>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</si>
  <si>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</si>
  <si>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</si>
  <si>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</si>
  <si>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</si>
  <si>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</si>
  <si>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</si>
  <si>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</si>
  <si>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</si>
  <si>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</si>
  <si>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</si>
  <si>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</si>
  <si>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</si>
  <si>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</si>
  <si>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</si>
  <si>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</si>
  <si>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</si>
  <si>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</si>
  <si>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</si>
  <si>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</si>
  <si>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</si>
  <si>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</si>
  <si>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</si>
  <si>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</si>
  <si>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</si>
  <si>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</si>
  <si>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</si>
  <si>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</si>
  <si>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</si>
  <si>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</si>
  <si>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</si>
  <si>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</si>
  <si>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</si>
  <si>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</si>
  <si>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</si>
  <si>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</si>
  <si>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</si>
  <si>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</si>
  <si>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</si>
  <si>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</si>
  <si>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</si>
  <si>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</si>
  <si>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</si>
  <si>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</si>
  <si>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</si>
  <si>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</si>
  <si>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</si>
  <si>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</si>
  <si>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</si>
  <si>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</si>
  <si>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</si>
  <si>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</si>
  <si>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</si>
  <si>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</si>
  <si>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</si>
  <si>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</si>
  <si>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</si>
  <si>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</si>
  <si>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</si>
  <si>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</si>
  <si>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</si>
  <si>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</si>
  <si>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</si>
  <si>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</si>
  <si>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</si>
  <si>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</si>
  <si>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</si>
  <si>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</si>
  <si>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</si>
  <si>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</si>
  <si>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</si>
  <si>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</si>
  <si>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</si>
  <si>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</si>
  <si>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</si>
  <si>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</si>
  <si>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</si>
  <si>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</si>
  <si>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</si>
  <si>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</si>
  <si>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</si>
  <si>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</si>
  <si>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</si>
  <si>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</si>
  <si>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</si>
  <si>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</si>
  <si>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</si>
  <si>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</si>
  <si>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</si>
  <si>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</si>
  <si>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</si>
  <si>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</si>
  <si>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</si>
  <si>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</si>
  <si>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</si>
  <si>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</si>
  <si>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</si>
  <si>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</si>
  <si>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</si>
  <si>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</si>
  <si>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</si>
  <si>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</si>
  <si>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</si>
  <si>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</si>
  <si>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</si>
  <si>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</si>
  <si>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</si>
  <si>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</si>
  <si>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</si>
  <si>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</si>
  <si>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</si>
  <si>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</si>
  <si>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</si>
  <si>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</si>
  <si>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</si>
  <si>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</si>
  <si>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</si>
  <si>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</si>
  <si>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</si>
  <si>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</si>
  <si>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</si>
  <si>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</si>
  <si>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</si>
  <si>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</si>
  <si>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</si>
  <si>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</si>
  <si>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</si>
  <si>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</si>
  <si>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</si>
  <si>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</si>
  <si>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</si>
  <si>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</si>
  <si>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</si>
  <si>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</si>
  <si>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</si>
  <si>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</si>
  <si>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</si>
  <si>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</si>
  <si>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</si>
  <si>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</si>
  <si>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</si>
  <si>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</si>
  <si>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</si>
  <si>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</si>
  <si>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</si>
  <si>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</si>
  <si>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</si>
  <si>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</si>
  <si>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</si>
  <si>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</si>
  <si>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</si>
  <si>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</si>
  <si>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</si>
  <si>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</si>
  <si>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</si>
  <si>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</si>
  <si>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</si>
  <si>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</si>
  <si>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</si>
  <si>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</si>
  <si>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</si>
  <si>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</si>
  <si>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</si>
  <si>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</si>
  <si>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</si>
  <si>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</si>
  <si>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</si>
  <si>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</si>
  <si>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</si>
  <si>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</si>
  <si>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</si>
  <si>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</si>
  <si>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</si>
  <si>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</si>
  <si>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</si>
  <si>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</si>
  <si>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</si>
  <si>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</si>
  <si>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</si>
  <si>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</si>
  <si>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</si>
  <si>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</si>
  <si>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</si>
  <si>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</si>
  <si>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</si>
  <si>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</si>
  <si>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</si>
  <si>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</si>
  <si>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</si>
  <si>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</si>
  <si>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</si>
  <si>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</si>
  <si>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</si>
  <si>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</si>
  <si>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</si>
  <si>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</si>
  <si>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</si>
  <si>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</si>
  <si>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</si>
  <si>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</si>
  <si>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</si>
  <si>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</si>
  <si>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</si>
  <si>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</si>
  <si>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</si>
  <si>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</si>
  <si>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</si>
  <si>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</si>
  <si>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</si>
  <si>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</si>
  <si>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</si>
  <si>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</si>
  <si>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</si>
  <si>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</si>
  <si>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</si>
  <si>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</si>
  <si>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</si>
  <si>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</si>
  <si>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</si>
  <si>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</si>
  <si>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</si>
  <si>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</si>
  <si>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</si>
  <si>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</si>
  <si>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</si>
  <si>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</si>
  <si>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</si>
  <si>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</si>
  <si>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</si>
  <si>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</si>
  <si>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</si>
  <si>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</si>
  <si>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</si>
  <si>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</si>
  <si>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</si>
  <si>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</si>
  <si>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</si>
  <si>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</si>
  <si>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</si>
  <si>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</si>
  <si>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</si>
  <si>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</si>
  <si>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</si>
  <si>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</si>
  <si>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</si>
  <si>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</si>
  <si>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</si>
  <si>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</si>
  <si>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</si>
  <si>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</si>
  <si>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</si>
  <si>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</si>
  <si>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</si>
  <si>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</si>
  <si>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</si>
  <si>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</si>
  <si>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</si>
  <si>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</si>
  <si>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</si>
  <si>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</si>
  <si>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</si>
  <si>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</si>
  <si>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</si>
  <si>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</si>
  <si>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</si>
  <si>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</si>
  <si>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</si>
  <si>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</si>
  <si>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</si>
  <si>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</si>
  <si>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</si>
  <si>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</si>
  <si>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</si>
  <si>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</si>
  <si>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</si>
  <si>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</si>
  <si>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</si>
  <si>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</si>
  <si>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</si>
  <si>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</si>
  <si>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</si>
  <si>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</si>
  <si>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</si>
  <si>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</si>
  <si>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</si>
  <si>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</si>
  <si>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</si>
  <si>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</si>
  <si>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</si>
  <si>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</si>
  <si>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</si>
  <si>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</si>
  <si>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</si>
  <si>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</si>
  <si>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</si>
  <si>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</si>
  <si>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</si>
  <si>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</si>
  <si>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</si>
  <si>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</si>
  <si>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</si>
  <si>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</si>
  <si>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</si>
  <si>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</si>
  <si>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</si>
  <si>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</si>
  <si>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</si>
  <si>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</si>
  <si>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</si>
  <si>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</si>
  <si>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</si>
  <si>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</si>
  <si>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</si>
  <si>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</si>
  <si>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</si>
  <si>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</si>
  <si>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</si>
  <si>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</si>
  <si>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</si>
  <si>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</si>
  <si>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</si>
  <si>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</si>
  <si>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</si>
  <si>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</si>
  <si>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</si>
  <si>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</si>
  <si>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</si>
  <si>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</si>
  <si>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</si>
  <si>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</si>
  <si>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</si>
  <si>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</si>
  <si>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</si>
  <si>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</si>
  <si>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</si>
  <si>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</si>
  <si>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</si>
  <si>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</si>
  <si>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</si>
  <si>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</si>
  <si>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</si>
  <si>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</si>
  <si>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</si>
  <si>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</si>
  <si>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</si>
  <si>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</si>
  <si>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</si>
  <si>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</si>
  <si>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</si>
  <si>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</si>
  <si>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</si>
  <si>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</si>
  <si>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</si>
  <si>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</si>
  <si>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</si>
  <si>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</si>
  <si>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</si>
  <si>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</si>
  <si>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</si>
  <si>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</si>
  <si>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</si>
  <si>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</si>
  <si>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</si>
  <si>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</si>
  <si>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</si>
  <si>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</si>
  <si>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</si>
  <si>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</si>
  <si>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</si>
  <si>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</si>
  <si>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</si>
  <si>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</si>
  <si>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</si>
  <si>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</si>
  <si>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</si>
  <si>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</si>
  <si>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</si>
  <si>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</si>
  <si>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</si>
  <si>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</si>
  <si>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</si>
  <si>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</si>
  <si>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</si>
  <si>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</si>
  <si>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</si>
  <si>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</si>
  <si>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</si>
  <si>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</si>
  <si>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</si>
  <si>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</si>
  <si>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</si>
  <si>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</si>
  <si>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</si>
  <si>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</si>
  <si>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</si>
  <si>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</si>
  <si>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</si>
  <si>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</si>
  <si>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</si>
  <si>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</si>
  <si>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</si>
  <si>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</si>
  <si>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</si>
  <si>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</si>
  <si>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</si>
  <si>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</si>
  <si>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</si>
  <si>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</si>
  <si>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</si>
  <si>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</si>
  <si>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</si>
  <si>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</si>
  <si>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</si>
  <si>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</si>
  <si>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</si>
  <si>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</si>
  <si>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</si>
  <si>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</si>
  <si>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</si>
  <si>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</si>
  <si>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</si>
  <si>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</si>
  <si>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</si>
  <si>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</si>
  <si>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</si>
  <si>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</si>
  <si>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</si>
  <si>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</si>
  <si>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</si>
  <si>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</si>
  <si>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</si>
  <si>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</si>
  <si>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</si>
  <si>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</si>
  <si>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</si>
  <si>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</si>
  <si>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</si>
  <si>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</si>
  <si>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</si>
  <si>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</si>
  <si>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</si>
  <si>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</si>
  <si>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</si>
  <si>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</si>
  <si>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</si>
  <si>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</si>
  <si>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</si>
  <si>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</si>
  <si>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</si>
  <si>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</si>
  <si>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</si>
  <si>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</si>
  <si>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</si>
  <si>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</si>
  <si>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</si>
  <si>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</si>
  <si>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</si>
  <si>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</si>
  <si>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</si>
  <si>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</si>
  <si>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</si>
  <si>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</si>
  <si>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</si>
  <si>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</si>
  <si>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</si>
  <si>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</si>
  <si>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</si>
  <si>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</si>
  <si>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</si>
  <si>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</si>
  <si>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</si>
  <si>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</si>
  <si>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</si>
  <si>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</si>
  <si>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</si>
  <si>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</si>
  <si>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</si>
  <si>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</si>
  <si>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</si>
  <si>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</si>
  <si>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</si>
  <si>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</si>
  <si>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</si>
  <si>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</si>
  <si>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</si>
  <si>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</si>
  <si>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</si>
  <si>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</si>
  <si>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</si>
  <si>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</si>
  <si>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</si>
  <si>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</si>
  <si>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</si>
  <si>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</si>
  <si>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</si>
  <si>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</si>
  <si>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</si>
  <si>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</si>
  <si>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</si>
  <si>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</si>
  <si>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</si>
  <si>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</si>
  <si>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</si>
  <si>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</si>
  <si>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</si>
  <si>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</si>
  <si>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</si>
  <si>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</si>
  <si>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</si>
  <si>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</si>
  <si>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</si>
  <si>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</si>
  <si>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</si>
  <si>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</si>
  <si>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</si>
  <si>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</si>
  <si>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</si>
  <si>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</si>
  <si>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</si>
  <si>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</si>
  <si>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</si>
  <si>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</si>
  <si>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</si>
  <si>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</si>
  <si>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</si>
  <si>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</si>
  <si>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</si>
  <si>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</si>
  <si>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</si>
  <si>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</si>
  <si>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</si>
  <si>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</si>
  <si>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</si>
  <si>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</si>
  <si>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</si>
  <si>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</si>
  <si>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</si>
  <si>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</si>
  <si>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</si>
  <si>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</si>
  <si>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</si>
  <si>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</si>
  <si>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</si>
  <si>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</si>
  <si>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</si>
  <si>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</si>
  <si>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</si>
  <si>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</si>
  <si>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</si>
  <si>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</si>
  <si>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</si>
  <si>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</si>
  <si>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</si>
  <si>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</si>
  <si>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</si>
  <si>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</si>
  <si>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</si>
  <si>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</si>
  <si>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</si>
  <si>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</si>
  <si>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</si>
  <si>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</si>
  <si>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</si>
  <si>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</si>
  <si>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</si>
  <si>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</si>
  <si>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</si>
  <si>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</si>
  <si>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</si>
  <si>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</si>
  <si>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</si>
  <si>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</si>
  <si>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</si>
  <si>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</si>
  <si>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</si>
  <si>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</si>
  <si>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</si>
  <si>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</si>
  <si>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</si>
  <si>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</si>
  <si>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</si>
  <si>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</si>
  <si>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</si>
  <si>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</si>
  <si>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</si>
  <si>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</si>
  <si>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</si>
  <si>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</si>
  <si>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</si>
  <si>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</si>
  <si>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</si>
  <si>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</si>
  <si>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</si>
  <si>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</si>
  <si>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</si>
  <si>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</si>
  <si>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</si>
  <si>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</si>
  <si>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</si>
  <si>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</si>
  <si>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</si>
  <si>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</si>
  <si>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</si>
  <si>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</si>
  <si>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</si>
  <si>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</si>
  <si>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</si>
  <si>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</si>
  <si>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</si>
  <si>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</si>
  <si>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</si>
  <si>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</si>
  <si>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</si>
  <si>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</si>
  <si>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</si>
  <si>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</si>
  <si>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</si>
  <si>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</si>
  <si>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</si>
  <si>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</si>
  <si>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</si>
  <si>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</si>
  <si>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</si>
  <si>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</si>
  <si>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</si>
  <si>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</si>
  <si>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</si>
  <si>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</si>
  <si>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</si>
  <si>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</si>
  <si>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</si>
  <si>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</si>
  <si>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</si>
  <si>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</si>
  <si>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</si>
  <si>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</si>
  <si>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</si>
  <si>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</si>
  <si>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</si>
  <si>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</si>
  <si>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</si>
  <si>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</si>
  <si>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</si>
  <si>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</si>
  <si>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</si>
  <si>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</si>
  <si>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</si>
  <si>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</si>
  <si>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</si>
  <si>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</si>
  <si>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</si>
  <si>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</si>
  <si>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</si>
  <si>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</si>
  <si>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</si>
  <si>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</si>
  <si>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</si>
  <si>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</si>
  <si>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</si>
  <si>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</si>
  <si>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</si>
  <si>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</si>
  <si>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</si>
  <si>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</si>
  <si>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</si>
  <si>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</si>
  <si>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</si>
  <si>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</si>
  <si>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</si>
  <si>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</si>
  <si>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</si>
  <si>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</si>
  <si>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</si>
  <si>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</si>
  <si>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</si>
  <si>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</si>
  <si>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</si>
  <si>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</si>
  <si>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</si>
  <si>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</si>
  <si>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</si>
  <si>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</si>
  <si>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</si>
  <si>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</si>
  <si>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</si>
  <si>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</si>
  <si>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</si>
  <si>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</si>
  <si>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</si>
  <si>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</si>
  <si>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</si>
  <si>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</si>
  <si>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</si>
  <si>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</si>
  <si>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</si>
  <si>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</si>
  <si>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</si>
  <si>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</si>
  <si>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</si>
  <si>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</si>
  <si>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</si>
  <si>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</si>
  <si>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</si>
  <si>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</si>
  <si>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</si>
  <si>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</si>
  <si>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</si>
  <si>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</si>
  <si>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</si>
  <si>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</si>
  <si>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</si>
  <si>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</si>
  <si>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</si>
  <si>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</si>
  <si>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</si>
  <si>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</si>
  <si>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</si>
  <si>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</si>
  <si>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</si>
  <si>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</si>
  <si>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</si>
  <si>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</si>
  <si>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</si>
  <si>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</si>
  <si>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</si>
  <si>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</si>
  <si>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</si>
  <si>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</si>
  <si>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</si>
  <si>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</si>
  <si>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</si>
  <si>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</si>
  <si>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</si>
  <si>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</si>
  <si>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</si>
  <si>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</si>
  <si>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</si>
  <si>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</si>
  <si>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</si>
  <si>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</si>
  <si>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</si>
  <si>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</si>
  <si>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</si>
  <si>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</si>
  <si>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</si>
  <si>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</si>
  <si>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</si>
  <si>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</si>
  <si>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</si>
  <si>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</si>
  <si>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</si>
  <si>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</si>
  <si>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</si>
  <si>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</si>
  <si>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</si>
  <si>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</si>
  <si>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</si>
  <si>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</si>
  <si>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</si>
  <si>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</si>
  <si>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</si>
  <si>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</si>
  <si>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</si>
  <si>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</si>
  <si>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</si>
  <si>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</si>
  <si>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</si>
  <si>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</si>
  <si>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</si>
  <si>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</si>
  <si>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</si>
  <si>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</si>
  <si>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</si>
  <si>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</si>
  <si>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</si>
  <si>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</si>
  <si>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</si>
  <si>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</si>
  <si>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</si>
  <si>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</si>
  <si>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</si>
  <si>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</si>
  <si>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</si>
  <si>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</si>
  <si>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</si>
  <si>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</si>
  <si>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</si>
  <si>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</si>
  <si>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</si>
  <si>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</si>
  <si>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</si>
  <si>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</si>
  <si>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</si>
  <si>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</si>
  <si>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</si>
  <si>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</si>
  <si>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</si>
  <si>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</si>
  <si>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</si>
  <si>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</si>
  <si>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</si>
  <si>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</si>
  <si>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</si>
  <si>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</si>
  <si>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</si>
  <si>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</si>
  <si>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</si>
  <si>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</si>
  <si>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</si>
  <si>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</si>
  <si>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</si>
  <si>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</si>
  <si>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</si>
  <si>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</si>
  <si>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</si>
  <si>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</si>
  <si>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</si>
  <si>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</si>
  <si>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</si>
  <si>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</si>
  <si>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</si>
  <si>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</si>
  <si>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</si>
  <si>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</si>
  <si>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</si>
  <si>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</si>
  <si>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</si>
  <si>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</si>
  <si>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</si>
  <si>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</si>
  <si>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</si>
  <si>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</si>
  <si>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</si>
  <si>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</si>
  <si>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</si>
  <si>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</si>
  <si>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</si>
  <si>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</si>
  <si>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</si>
  <si>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</si>
  <si>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</si>
  <si>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</si>
  <si>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</si>
  <si>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</si>
  <si>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</si>
  <si>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</si>
  <si>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</si>
  <si>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</si>
  <si>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</si>
  <si>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</si>
  <si>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</si>
  <si>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</si>
  <si>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</si>
  <si>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</si>
  <si>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</si>
  <si>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</si>
  <si>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</si>
  <si>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</si>
  <si>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</si>
  <si>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</si>
  <si>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</si>
  <si>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</si>
  <si>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</si>
  <si>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</si>
  <si>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</si>
  <si>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</si>
  <si>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</si>
  <si>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</si>
  <si>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</si>
  <si>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</si>
  <si>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</si>
  <si>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</si>
  <si>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</si>
  <si>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</si>
  <si>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</si>
  <si>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</si>
  <si>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</si>
  <si>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</si>
  <si>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</si>
  <si>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</si>
  <si>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</si>
  <si>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</si>
  <si>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</si>
  <si>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</si>
  <si>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</si>
  <si>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</si>
  <si>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</si>
  <si>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</si>
  <si>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</si>
  <si>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</si>
  <si>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</si>
  <si>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</si>
  <si>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</si>
  <si>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</si>
  <si>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</si>
  <si>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</si>
  <si>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</si>
  <si>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</si>
  <si>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</si>
  <si>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</si>
  <si>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</si>
  <si>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</si>
  <si>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</si>
  <si>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</si>
  <si>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</si>
  <si>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</si>
  <si>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</si>
  <si>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</si>
  <si>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</si>
  <si>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</si>
  <si>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</si>
  <si>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</si>
  <si>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</si>
  <si>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</si>
  <si>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</si>
  <si>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</si>
  <si>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</si>
  <si>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</si>
  <si>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</si>
  <si>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</si>
  <si>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</si>
  <si>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</si>
  <si>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</si>
  <si>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</si>
  <si>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</si>
  <si>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</si>
  <si>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</si>
  <si>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</si>
  <si>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</si>
  <si>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</si>
  <si>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</si>
  <si>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</si>
  <si>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</si>
  <si>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</si>
  <si>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</si>
  <si>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</si>
  <si>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</si>
  <si>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</si>
  <si>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</si>
  <si>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</si>
  <si>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</si>
  <si>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</si>
  <si>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</si>
  <si>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</si>
  <si>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</si>
  <si>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</si>
  <si>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</si>
  <si>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</si>
  <si>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</si>
  <si>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</si>
  <si>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</si>
  <si>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</si>
  <si>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</si>
  <si>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</si>
  <si>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</si>
  <si>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</si>
  <si>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</si>
  <si>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</si>
  <si>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</si>
  <si>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</si>
  <si>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</si>
  <si>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</si>
  <si>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</si>
  <si>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</si>
  <si>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</si>
  <si>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</si>
  <si>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</si>
  <si>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</si>
  <si>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</si>
  <si>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</si>
  <si>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</si>
  <si>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</si>
  <si>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</si>
  <si>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</si>
  <si>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</si>
  <si>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</si>
  <si>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</si>
  <si>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</si>
  <si>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</si>
  <si>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</si>
  <si>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</si>
  <si>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</si>
  <si>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</si>
  <si>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</si>
  <si>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</si>
  <si>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</si>
  <si>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</si>
  <si>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</si>
  <si>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</si>
  <si>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</si>
  <si>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</si>
  <si>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</si>
  <si>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</si>
  <si>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</si>
  <si>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</si>
  <si>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</si>
  <si>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</si>
  <si>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</si>
  <si>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</si>
  <si>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</si>
  <si>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</si>
  <si>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</si>
  <si>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</si>
  <si>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</si>
  <si>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</si>
  <si>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</si>
  <si>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</si>
  <si>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</si>
  <si>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</si>
  <si>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</si>
  <si>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</si>
  <si>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</si>
  <si>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</si>
  <si>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</si>
  <si>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</si>
  <si>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</si>
  <si>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</si>
  <si>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</si>
  <si>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</si>
  <si>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</si>
  <si>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</si>
  <si>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</si>
  <si>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</si>
  <si>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</si>
  <si>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</si>
  <si>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</si>
  <si>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</si>
  <si>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</si>
  <si>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</si>
  <si>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</si>
  <si>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</si>
  <si>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</si>
  <si>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</si>
  <si>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</si>
  <si>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</si>
  <si>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</si>
  <si>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</si>
  <si>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</si>
  <si>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</si>
  <si>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</si>
  <si>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</si>
  <si>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</si>
  <si>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</si>
  <si>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</si>
  <si>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</si>
  <si>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</si>
  <si>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</si>
  <si>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</si>
  <si>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</si>
  <si>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</si>
  <si>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</si>
  <si>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</si>
  <si>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</si>
  <si>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</si>
  <si>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</si>
  <si>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</si>
  <si>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</si>
  <si>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</si>
  <si>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</si>
  <si>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</si>
  <si>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</si>
  <si>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</si>
  <si>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</si>
  <si>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</si>
  <si>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</si>
  <si>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</si>
  <si>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</si>
  <si>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</si>
  <si>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</si>
  <si>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</si>
  <si>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</si>
  <si>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</si>
  <si>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</si>
  <si>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</si>
  <si>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</si>
  <si>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</si>
  <si>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</si>
  <si>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</si>
  <si>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</si>
  <si>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</si>
  <si>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</si>
  <si>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</si>
  <si>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</si>
  <si>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</si>
  <si>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</si>
  <si>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</si>
  <si>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</si>
  <si>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</si>
  <si>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</si>
  <si>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</si>
  <si>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</si>
  <si>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</si>
  <si>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</si>
  <si>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</si>
  <si>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</si>
  <si>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</si>
  <si>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</si>
  <si>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</si>
  <si>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</si>
  <si>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</si>
  <si>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</si>
  <si>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</si>
  <si>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</si>
  <si>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</si>
  <si>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</si>
  <si>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</si>
  <si>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</si>
  <si>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</si>
  <si>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</si>
  <si>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</si>
  <si>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</si>
  <si>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</si>
  <si>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</si>
  <si>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</si>
  <si>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</si>
  <si>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</si>
  <si>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</si>
  <si>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</si>
  <si>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</si>
  <si>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</si>
  <si>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</si>
  <si>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</si>
  <si>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</si>
  <si>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</si>
  <si>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</si>
  <si>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</si>
  <si>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</si>
  <si>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</si>
  <si>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</si>
  <si>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</si>
  <si>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</si>
  <si>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</si>
  <si>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</si>
  <si>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</si>
  <si>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</si>
  <si>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</si>
  <si>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</si>
  <si>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</si>
  <si>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</si>
  <si>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</si>
  <si>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</si>
  <si>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</si>
  <si>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</si>
  <si>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</si>
  <si>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</si>
  <si>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</si>
  <si>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</si>
  <si>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</si>
  <si>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</si>
  <si>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</si>
  <si>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</si>
  <si>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</si>
  <si>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</si>
  <si>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</si>
  <si>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</si>
  <si>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</si>
  <si>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</si>
  <si>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</si>
  <si>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</si>
  <si>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</si>
  <si>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</si>
  <si>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</si>
  <si>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</si>
  <si>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</si>
  <si>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</si>
  <si>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</si>
  <si>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</si>
  <si>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</si>
  <si>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</si>
  <si>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</si>
  <si>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</si>
  <si>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</si>
  <si>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</si>
  <si>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</si>
  <si>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</si>
  <si>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</si>
  <si>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</si>
  <si>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</si>
  <si>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</si>
  <si>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</si>
  <si>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</si>
  <si>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</si>
  <si>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</si>
  <si>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</si>
  <si>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</si>
  <si>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</si>
  <si>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</si>
  <si>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</si>
  <si>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</si>
  <si>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</si>
  <si>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</si>
  <si>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</si>
  <si>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</si>
  <si>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</si>
  <si>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</si>
  <si>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</si>
  <si>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</si>
  <si>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</si>
  <si>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</si>
  <si>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</si>
  <si>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</si>
  <si>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</si>
  <si>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</si>
  <si>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</si>
  <si>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</si>
  <si>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</si>
  <si>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</si>
  <si>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</si>
  <si>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</si>
  <si>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</si>
  <si>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</si>
  <si>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</si>
  <si>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</si>
  <si>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</si>
  <si>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</si>
  <si>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</si>
  <si>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</si>
  <si>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</si>
  <si>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</si>
  <si>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</si>
  <si>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</si>
  <si>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</si>
  <si>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</si>
  <si>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</si>
  <si>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</si>
  <si>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</si>
  <si>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</si>
  <si>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</si>
  <si>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</si>
  <si>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</si>
  <si>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</si>
  <si>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</si>
  <si>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</si>
  <si>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</si>
  <si>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</si>
  <si>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</si>
  <si>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</si>
  <si>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</si>
  <si>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</si>
  <si>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</si>
  <si>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</si>
  <si>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</si>
  <si>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</si>
  <si>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</si>
  <si>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</si>
  <si>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</si>
  <si>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</si>
  <si>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</si>
  <si>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</si>
  <si>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</si>
  <si>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</si>
  <si>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</si>
  <si>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</si>
  <si>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</si>
  <si>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</si>
  <si>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</si>
  <si>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</si>
  <si>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</si>
  <si>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</si>
  <si>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</si>
  <si>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</si>
  <si>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</si>
  <si>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</si>
  <si>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</si>
  <si>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</si>
  <si>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</si>
  <si>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</si>
  <si>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</si>
  <si>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</si>
  <si>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</si>
  <si>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</si>
  <si>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</si>
  <si>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</si>
  <si>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</si>
  <si>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</si>
  <si>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</si>
  <si>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</si>
  <si>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</si>
  <si>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</si>
  <si>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</si>
  <si>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</si>
  <si>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</si>
  <si>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</si>
  <si>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</si>
  <si>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</si>
  <si>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</si>
  <si>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</si>
  <si>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</si>
  <si>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</si>
  <si>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</si>
  <si>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</si>
  <si>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</si>
  <si>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</si>
  <si>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</si>
  <si>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</si>
  <si>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</si>
  <si>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</si>
  <si>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</si>
  <si>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</si>
  <si>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</si>
  <si>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</si>
  <si>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</si>
  <si>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</si>
  <si>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</si>
  <si>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</si>
  <si>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</si>
  <si>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</si>
  <si>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</si>
  <si>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</si>
  <si>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</si>
  <si>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</si>
  <si>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</si>
  <si>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</si>
  <si>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</si>
  <si>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</si>
  <si>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</si>
  <si>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</si>
  <si>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</si>
  <si>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</si>
  <si>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</si>
  <si>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</si>
  <si>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</si>
  <si>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</si>
  <si>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</si>
  <si>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</si>
  <si>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</si>
  <si>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</si>
  <si>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</si>
  <si>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</si>
  <si>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</si>
  <si>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</si>
  <si>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</si>
  <si>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</si>
  <si>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</si>
  <si>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</si>
  <si>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</si>
  <si>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</si>
  <si>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</si>
  <si>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Per the Inter-Lakes Education Association collective bargaining agreement, teachers may petition the school board to send </t>
  </si>
  <si>
    <t xml:space="preserve">their children to Inter-Lakes Schools tuition free.  The tuition included on this line is for a family building a house in </t>
  </si>
  <si>
    <t>the district who paid tuition until their house was completed and they moved in.</t>
  </si>
  <si>
    <t>School</t>
  </si>
  <si>
    <t>Level</t>
  </si>
  <si>
    <t>Inter-Lakes Middle School Students attend IL Elementary School.  Their costs are included in this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</si>
</sst>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145" zoomScaleNormal="14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1136</v>
      </c>
      <c r="B2" s="126">
        <f>INDEX('School Tables'!$AH$3:$AH$208,MATCH('DOE25'!A2,'School Tables'!$AJ$3:$AJ$208,0))</f>
        <v>269</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4041570.04</v>
      </c>
      <c r="G9" s="18"/>
      <c r="H9" s="18"/>
      <c r="I9" s="18">
        <v>3231</v>
      </c>
      <c r="J9" s="67">
        <f>SUM(I440)</f>
        <v>1273641.6399999999</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2487660.2400000002</v>
      </c>
      <c r="G12" s="18">
        <v>90055.25</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43432.17</v>
      </c>
      <c r="G13" s="18">
        <v>180983.07</v>
      </c>
      <c r="H13" s="18">
        <v>315180.03000000003</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730</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21373.27</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6594765.7199999997</v>
      </c>
      <c r="G19" s="41">
        <f>SUM(G9:G18)</f>
        <v>271038.32</v>
      </c>
      <c r="H19" s="41">
        <f>SUM(H9:H18)</f>
        <v>315180.03000000003</v>
      </c>
      <c r="I19" s="41">
        <f>SUM(I9:I18)</f>
        <v>3231</v>
      </c>
      <c r="J19" s="41">
        <f>SUM(J9:J18)</f>
        <v>1273641.6399999999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2460751.7400000002</v>
      </c>
      <c r="G22" s="18"/>
      <c r="H22" s="18">
        <v>115681.7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12331.13</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1096553.46</v>
      </c>
      <c r="G24" s="18">
        <v>45817.55</v>
      </c>
      <c r="H24" s="18">
        <v>33443.1</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v>1881.3</v>
      </c>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55130</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17436.36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12244.36</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2875.25</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3632746.81</v>
      </c>
      <c r="G32" s="41">
        <f>SUM(G22:G31)</f>
        <v>58061.91</v>
      </c>
      <c r="H32" s="41">
        <f>SUM(H22:H31)</f>
        <v>163337.22999999998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170000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340638</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212976.41</v>
      </c>
      <c r="H48" s="18">
        <v>151842.79999999999</v>
      </c>
      <c r="I48" s="18">
        <v>3231</v>
      </c>
      <c r="J48" s="13">
        <f>SUM(I460)</f>
        <v>1273641.6399999999</v>
      </c>
      <c r="K48" s="24" t="s">
        <v>288</v>
      </c>
      <c r="L48" s="24" t="s">
        <v>288</v>
      </c>
      <c r="M48" s="8"/>
      <c r="N48" s="265"/>
    </row>
    <row r="49" spans="1:14" s="3" customFormat="1" ht="12.2" customHeight="1" x14ac:dyDescent="0.15">
      <c r="A49" s="1" t="s">
        <v>859</v>
      </c>
      <c r="B49" s="2" t="s">
        <v>289</v>
      </c>
      <c r="C49" s="6">
        <v>34</v>
      </c>
      <c r="D49" s="2"/>
      <c r="E49" s="6">
        <v>753</v>
      </c>
      <c r="F49" s="18">
        <v>1974800.72</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476580.19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2962018.9099999997</v>
      </c>
      <c r="G51" s="41">
        <f>SUM(G35:G50)</f>
        <v>212976.41</v>
      </c>
      <c r="H51" s="41">
        <f>SUM(H35:H50)</f>
        <v>151842.79999999999</v>
      </c>
      <c r="I51" s="41">
        <f>SUM(I35:I50)</f>
        <v>3231</v>
      </c>
      <c r="J51" s="41">
        <f>SUM(J35:J50)</f>
        <v>1273641.6399999999</v>
      </c>
      <c r="K51" s="45" t="s">
        <v>288</v>
      </c>
      <c r="L51" s="45" t="s">
        <v>288</v>
      </c>
      <c r="N51" s="263"/>
    </row>
    <row r="52" spans="1:14" s="3" customFormat="1" ht="12.2" customHeight="1" thickTop="1" x14ac:dyDescent="0.15">
      <c r="A52" s="38" t="s">
        <v>455</v>
      </c>
      <c r="B52" s="39" t="s">
        <v>289</v>
      </c>
      <c r="C52" s="6">
        <v>37</v>
      </c>
      <c r="D52" s="39" t="s">
        <v>653</v>
      </c>
      <c r="E52" s="39"/>
      <c r="F52" s="41">
        <f>F51+F32</f>
        <v>6594765.7199999997</v>
      </c>
      <c r="G52" s="41">
        <f>G51+G32</f>
        <v>271038.32</v>
      </c>
      <c r="H52" s="41">
        <f>H51+H32</f>
        <v>315180.02999999997</v>
      </c>
      <c r="I52" s="41">
        <f>I51+I32</f>
        <v>3231</v>
      </c>
      <c r="J52" s="41">
        <f>J51+J32</f>
        <v>1273641.6399999999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21263461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21263461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4394.1000000000004</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68626.38</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73020.48000000001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1129.23</v>
      </c>
      <c r="G96" s="18"/>
      <c r="H96" s="18"/>
      <c r="I96" s="18"/>
      <c r="J96" s="18">
        <v>5881.97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51939.09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2260</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34144.5</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21804.84</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17901.759999999998</v>
      </c>
      <c r="G110" s="18"/>
      <c r="H110" s="18">
        <v>40924.800000000003</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55435.490000000005</v>
      </c>
      <c r="G111" s="41">
        <f>SUM(G96:G110)</f>
        <v>51939.09</v>
      </c>
      <c r="H111" s="41">
        <f>SUM(H96:H110)</f>
        <v>62729.64</v>
      </c>
      <c r="I111" s="41">
        <f>SUM(I96:I110)</f>
        <v>0</v>
      </c>
      <c r="J111" s="41">
        <f>SUM(J96:J110)</f>
        <v>5881.97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21391916.969999999</v>
      </c>
      <c r="G112" s="41">
        <f>G60+G111</f>
        <v>51939.09</v>
      </c>
      <c r="H112" s="41">
        <f>H60+H79+H94+H111</f>
        <v>62729.64</v>
      </c>
      <c r="I112" s="41">
        <f>I60+I111</f>
        <v>0</v>
      </c>
      <c r="J112" s="41">
        <f>J60+J111</f>
        <v>5881.97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5987606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5989601.21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115064.35</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22570.5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9875.4</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8450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8067.44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147510.25</v>
      </c>
      <c r="G136" s="41">
        <f>SUM(G123:G135)</f>
        <v>8067.44</v>
      </c>
      <c r="H136" s="41">
        <f>SUM(H123:H135)</f>
        <v>8450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6137111.46</v>
      </c>
      <c r="G140" s="41">
        <f>G121+SUM(G136:G137)</f>
        <v>8067.44</v>
      </c>
      <c r="H140" s="41">
        <f>H121+SUM(H136:H139)</f>
        <v>8450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240591.01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112642.57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603719.98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239734.05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193973.75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38051.53</v>
      </c>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1479312.03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232025.28</v>
      </c>
      <c r="G163" s="41">
        <f>SUM(G150:G162)</f>
        <v>603719.98</v>
      </c>
      <c r="H163" s="41">
        <f>SUM(H150:H162)</f>
        <v>2072279.6600000001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8150.09</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240175.37</v>
      </c>
      <c r="G170" s="41">
        <f>G147+G163+SUM(G164:G169)</f>
        <v>603719.98</v>
      </c>
      <c r="H170" s="41">
        <f>H147+H163+SUM(H164:H169)</f>
        <v>2072279.6600000001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10000</v>
      </c>
      <c r="H180" s="18"/>
      <c r="I180" s="18"/>
      <c r="J180" s="18">
        <v>175000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10000</v>
      </c>
      <c r="H184" s="41">
        <f>SUM(H180:H183)</f>
        <v>0</v>
      </c>
      <c r="I184" s="41">
        <f>SUM(I180:I183)</f>
        <v>0</v>
      </c>
      <c r="J184" s="41">
        <f>SUM(J180:J183)</f>
        <v>175000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10000</v>
      </c>
      <c r="H193" s="41">
        <f>+H184+SUM(H189:H192)</f>
        <v>0</v>
      </c>
      <c r="I193" s="41">
        <f>I178+I184+SUM(I189:I192)</f>
        <v>0</v>
      </c>
      <c r="J193" s="41">
        <f>J184</f>
        <v>175000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27769203.800000001</v>
      </c>
      <c r="G194" s="47">
        <f>G112+G140+G170+G193</f>
        <v>673726.51</v>
      </c>
      <c r="H194" s="47">
        <f>H112+H140+H170+H193</f>
        <v>2143459.3000000003</v>
      </c>
      <c r="I194" s="47">
        <f>I112+I140+I170+I193</f>
        <v>0</v>
      </c>
      <c r="J194" s="47">
        <f>J112+J140+J193</f>
        <v>180881.97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4358370.3600000003</v>
      </c>
      <c r="G198" s="18">
        <v>2026248.4</v>
      </c>
      <c r="H198" s="18">
        <v>92264.14</v>
      </c>
      <c r="I198" s="18">
        <v>62439.06</v>
      </c>
      <c r="J198" s="18">
        <v>23140.720000000001</v>
      </c>
      <c r="K198" s="18">
        <v>0</v>
      </c>
      <c r="L198" s="19">
        <f>SUM(F198:K198)</f>
        <v>6562462.6799999988</v>
      </c>
      <c r="M198" s="8"/>
      <c r="N198" s="265"/>
    </row>
    <row r="199" spans="1:14" s="3" customFormat="1" ht="12.2" customHeight="1" x14ac:dyDescent="0.15">
      <c r="A199" s="1" t="s">
        <v>439</v>
      </c>
      <c r="B199" s="2" t="s">
        <v>341</v>
      </c>
      <c r="C199" s="2" t="s">
        <v>291</v>
      </c>
      <c r="D199" s="2" t="s">
        <v>431</v>
      </c>
      <c r="E199" s="6">
        <v>1200</v>
      </c>
      <c r="F199" s="18">
        <v>1931355.68</v>
      </c>
      <c r="G199" s="18">
        <v>844586.91</v>
      </c>
      <c r="H199" s="18">
        <v>95404.72</v>
      </c>
      <c r="I199" s="18">
        <v>3168.25</v>
      </c>
      <c r="J199" s="18">
        <v>4901.79</v>
      </c>
      <c r="K199" s="18">
        <v>0</v>
      </c>
      <c r="L199" s="19">
        <f>SUM(F199:K199)</f>
        <v>2879417.35</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120793</v>
      </c>
      <c r="G201" s="18">
        <v>24749.99</v>
      </c>
      <c r="H201" s="18">
        <v>5576.69</v>
      </c>
      <c r="I201" s="18">
        <v>3153.59</v>
      </c>
      <c r="J201" s="18">
        <v>2515</v>
      </c>
      <c r="K201" s="18">
        <v>0</v>
      </c>
      <c r="L201" s="19">
        <f>SUM(F201:K201)</f>
        <v>156788.26999999999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816094.99</v>
      </c>
      <c r="G203" s="18">
        <v>396070.2</v>
      </c>
      <c r="H203" s="18">
        <v>84929.93</v>
      </c>
      <c r="I203" s="18">
        <v>23605.74</v>
      </c>
      <c r="J203" s="18">
        <v>2693.93</v>
      </c>
      <c r="K203" s="18">
        <v>123.02</v>
      </c>
      <c r="L203" s="19">
        <f t="shared" ref="L203:L209" si="0">SUM(F203:K203)</f>
        <v>1323517.8099999998</v>
      </c>
      <c r="M203" s="8"/>
      <c r="N203" s="265"/>
    </row>
    <row r="204" spans="1:14" s="3" customFormat="1" ht="12.2" customHeight="1" x14ac:dyDescent="0.15">
      <c r="A204" s="1" t="s">
        <v>443</v>
      </c>
      <c r="B204" s="2" t="s">
        <v>341</v>
      </c>
      <c r="C204" s="2" t="s">
        <v>295</v>
      </c>
      <c r="D204" s="2" t="s">
        <v>431</v>
      </c>
      <c r="E204" s="6">
        <v>2200</v>
      </c>
      <c r="F204" s="18">
        <v>391613.07</v>
      </c>
      <c r="G204" s="18">
        <v>224505.38</v>
      </c>
      <c r="H204" s="18">
        <v>192384.8</v>
      </c>
      <c r="I204" s="18">
        <v>145513.41</v>
      </c>
      <c r="J204" s="18">
        <v>203416.65</v>
      </c>
      <c r="K204" s="18">
        <v>343.64</v>
      </c>
      <c r="L204" s="19">
        <f t="shared" si="0"/>
        <v>1157776.95</v>
      </c>
      <c r="M204" s="8"/>
      <c r="N204" s="265"/>
    </row>
    <row r="205" spans="1:14" s="3" customFormat="1" ht="12.2" customHeight="1" x14ac:dyDescent="0.15">
      <c r="A205" s="1" t="s">
        <v>444</v>
      </c>
      <c r="B205" s="2" t="s">
        <v>341</v>
      </c>
      <c r="C205" s="2" t="s">
        <v>296</v>
      </c>
      <c r="D205" s="2" t="s">
        <v>431</v>
      </c>
      <c r="E205" s="6">
        <v>2300</v>
      </c>
      <c r="F205" s="18">
        <v>8575.81</v>
      </c>
      <c r="G205" s="18">
        <v>661.44</v>
      </c>
      <c r="H205" s="18">
        <v>770792.99</v>
      </c>
      <c r="I205" s="18">
        <v>14692.97</v>
      </c>
      <c r="J205" s="18">
        <v>0</v>
      </c>
      <c r="K205" s="18">
        <v>12953.38</v>
      </c>
      <c r="L205" s="19">
        <f t="shared" si="0"/>
        <v>807676.59</v>
      </c>
      <c r="M205" s="8"/>
      <c r="N205" s="265"/>
    </row>
    <row r="206" spans="1:14" s="3" customFormat="1" ht="12.2" customHeight="1" x14ac:dyDescent="0.15">
      <c r="A206" s="1" t="s">
        <v>445</v>
      </c>
      <c r="B206" s="2" t="s">
        <v>341</v>
      </c>
      <c r="C206" s="2" t="s">
        <v>297</v>
      </c>
      <c r="D206" s="2" t="s">
        <v>431</v>
      </c>
      <c r="E206" s="6">
        <v>2400</v>
      </c>
      <c r="F206" s="18">
        <v>529111.69999999995</v>
      </c>
      <c r="G206" s="18">
        <v>253430.17</v>
      </c>
      <c r="H206" s="18">
        <v>45480.37</v>
      </c>
      <c r="I206" s="18">
        <v>3471.5</v>
      </c>
      <c r="J206" s="18"/>
      <c r="K206" s="18">
        <v>389</v>
      </c>
      <c r="L206" s="19">
        <f t="shared" si="0"/>
        <v>831882.74</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451587.63</v>
      </c>
      <c r="G208" s="18">
        <v>238645.91</v>
      </c>
      <c r="H208" s="18">
        <v>835885.24</v>
      </c>
      <c r="I208" s="18">
        <v>280293.7</v>
      </c>
      <c r="J208" s="18">
        <v>678031.29</v>
      </c>
      <c r="K208" s="18">
        <v>0</v>
      </c>
      <c r="L208" s="19">
        <f t="shared" si="0"/>
        <v>2484443.77</v>
      </c>
      <c r="M208" s="8"/>
      <c r="N208" s="265"/>
    </row>
    <row r="209" spans="1:14" s="3" customFormat="1" ht="12.2" customHeight="1" x14ac:dyDescent="0.15">
      <c r="A209" s="1" t="s">
        <v>448</v>
      </c>
      <c r="B209" s="2" t="s">
        <v>341</v>
      </c>
      <c r="C209" s="2" t="s">
        <v>300</v>
      </c>
      <c r="D209" s="2" t="s">
        <v>431</v>
      </c>
      <c r="E209" s="6">
        <v>2700</v>
      </c>
      <c r="F209" s="18"/>
      <c r="G209" s="18"/>
      <c r="H209" s="18">
        <v>933542.25</v>
      </c>
      <c r="I209" s="18"/>
      <c r="J209" s="18"/>
      <c r="K209" s="18"/>
      <c r="L209" s="19">
        <f t="shared" si="0"/>
        <v>933542.25</v>
      </c>
      <c r="M209" s="8"/>
      <c r="N209" s="265"/>
    </row>
    <row r="210" spans="1:14" s="3" customFormat="1" ht="12.2" customHeight="1" x14ac:dyDescent="0.15">
      <c r="A210" s="1" t="s">
        <v>449</v>
      </c>
      <c r="B210" s="2" t="s">
        <v>341</v>
      </c>
      <c r="C210" s="2" t="s">
        <v>343</v>
      </c>
      <c r="D210" s="2" t="s">
        <v>431</v>
      </c>
      <c r="E210" s="6">
        <v>2800</v>
      </c>
      <c r="F210" s="18">
        <v>90101.2</v>
      </c>
      <c r="G210" s="18">
        <v>783801.36</v>
      </c>
      <c r="H210" s="18"/>
      <c r="I210" s="18"/>
      <c r="J210" s="18"/>
      <c r="K210" s="18"/>
      <c r="L210" s="19">
        <f>SUM(F210:K210)</f>
        <v>873902.55999999994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8697603.4399999995</v>
      </c>
      <c r="G212" s="41">
        <f t="shared" si="1"/>
        <v>4792699.7600000007</v>
      </c>
      <c r="H212" s="41">
        <f t="shared" si="1"/>
        <v>3056261.13</v>
      </c>
      <c r="I212" s="41">
        <f t="shared" si="1"/>
        <v>536338.22</v>
      </c>
      <c r="J212" s="41">
        <f t="shared" si="1"/>
        <v>914699.38</v>
      </c>
      <c r="K212" s="41">
        <f t="shared" si="1"/>
        <v>13809.039999999999</v>
      </c>
      <c r="L212" s="41">
        <f t="shared" si="1"/>
        <v>18011410.969999995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1891527.9</v>
      </c>
      <c r="G234" s="18">
        <v>814464.7</v>
      </c>
      <c r="H234" s="18">
        <v>3187</v>
      </c>
      <c r="I234" s="18">
        <v>35183</v>
      </c>
      <c r="J234" s="18">
        <v>20563.189999999999</v>
      </c>
      <c r="K234" s="18">
        <v>0</v>
      </c>
      <c r="L234" s="19">
        <f>SUM(F234:K234)</f>
        <v>2764925.7899999996</v>
      </c>
      <c r="M234" s="8"/>
      <c r="N234" s="265"/>
    </row>
    <row r="235" spans="1:14" s="3" customFormat="1" ht="12.2" customHeight="1" x14ac:dyDescent="0.15">
      <c r="A235" s="1" t="s">
        <v>439</v>
      </c>
      <c r="B235" s="2" t="s">
        <v>350</v>
      </c>
      <c r="C235" s="2" t="s">
        <v>291</v>
      </c>
      <c r="D235" s="2" t="s">
        <v>431</v>
      </c>
      <c r="E235" s="6">
        <v>1200</v>
      </c>
      <c r="F235" s="18">
        <v>619719.18000000005</v>
      </c>
      <c r="G235" s="18">
        <v>278030.2</v>
      </c>
      <c r="H235" s="18">
        <v>208999.11</v>
      </c>
      <c r="I235" s="18">
        <v>1832.8</v>
      </c>
      <c r="J235" s="18"/>
      <c r="K235" s="18"/>
      <c r="L235" s="19">
        <f>SUM(F235:K235)</f>
        <v>1108581.2900000003</v>
      </c>
      <c r="M235" s="8"/>
      <c r="N235" s="265"/>
    </row>
    <row r="236" spans="1:14" s="3" customFormat="1" ht="12.2" customHeight="1" x14ac:dyDescent="0.15">
      <c r="A236" s="1" t="s">
        <v>440</v>
      </c>
      <c r="B236" s="2" t="s">
        <v>350</v>
      </c>
      <c r="C236" s="2" t="s">
        <v>292</v>
      </c>
      <c r="D236" s="2" t="s">
        <v>431</v>
      </c>
      <c r="E236" s="6">
        <v>1300</v>
      </c>
      <c r="F236" s="18"/>
      <c r="G236" s="18"/>
      <c r="H236" s="18">
        <v>118044.59</v>
      </c>
      <c r="I236" s="18"/>
      <c r="J236" s="18"/>
      <c r="K236" s="18"/>
      <c r="L236" s="19">
        <f>SUM(F236:K236)</f>
        <v>118044.59</v>
      </c>
      <c r="M236" s="8"/>
      <c r="N236" s="265"/>
    </row>
    <row r="237" spans="1:14" s="3" customFormat="1" ht="12.2" customHeight="1" x14ac:dyDescent="0.15">
      <c r="A237" s="1" t="s">
        <v>441</v>
      </c>
      <c r="B237" s="2" t="s">
        <v>350</v>
      </c>
      <c r="C237" s="2" t="s">
        <v>293</v>
      </c>
      <c r="D237" s="2" t="s">
        <v>431</v>
      </c>
      <c r="E237" s="6">
        <v>1400</v>
      </c>
      <c r="F237" s="18">
        <v>262388.56</v>
      </c>
      <c r="G237" s="18">
        <v>65290.02</v>
      </c>
      <c r="H237" s="18">
        <v>108340.76</v>
      </c>
      <c r="I237" s="18">
        <v>31406.79</v>
      </c>
      <c r="J237" s="18">
        <v>18329</v>
      </c>
      <c r="K237" s="18">
        <v>11498.43</v>
      </c>
      <c r="L237" s="19">
        <f>SUM(F237:K237)</f>
        <v>497253.56</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397170.61</v>
      </c>
      <c r="G239" s="18">
        <v>186489.37</v>
      </c>
      <c r="H239" s="18">
        <v>55128.46</v>
      </c>
      <c r="I239" s="18">
        <v>13726.93</v>
      </c>
      <c r="J239" s="18">
        <v>4830.8100000000004</v>
      </c>
      <c r="K239" s="18">
        <v>205.98</v>
      </c>
      <c r="L239" s="19">
        <f t="shared" ref="L239:L245" si="4">SUM(F239:K239)</f>
        <v>657552.16</v>
      </c>
      <c r="M239" s="8"/>
      <c r="N239" s="265"/>
    </row>
    <row r="240" spans="1:14" s="3" customFormat="1" ht="12.2" customHeight="1" x14ac:dyDescent="0.15">
      <c r="A240" s="1" t="s">
        <v>443</v>
      </c>
      <c r="B240" s="2" t="s">
        <v>350</v>
      </c>
      <c r="C240" s="2" t="s">
        <v>295</v>
      </c>
      <c r="D240" s="2" t="s">
        <v>431</v>
      </c>
      <c r="E240" s="6">
        <v>2200</v>
      </c>
      <c r="F240" s="18">
        <v>191604.72</v>
      </c>
      <c r="G240" s="18">
        <v>97387</v>
      </c>
      <c r="H240" s="18">
        <v>87540.97</v>
      </c>
      <c r="I240" s="18">
        <v>66191.98</v>
      </c>
      <c r="J240" s="18">
        <v>93768.13</v>
      </c>
      <c r="K240" s="18">
        <v>491.36</v>
      </c>
      <c r="L240" s="19">
        <f t="shared" si="4"/>
        <v>536984.15999999992</v>
      </c>
      <c r="M240" s="8"/>
      <c r="N240" s="265"/>
    </row>
    <row r="241" spans="1:14" s="3" customFormat="1" ht="12.2" customHeight="1" x14ac:dyDescent="0.15">
      <c r="A241" s="1" t="s">
        <v>444</v>
      </c>
      <c r="B241" s="2" t="s">
        <v>350</v>
      </c>
      <c r="C241" s="2" t="s">
        <v>296</v>
      </c>
      <c r="D241" s="2" t="s">
        <v>431</v>
      </c>
      <c r="E241" s="6">
        <v>2300</v>
      </c>
      <c r="F241" s="18">
        <v>3902.25</v>
      </c>
      <c r="G241" s="18">
        <v>300.98</v>
      </c>
      <c r="H241" s="18">
        <v>350734.42</v>
      </c>
      <c r="I241" s="18">
        <v>6685.75</v>
      </c>
      <c r="J241" s="18">
        <v>0</v>
      </c>
      <c r="K241" s="18">
        <v>5894.18</v>
      </c>
      <c r="L241" s="19">
        <f t="shared" si="4"/>
        <v>367517.57999999996</v>
      </c>
      <c r="M241" s="8"/>
      <c r="N241" s="265"/>
    </row>
    <row r="242" spans="1:14" s="3" customFormat="1" ht="12.2" customHeight="1" x14ac:dyDescent="0.15">
      <c r="A242" s="1" t="s">
        <v>445</v>
      </c>
      <c r="B242" s="2" t="s">
        <v>350</v>
      </c>
      <c r="C242" s="2" t="s">
        <v>297</v>
      </c>
      <c r="D242" s="2" t="s">
        <v>431</v>
      </c>
      <c r="E242" s="6">
        <v>2400</v>
      </c>
      <c r="F242" s="18">
        <v>280637.77</v>
      </c>
      <c r="G242" s="18">
        <v>124714.27</v>
      </c>
      <c r="H242" s="18">
        <v>27069.33</v>
      </c>
      <c r="I242" s="18">
        <v>7114.63</v>
      </c>
      <c r="J242" s="18">
        <v>0</v>
      </c>
      <c r="K242" s="18">
        <v>8804</v>
      </c>
      <c r="L242" s="19">
        <f t="shared" si="4"/>
        <v>448340.00000000006</v>
      </c>
      <c r="M242" s="8"/>
      <c r="N242" s="265"/>
    </row>
    <row r="243" spans="1:14" s="3" customFormat="1" ht="12.2" customHeight="1" x14ac:dyDescent="0.15">
      <c r="A243" s="1" t="s">
        <v>446</v>
      </c>
      <c r="B243" s="2" t="s">
        <v>350</v>
      </c>
      <c r="C243" s="2" t="s">
        <v>298</v>
      </c>
      <c r="D243" s="2" t="s">
        <v>431</v>
      </c>
      <c r="E243" s="6">
        <v>2500</v>
      </c>
      <c r="F243" s="18">
        <v>1275</v>
      </c>
      <c r="G243" s="18">
        <v>97.53</v>
      </c>
      <c r="H243" s="18">
        <v>0</v>
      </c>
      <c r="I243" s="18">
        <v>3000</v>
      </c>
      <c r="J243" s="18">
        <v>2989.4</v>
      </c>
      <c r="K243" s="18"/>
      <c r="L243" s="19">
        <f t="shared" si="4"/>
        <v>7361.93</v>
      </c>
      <c r="M243" s="8"/>
      <c r="N243" s="265"/>
    </row>
    <row r="244" spans="1:14" s="3" customFormat="1" ht="12.2" customHeight="1" x14ac:dyDescent="0.15">
      <c r="A244" s="1" t="s">
        <v>447</v>
      </c>
      <c r="B244" s="2" t="s">
        <v>350</v>
      </c>
      <c r="C244" s="2" t="s">
        <v>299</v>
      </c>
      <c r="D244" s="2" t="s">
        <v>431</v>
      </c>
      <c r="E244" s="6">
        <v>2600</v>
      </c>
      <c r="F244" s="18">
        <v>283074.99</v>
      </c>
      <c r="G244" s="18">
        <v>183543.85</v>
      </c>
      <c r="H244" s="18">
        <v>382605.89</v>
      </c>
      <c r="I244" s="18">
        <v>136818.99</v>
      </c>
      <c r="J244" s="18">
        <v>473834.01</v>
      </c>
      <c r="K244" s="18">
        <v>0</v>
      </c>
      <c r="L244" s="19">
        <f t="shared" si="4"/>
        <v>1459877.73</v>
      </c>
      <c r="M244" s="8"/>
      <c r="N244" s="265"/>
    </row>
    <row r="245" spans="1:14" s="3" customFormat="1" ht="12.2" customHeight="1" x14ac:dyDescent="0.15">
      <c r="A245" s="1" t="s">
        <v>448</v>
      </c>
      <c r="B245" s="2" t="s">
        <v>350</v>
      </c>
      <c r="C245" s="2" t="s">
        <v>300</v>
      </c>
      <c r="D245" s="2" t="s">
        <v>431</v>
      </c>
      <c r="E245" s="6">
        <v>2700</v>
      </c>
      <c r="F245" s="18"/>
      <c r="G245" s="18"/>
      <c r="H245" s="18">
        <v>548040.02</v>
      </c>
      <c r="I245" s="18"/>
      <c r="J245" s="18"/>
      <c r="K245" s="18"/>
      <c r="L245" s="19">
        <f t="shared" si="4"/>
        <v>548040.02</v>
      </c>
      <c r="M245" s="8"/>
      <c r="N245" s="265"/>
    </row>
    <row r="246" spans="1:14" s="3" customFormat="1" ht="12.2" customHeight="1" x14ac:dyDescent="0.15">
      <c r="A246" s="1" t="s">
        <v>449</v>
      </c>
      <c r="B246" s="2" t="s">
        <v>350</v>
      </c>
      <c r="C246" s="2" t="s">
        <v>343</v>
      </c>
      <c r="D246" s="2" t="s">
        <v>431</v>
      </c>
      <c r="E246" s="6">
        <v>2800</v>
      </c>
      <c r="F246" s="18">
        <v>40998.800000000003</v>
      </c>
      <c r="G246" s="18">
        <v>356653.63</v>
      </c>
      <c r="H246" s="18"/>
      <c r="I246" s="18"/>
      <c r="J246" s="18"/>
      <c r="K246" s="18"/>
      <c r="L246" s="19">
        <f>SUM(F246:K246)</f>
        <v>397652.43</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3972299.7800000003</v>
      </c>
      <c r="G248" s="41">
        <f t="shared" si="5"/>
        <v>2106971.5500000003</v>
      </c>
      <c r="H248" s="41">
        <f t="shared" si="5"/>
        <v>1889690.55</v>
      </c>
      <c r="I248" s="41">
        <f t="shared" si="5"/>
        <v>301960.87</v>
      </c>
      <c r="J248" s="41">
        <f t="shared" si="5"/>
        <v>614314.54</v>
      </c>
      <c r="K248" s="41">
        <f t="shared" si="5"/>
        <v>26893.95</v>
      </c>
      <c r="L248" s="41">
        <f t="shared" si="5"/>
        <v>8912131.2399999984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12669903.219999999</v>
      </c>
      <c r="G258" s="41">
        <f t="shared" si="8"/>
        <v>6899671.3100000005</v>
      </c>
      <c r="H258" s="41">
        <f t="shared" si="8"/>
        <v>4945951.68</v>
      </c>
      <c r="I258" s="41">
        <f t="shared" si="8"/>
        <v>838299.09</v>
      </c>
      <c r="J258" s="41">
        <f t="shared" si="8"/>
        <v>1529013.92</v>
      </c>
      <c r="K258" s="41">
        <f t="shared" si="8"/>
        <v>40702.99</v>
      </c>
      <c r="L258" s="41">
        <f t="shared" si="8"/>
        <v>26923542.209999993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10000</v>
      </c>
      <c r="L264" s="19">
        <f>SUM(F264:K264)</f>
        <v>10000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175000</v>
      </c>
      <c r="L267" s="19">
        <f t="shared" si="9"/>
        <v>175000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185000</v>
      </c>
      <c r="L271" s="41">
        <f t="shared" si="9"/>
        <v>185000</v>
      </c>
      <c r="M271" s="8"/>
      <c r="N271" s="265"/>
    </row>
    <row r="272" spans="1:14" s="34" customFormat="1" ht="12.2" customHeight="1" thickTop="1" x14ac:dyDescent="0.2">
      <c r="A272" s="43" t="s">
        <v>464</v>
      </c>
      <c r="B272" s="40">
        <v>10</v>
      </c>
      <c r="C272" s="40">
        <v>18</v>
      </c>
      <c r="D272" s="39" t="s">
        <v>431</v>
      </c>
      <c r="E272" s="40"/>
      <c r="F272" s="42">
        <f t="shared" ref="F272:L272" si="11">F258+F271</f>
        <v>12669903.219999999</v>
      </c>
      <c r="G272" s="42">
        <f t="shared" si="11"/>
        <v>6899671.3100000005</v>
      </c>
      <c r="H272" s="42">
        <f t="shared" si="11"/>
        <v>4945951.68</v>
      </c>
      <c r="I272" s="42">
        <f t="shared" si="11"/>
        <v>838299.09</v>
      </c>
      <c r="J272" s="42">
        <f t="shared" si="11"/>
        <v>1529013.92</v>
      </c>
      <c r="K272" s="42">
        <f t="shared" si="11"/>
        <v>225702.99</v>
      </c>
      <c r="L272" s="42">
        <f t="shared" si="11"/>
        <v>27108542.209999993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471434.01</v>
      </c>
      <c r="G277" s="18">
        <v>222106</v>
      </c>
      <c r="H277" s="18">
        <v>10855.38</v>
      </c>
      <c r="I277" s="18">
        <v>26116.42</v>
      </c>
      <c r="J277" s="18">
        <v>6838.34</v>
      </c>
      <c r="K277" s="18"/>
      <c r="L277" s="19">
        <f>SUM(F277:K277)</f>
        <v>737350.15</v>
      </c>
      <c r="M277" s="8"/>
      <c r="N277" s="265"/>
    </row>
    <row r="278" spans="1:14" s="3" customFormat="1" ht="12.2" customHeight="1" x14ac:dyDescent="0.15">
      <c r="A278" s="1" t="s">
        <v>439</v>
      </c>
      <c r="B278" s="2" t="s">
        <v>357</v>
      </c>
      <c r="C278" s="2" t="s">
        <v>291</v>
      </c>
      <c r="D278" s="2" t="s">
        <v>431</v>
      </c>
      <c r="E278" s="6">
        <v>1200</v>
      </c>
      <c r="F278" s="18">
        <v>84254.11</v>
      </c>
      <c r="G278" s="18">
        <v>45417</v>
      </c>
      <c r="H278" s="18">
        <v>63275.82</v>
      </c>
      <c r="I278" s="18">
        <v>2828.44</v>
      </c>
      <c r="J278" s="18"/>
      <c r="K278" s="18">
        <v>5096.2700000000004</v>
      </c>
      <c r="L278" s="19">
        <f>SUM(F278:K278)</f>
        <v>200871.63999999998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v>824.72</v>
      </c>
      <c r="I280" s="18">
        <v>2233.63</v>
      </c>
      <c r="J280" s="18"/>
      <c r="K280" s="18">
        <v>2749.08</v>
      </c>
      <c r="L280" s="19">
        <f>SUM(F280:K280)</f>
        <v>5807.43</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111465.78</v>
      </c>
      <c r="G282" s="18">
        <v>34503.089999999997</v>
      </c>
      <c r="H282" s="18"/>
      <c r="I282" s="18">
        <v>1395.6</v>
      </c>
      <c r="J282" s="18"/>
      <c r="K282" s="18">
        <v>11460.6</v>
      </c>
      <c r="L282" s="19">
        <f t="shared" ref="L282:L288" si="12">SUM(F282:K282)</f>
        <v>158825.07</v>
      </c>
      <c r="M282" s="8"/>
      <c r="N282" s="265"/>
    </row>
    <row r="283" spans="1:14" s="3" customFormat="1" ht="12.2" customHeight="1" x14ac:dyDescent="0.15">
      <c r="A283" s="1" t="s">
        <v>443</v>
      </c>
      <c r="B283" s="2" t="s">
        <v>357</v>
      </c>
      <c r="C283" s="2" t="s">
        <v>295</v>
      </c>
      <c r="D283" s="2" t="s">
        <v>431</v>
      </c>
      <c r="E283" s="6">
        <v>2200</v>
      </c>
      <c r="F283" s="18"/>
      <c r="G283" s="18"/>
      <c r="H283" s="18">
        <v>74818.899999999994</v>
      </c>
      <c r="I283" s="18">
        <v>213.56</v>
      </c>
      <c r="J283" s="18"/>
      <c r="K283" s="18"/>
      <c r="L283" s="19">
        <f t="shared" si="12"/>
        <v>75032.459999999992</v>
      </c>
      <c r="M283" s="8"/>
      <c r="N283" s="265"/>
    </row>
    <row r="284" spans="1:14" s="3" customFormat="1" ht="12.2" customHeight="1" x14ac:dyDescent="0.15">
      <c r="A284" s="1" t="s">
        <v>444</v>
      </c>
      <c r="B284" s="2" t="s">
        <v>357</v>
      </c>
      <c r="C284" s="2" t="s">
        <v>296</v>
      </c>
      <c r="D284" s="2" t="s">
        <v>431</v>
      </c>
      <c r="E284" s="6">
        <v>2300</v>
      </c>
      <c r="F284" s="18">
        <v>8294.85</v>
      </c>
      <c r="G284" s="18">
        <v>3170.38</v>
      </c>
      <c r="H284" s="18"/>
      <c r="I284" s="18"/>
      <c r="J284" s="18"/>
      <c r="K284" s="18">
        <v>63679.55</v>
      </c>
      <c r="L284" s="19">
        <f t="shared" si="12"/>
        <v>75144.78</v>
      </c>
      <c r="M284" s="8"/>
      <c r="N284" s="265"/>
    </row>
    <row r="285" spans="1:14" s="3" customFormat="1" ht="12.2" customHeight="1" x14ac:dyDescent="0.15">
      <c r="A285" s="1" t="s">
        <v>445</v>
      </c>
      <c r="B285" s="2" t="s">
        <v>357</v>
      </c>
      <c r="C285" s="2" t="s">
        <v>297</v>
      </c>
      <c r="D285" s="2" t="s">
        <v>431</v>
      </c>
      <c r="E285" s="6">
        <v>2400</v>
      </c>
      <c r="F285" s="18">
        <v>3436.35</v>
      </c>
      <c r="G285" s="18">
        <v>985.2</v>
      </c>
      <c r="H285" s="18"/>
      <c r="I285" s="18"/>
      <c r="J285" s="18"/>
      <c r="K285" s="18"/>
      <c r="L285" s="19">
        <f t="shared" si="12"/>
        <v>4421.55</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71132.63</v>
      </c>
      <c r="I287" s="18">
        <v>1593.41</v>
      </c>
      <c r="J287" s="18">
        <v>14845.05</v>
      </c>
      <c r="K287" s="18"/>
      <c r="L287" s="19">
        <f t="shared" si="12"/>
        <v>87571.090000000011</v>
      </c>
      <c r="M287" s="8"/>
      <c r="N287" s="265"/>
    </row>
    <row r="288" spans="1:14" s="3" customFormat="1" ht="12.2" customHeight="1" x14ac:dyDescent="0.15">
      <c r="A288" s="1" t="s">
        <v>448</v>
      </c>
      <c r="B288" s="2" t="s">
        <v>357</v>
      </c>
      <c r="C288" s="2" t="s">
        <v>300</v>
      </c>
      <c r="D288" s="2" t="s">
        <v>431</v>
      </c>
      <c r="E288" s="6">
        <v>2700</v>
      </c>
      <c r="F288" s="18"/>
      <c r="G288" s="18"/>
      <c r="H288" s="18">
        <v>45802.6</v>
      </c>
      <c r="I288" s="18"/>
      <c r="J288" s="18"/>
      <c r="K288" s="18"/>
      <c r="L288" s="19">
        <f t="shared" si="12"/>
        <v>45802.6</v>
      </c>
      <c r="M288" s="8"/>
      <c r="N288" s="265"/>
    </row>
    <row r="289" spans="1:14" s="3" customFormat="1" ht="12.2" customHeight="1" x14ac:dyDescent="0.15">
      <c r="A289" s="1" t="s">
        <v>449</v>
      </c>
      <c r="B289" s="2" t="s">
        <v>357</v>
      </c>
      <c r="C289" s="2" t="s">
        <v>343</v>
      </c>
      <c r="D289" s="2" t="s">
        <v>431</v>
      </c>
      <c r="E289" s="6">
        <v>2800</v>
      </c>
      <c r="F289" s="18">
        <v>109963.32</v>
      </c>
      <c r="G289" s="18">
        <v>23631.82</v>
      </c>
      <c r="H289" s="18"/>
      <c r="I289" s="18"/>
      <c r="J289" s="18"/>
      <c r="K289" s="18"/>
      <c r="L289" s="19">
        <f>SUM(F289:K289)</f>
        <v>133595.14000000001</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788848.41999999993</v>
      </c>
      <c r="G291" s="42">
        <f t="shared" si="13"/>
        <v>329813.49</v>
      </c>
      <c r="H291" s="42">
        <f t="shared" si="13"/>
        <v>266710.05</v>
      </c>
      <c r="I291" s="42">
        <f t="shared" si="13"/>
        <v>34381.06</v>
      </c>
      <c r="J291" s="42">
        <f t="shared" si="13"/>
        <v>21683.39</v>
      </c>
      <c r="K291" s="42">
        <f t="shared" si="13"/>
        <v>82985.5</v>
      </c>
      <c r="L291" s="41">
        <f t="shared" si="13"/>
        <v>1524421.9100000001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145521.41</v>
      </c>
      <c r="G315" s="18">
        <v>67264.53</v>
      </c>
      <c r="H315" s="18"/>
      <c r="I315" s="18">
        <v>10387.94</v>
      </c>
      <c r="J315" s="18">
        <v>3111.66</v>
      </c>
      <c r="K315" s="18"/>
      <c r="L315" s="19">
        <f>SUM(F315:K315)</f>
        <v>226285.54</v>
      </c>
      <c r="M315" s="8"/>
      <c r="N315" s="265"/>
    </row>
    <row r="316" spans="1:14" s="3" customFormat="1" ht="12.2" customHeight="1" x14ac:dyDescent="0.15">
      <c r="A316" s="1" t="s">
        <v>439</v>
      </c>
      <c r="B316" s="2" t="s">
        <v>359</v>
      </c>
      <c r="C316" s="2" t="s">
        <v>291</v>
      </c>
      <c r="D316" s="2" t="s">
        <v>431</v>
      </c>
      <c r="E316" s="6">
        <v>1200</v>
      </c>
      <c r="F316" s="18">
        <v>38338.199999999997</v>
      </c>
      <c r="G316" s="18">
        <v>20666.13</v>
      </c>
      <c r="H316" s="18">
        <v>28792.44</v>
      </c>
      <c r="I316" s="18">
        <v>1287.03</v>
      </c>
      <c r="J316" s="18"/>
      <c r="K316" s="18">
        <v>2318.96</v>
      </c>
      <c r="L316" s="19">
        <f>SUM(F316:K316)</f>
        <v>91402.760000000009</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v>375.28</v>
      </c>
      <c r="I318" s="18">
        <v>1016.37</v>
      </c>
      <c r="J318" s="18"/>
      <c r="K318" s="18">
        <v>1250.92</v>
      </c>
      <c r="L318" s="19">
        <f>SUM(F318:K318)</f>
        <v>2642.57</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50674.84</v>
      </c>
      <c r="G320" s="18">
        <v>15686.91</v>
      </c>
      <c r="H320" s="18"/>
      <c r="I320" s="18">
        <v>93.82</v>
      </c>
      <c r="J320" s="18"/>
      <c r="K320" s="18"/>
      <c r="L320" s="19">
        <f t="shared" ref="L320:L326" si="16">SUM(F320:K320)</f>
        <v>66455.570000000007</v>
      </c>
      <c r="M320" s="8"/>
      <c r="N320" s="265"/>
    </row>
    <row r="321" spans="1:14" s="3" customFormat="1" ht="12.2" customHeight="1" x14ac:dyDescent="0.15">
      <c r="A321" s="1" t="s">
        <v>443</v>
      </c>
      <c r="B321" s="2" t="s">
        <v>359</v>
      </c>
      <c r="C321" s="2" t="s">
        <v>295</v>
      </c>
      <c r="D321" s="2" t="s">
        <v>431</v>
      </c>
      <c r="E321" s="6">
        <v>2200</v>
      </c>
      <c r="F321" s="18"/>
      <c r="G321" s="18"/>
      <c r="H321" s="18">
        <v>34044.89</v>
      </c>
      <c r="I321" s="18">
        <v>97.18</v>
      </c>
      <c r="J321" s="18"/>
      <c r="K321" s="18"/>
      <c r="L321" s="19">
        <f t="shared" si="16"/>
        <v>34142.07</v>
      </c>
      <c r="M321" s="8"/>
      <c r="N321" s="265"/>
    </row>
    <row r="322" spans="1:14" s="3" customFormat="1" ht="12.2" customHeight="1" x14ac:dyDescent="0.15">
      <c r="A322" s="1" t="s">
        <v>444</v>
      </c>
      <c r="B322" s="2" t="s">
        <v>359</v>
      </c>
      <c r="C322" s="2" t="s">
        <v>296</v>
      </c>
      <c r="D322" s="2" t="s">
        <v>431</v>
      </c>
      <c r="E322" s="6">
        <v>2300</v>
      </c>
      <c r="F322" s="18">
        <v>3774.41</v>
      </c>
      <c r="G322" s="18">
        <v>1442.62</v>
      </c>
      <c r="H322" s="18"/>
      <c r="I322" s="18"/>
      <c r="J322" s="18"/>
      <c r="K322" s="18">
        <v>28976.14</v>
      </c>
      <c r="L322" s="19">
        <f t="shared" si="16"/>
        <v>34193.17</v>
      </c>
      <c r="M322" s="8"/>
      <c r="N322" s="265"/>
    </row>
    <row r="323" spans="1:14" s="3" customFormat="1" ht="12.2" customHeight="1" x14ac:dyDescent="0.15">
      <c r="A323" s="1" t="s">
        <v>445</v>
      </c>
      <c r="B323" s="2" t="s">
        <v>359</v>
      </c>
      <c r="C323" s="2" t="s">
        <v>297</v>
      </c>
      <c r="D323" s="2" t="s">
        <v>431</v>
      </c>
      <c r="E323" s="6">
        <v>2400</v>
      </c>
      <c r="F323" s="18">
        <v>1563.65</v>
      </c>
      <c r="G323" s="18">
        <v>448.3</v>
      </c>
      <c r="H323" s="18"/>
      <c r="I323" s="18"/>
      <c r="J323" s="18"/>
      <c r="K323" s="18"/>
      <c r="L323" s="19">
        <f t="shared" si="16"/>
        <v>2011.95</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v>32367.52</v>
      </c>
      <c r="I325" s="18">
        <v>725.06</v>
      </c>
      <c r="J325" s="18">
        <v>6754.95</v>
      </c>
      <c r="K325" s="18"/>
      <c r="L325" s="19">
        <f t="shared" si="16"/>
        <v>39847.53</v>
      </c>
      <c r="M325" s="8"/>
      <c r="N325" s="265"/>
    </row>
    <row r="326" spans="1:14" s="3" customFormat="1" ht="12.2" customHeight="1" x14ac:dyDescent="0.15">
      <c r="A326" s="1" t="s">
        <v>448</v>
      </c>
      <c r="B326" s="2" t="s">
        <v>359</v>
      </c>
      <c r="C326" s="2" t="s">
        <v>300</v>
      </c>
      <c r="D326" s="2" t="s">
        <v>431</v>
      </c>
      <c r="E326" s="6">
        <v>2700</v>
      </c>
      <c r="F326" s="18"/>
      <c r="G326" s="18"/>
      <c r="H326" s="18">
        <v>19356.509999999998</v>
      </c>
      <c r="I326" s="18"/>
      <c r="J326" s="18"/>
      <c r="K326" s="18"/>
      <c r="L326" s="19">
        <f t="shared" si="16"/>
        <v>19356.509999999998</v>
      </c>
      <c r="M326" s="8"/>
      <c r="N326" s="265"/>
    </row>
    <row r="327" spans="1:14" s="3" customFormat="1" ht="12.2" customHeight="1" x14ac:dyDescent="0.15">
      <c r="A327" s="1" t="s">
        <v>449</v>
      </c>
      <c r="B327" s="2" t="s">
        <v>359</v>
      </c>
      <c r="C327" s="2" t="s">
        <v>343</v>
      </c>
      <c r="D327" s="2" t="s">
        <v>431</v>
      </c>
      <c r="E327" s="6">
        <v>2800</v>
      </c>
      <c r="F327" s="18">
        <v>50036.68</v>
      </c>
      <c r="G327" s="18">
        <v>10753.2</v>
      </c>
      <c r="H327" s="18"/>
      <c r="I327" s="18"/>
      <c r="J327" s="18"/>
      <c r="K327" s="18"/>
      <c r="L327" s="19">
        <f>SUM(F327:K327)</f>
        <v>60789.880000000005</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289909.19</v>
      </c>
      <c r="G329" s="42">
        <f t="shared" si="17"/>
        <v>116261.69</v>
      </c>
      <c r="H329" s="42">
        <f t="shared" si="17"/>
        <v>114936.64</v>
      </c>
      <c r="I329" s="42">
        <f t="shared" si="17"/>
        <v>13607.400000000001</v>
      </c>
      <c r="J329" s="42">
        <f t="shared" si="17"/>
        <v>9866.61</v>
      </c>
      <c r="K329" s="42">
        <f t="shared" si="17"/>
        <v>32546.02</v>
      </c>
      <c r="L329" s="41">
        <f t="shared" si="17"/>
        <v>577127.55000000005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1078757.6099999999</v>
      </c>
      <c r="G339" s="41">
        <f t="shared" si="20"/>
        <v>446075.18</v>
      </c>
      <c r="H339" s="41">
        <f t="shared" si="20"/>
        <v>381646.69</v>
      </c>
      <c r="I339" s="41">
        <f t="shared" si="20"/>
        <v>47988.46</v>
      </c>
      <c r="J339" s="41">
        <f t="shared" si="20"/>
        <v>31550</v>
      </c>
      <c r="K339" s="41">
        <f t="shared" si="20"/>
        <v>115531.52</v>
      </c>
      <c r="L339" s="41">
        <f t="shared" si="20"/>
        <v>2101549.46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1078757.6099999999</v>
      </c>
      <c r="G353" s="41">
        <f>G339</f>
        <v>446075.18</v>
      </c>
      <c r="H353" s="41">
        <f>H339</f>
        <v>381646.69</v>
      </c>
      <c r="I353" s="41">
        <f>I339</f>
        <v>47988.46</v>
      </c>
      <c r="J353" s="41">
        <f>J339</f>
        <v>31550</v>
      </c>
      <c r="K353" s="47">
        <f>K339+K352</f>
        <v>115531.52</v>
      </c>
      <c r="L353" s="41">
        <f>L339+L352</f>
        <v>2101549.46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333230.78999999998</v>
      </c>
      <c r="I359" s="18"/>
      <c r="J359" s="18">
        <v>10647.89</v>
      </c>
      <c r="K359" s="18">
        <v>583.34</v>
      </c>
      <c r="L359" s="13">
        <f>SUM(F359:K359)</f>
        <v>344462.02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v>151630.21</v>
      </c>
      <c r="I361" s="18"/>
      <c r="J361" s="18">
        <v>4845.1099999999997</v>
      </c>
      <c r="K361" s="18">
        <v>265.44</v>
      </c>
      <c r="L361" s="19">
        <f>SUM(F361:K361)</f>
        <v>156740.75999999998</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484861</v>
      </c>
      <c r="I363" s="47">
        <f t="shared" si="22"/>
        <v>0</v>
      </c>
      <c r="J363" s="47">
        <f t="shared" si="22"/>
        <v>15493</v>
      </c>
      <c r="K363" s="47">
        <f t="shared" si="22"/>
        <v>848.78</v>
      </c>
      <c r="L363" s="47">
        <f t="shared" si="22"/>
        <v>501202.78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v>591.58000000000004</v>
      </c>
      <c r="I391" s="18"/>
      <c r="J391" s="24" t="s">
        <v>288</v>
      </c>
      <c r="K391" s="24" t="s">
        <v>288</v>
      </c>
      <c r="L391" s="56">
        <f t="shared" si="25"/>
        <v>591.58000000000004</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0.8</v>
      </c>
      <c r="I393" s="18"/>
      <c r="J393" s="24" t="s">
        <v>288</v>
      </c>
      <c r="K393" s="24" t="s">
        <v>288</v>
      </c>
      <c r="L393" s="56">
        <f t="shared" si="25"/>
        <v>0.8</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592.38</v>
      </c>
      <c r="I394" s="65">
        <f>SUM(I388:I393)</f>
        <v>0</v>
      </c>
      <c r="J394" s="45" t="s">
        <v>288</v>
      </c>
      <c r="K394" s="45" t="s">
        <v>288</v>
      </c>
      <c r="L394" s="47">
        <f>SUM(L388:L393)</f>
        <v>592.38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v>148.88</v>
      </c>
      <c r="I396" s="18"/>
      <c r="J396" s="24" t="s">
        <v>288</v>
      </c>
      <c r="K396" s="24" t="s">
        <v>288</v>
      </c>
      <c r="L396" s="56">
        <f t="shared" ref="L396:L401" si="26">SUM(F396:K396)</f>
        <v>148.88</v>
      </c>
      <c r="M396" s="8"/>
      <c r="N396" s="265"/>
    </row>
    <row r="397" spans="1:14" s="3" customFormat="1" ht="12.2" customHeight="1" x14ac:dyDescent="0.15">
      <c r="A397" s="79" t="s">
        <v>557</v>
      </c>
      <c r="B397" s="2" t="s">
        <v>381</v>
      </c>
      <c r="C397" s="6">
        <v>9</v>
      </c>
      <c r="D397" s="2" t="s">
        <v>432</v>
      </c>
      <c r="E397" s="6"/>
      <c r="F397" s="18"/>
      <c r="G397" s="18">
        <v>160000</v>
      </c>
      <c r="H397" s="18">
        <v>819.54</v>
      </c>
      <c r="I397" s="18"/>
      <c r="J397" s="24" t="s">
        <v>288</v>
      </c>
      <c r="K397" s="24" t="s">
        <v>288</v>
      </c>
      <c r="L397" s="56">
        <f t="shared" si="26"/>
        <v>160819.54</v>
      </c>
      <c r="M397" s="8"/>
      <c r="N397" s="265"/>
    </row>
    <row r="398" spans="1:14" s="3" customFormat="1" ht="12.2" customHeight="1" x14ac:dyDescent="0.15">
      <c r="A398" s="79" t="s">
        <v>515</v>
      </c>
      <c r="B398" s="2" t="s">
        <v>381</v>
      </c>
      <c r="C398" s="6">
        <v>10</v>
      </c>
      <c r="D398" s="2" t="s">
        <v>432</v>
      </c>
      <c r="E398" s="6"/>
      <c r="F398" s="18"/>
      <c r="G398" s="18">
        <v>15000</v>
      </c>
      <c r="H398" s="18">
        <v>4321.17</v>
      </c>
      <c r="I398" s="18"/>
      <c r="J398" s="24" t="s">
        <v>288</v>
      </c>
      <c r="K398" s="24" t="s">
        <v>288</v>
      </c>
      <c r="L398" s="56">
        <f t="shared" si="26"/>
        <v>19321.169999999998</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175000</v>
      </c>
      <c r="H402" s="47">
        <f>SUM(H396:H401)</f>
        <v>5289.59</v>
      </c>
      <c r="I402" s="47">
        <f>SUM(I396:I401)</f>
        <v>0</v>
      </c>
      <c r="J402" s="45" t="s">
        <v>288</v>
      </c>
      <c r="K402" s="45" t="s">
        <v>288</v>
      </c>
      <c r="L402" s="47">
        <f>SUM(L396:L401)</f>
        <v>180289.59000000003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175000</v>
      </c>
      <c r="H409" s="47">
        <f>H394+H402+H408</f>
        <v>5881.97</v>
      </c>
      <c r="I409" s="47">
        <f>I394+I402+I408</f>
        <v>0</v>
      </c>
      <c r="J409" s="24" t="s">
        <v>288</v>
      </c>
      <c r="K409" s="24" t="s">
        <v>288</v>
      </c>
      <c r="L409" s="47">
        <f>L394+L402+L408</f>
        <v>180881.97000000003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v>1273641.6399999999</v>
      </c>
      <c r="I440" s="56">
        <f t="shared" ref="I440:I446" si="33">SUM(F440:H440)</f>
        <v>1273641.6399999999</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1273641.6399999999</v>
      </c>
      <c r="I447" s="13">
        <f>SUM(I440:I446)</f>
        <v>1273641.6399999999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v>1273641.6399999999</v>
      </c>
      <c r="I460" s="56">
        <f t="shared" si="34"/>
        <v>1273641.6399999999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1273641.6399999999</v>
      </c>
      <c r="I461" s="83">
        <f>SUM(I455:I460)</f>
        <v>1273641.6399999999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1273641.6399999999</v>
      </c>
      <c r="I462" s="42">
        <f>I453+I461</f>
        <v>1273641.6399999999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2301357.3199999998</v>
      </c>
      <c r="G466" s="18">
        <v>40452.68</v>
      </c>
      <c r="H466" s="18">
        <v>109932.96</v>
      </c>
      <c r="I466" s="18">
        <v>3231</v>
      </c>
      <c r="J466" s="18">
        <v>1092759.67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27769203.800000001</v>
      </c>
      <c r="G469" s="18">
        <v>673726.51</v>
      </c>
      <c r="H469" s="18">
        <v>2143459.2999999998</v>
      </c>
      <c r="I469" s="18"/>
      <c r="J469" s="18">
        <v>180881.97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27769203.800000001</v>
      </c>
      <c r="G471" s="53">
        <f>SUM(G469:G470)</f>
        <v>673726.51</v>
      </c>
      <c r="H471" s="53">
        <f>SUM(H469:H470)</f>
        <v>2143459.2999999998</v>
      </c>
      <c r="I471" s="53">
        <f>SUM(I469:I470)</f>
        <v>0</v>
      </c>
      <c r="J471" s="53">
        <f>SUM(J469:J470)</f>
        <v>180881.97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27108542.210000001</v>
      </c>
      <c r="G473" s="18">
        <v>501202.78</v>
      </c>
      <c r="H473" s="18">
        <v>2101549.46</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27108542.210000001</v>
      </c>
      <c r="G475" s="53">
        <f>SUM(G473:G474)</f>
        <v>501202.78</v>
      </c>
      <c r="H475" s="53">
        <f>SUM(H473:H474)</f>
        <v>2101549.46</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2962018.91</v>
      </c>
      <c r="G477" s="53">
        <f>(G466+G471)- G475</f>
        <v>212976.41000000003</v>
      </c>
      <c r="H477" s="53">
        <f>(H466+H471)- H475</f>
        <v>151842.79999999981</v>
      </c>
      <c r="I477" s="53">
        <f>(I466+I471)- I475</f>
        <v>3231</v>
      </c>
      <c r="J477" s="53">
        <f>(J466+J471)- J475</f>
        <v>1273641.6399999999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2015609.79</v>
      </c>
      <c r="G522" s="18">
        <v>890003.91</v>
      </c>
      <c r="H522" s="18">
        <v>160101.96</v>
      </c>
      <c r="I522" s="18">
        <v>5996.69</v>
      </c>
      <c r="J522" s="18">
        <v>4901.79</v>
      </c>
      <c r="K522" s="18">
        <v>5096.2700000000004</v>
      </c>
      <c r="L522" s="88">
        <f>SUM(F522:K522)</f>
        <v>3081710.41</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658057.38</v>
      </c>
      <c r="G524" s="18">
        <v>298696.33</v>
      </c>
      <c r="H524" s="18">
        <v>238438.34</v>
      </c>
      <c r="I524" s="18">
        <v>3119.83</v>
      </c>
      <c r="J524" s="18"/>
      <c r="K524" s="18">
        <v>2318.96</v>
      </c>
      <c r="L524" s="88">
        <f>SUM(F524:K524)</f>
        <v>1200630.8400000001</v>
      </c>
      <c r="N524" s="264"/>
    </row>
    <row r="525" spans="1:14" s="52" customFormat="1" ht="12.2" customHeight="1" thickTop="1" x14ac:dyDescent="0.2">
      <c r="A525" s="139" t="s">
        <v>63</v>
      </c>
      <c r="B525" s="107">
        <v>21</v>
      </c>
      <c r="C525" s="194">
        <v>4</v>
      </c>
      <c r="D525" s="195" t="s">
        <v>432</v>
      </c>
      <c r="E525" s="194"/>
      <c r="F525" s="108">
        <f>SUM(F522:F524)</f>
        <v>2673667.17</v>
      </c>
      <c r="G525" s="108">
        <f t="shared" ref="G525:L525" si="36">SUM(G522:G524)</f>
        <v>1188700.24</v>
      </c>
      <c r="H525" s="108">
        <f t="shared" si="36"/>
        <v>398540.3</v>
      </c>
      <c r="I525" s="108">
        <f t="shared" si="36"/>
        <v>9116.52</v>
      </c>
      <c r="J525" s="108">
        <f t="shared" si="36"/>
        <v>4901.79</v>
      </c>
      <c r="K525" s="108">
        <f t="shared" si="36"/>
        <v>7415.2300000000005</v>
      </c>
      <c r="L525" s="89">
        <f t="shared" si="36"/>
        <v>4282341.25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590483.39</v>
      </c>
      <c r="G527" s="18">
        <v>283839.32</v>
      </c>
      <c r="H527" s="18">
        <v>84719.51</v>
      </c>
      <c r="I527" s="18">
        <v>12135.8</v>
      </c>
      <c r="J527" s="18">
        <v>1505.6</v>
      </c>
      <c r="K527" s="18">
        <v>49.21</v>
      </c>
      <c r="L527" s="88">
        <f>SUM(F527:K527)</f>
        <v>972732.83</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278998.78000000003</v>
      </c>
      <c r="G529" s="18">
        <v>131656.49</v>
      </c>
      <c r="H529" s="18">
        <v>40995.269999999997</v>
      </c>
      <c r="I529" s="18">
        <v>6504.92</v>
      </c>
      <c r="J529" s="18">
        <v>2127.09</v>
      </c>
      <c r="K529" s="18">
        <v>82.39</v>
      </c>
      <c r="L529" s="88">
        <f>SUM(F529:K529)</f>
        <v>460364.94000000006</v>
      </c>
      <c r="M529" s="8"/>
      <c r="N529" s="265"/>
    </row>
    <row r="530" spans="1:14" s="3" customFormat="1" ht="12.2" customHeight="1" thickTop="1" x14ac:dyDescent="0.15">
      <c r="A530" s="139" t="s">
        <v>65</v>
      </c>
      <c r="B530" s="107">
        <v>21</v>
      </c>
      <c r="C530" s="107">
        <v>8</v>
      </c>
      <c r="D530" s="158" t="s">
        <v>432</v>
      </c>
      <c r="E530" s="107"/>
      <c r="F530" s="89">
        <f>SUM(F527:F529)</f>
        <v>869482.17</v>
      </c>
      <c r="G530" s="89">
        <f t="shared" ref="G530:L530" si="37">SUM(G527:G529)</f>
        <v>415495.81</v>
      </c>
      <c r="H530" s="89">
        <f t="shared" si="37"/>
        <v>125714.78</v>
      </c>
      <c r="I530" s="89">
        <f t="shared" si="37"/>
        <v>18640.72</v>
      </c>
      <c r="J530" s="89">
        <f t="shared" si="37"/>
        <v>3632.69</v>
      </c>
      <c r="K530" s="89">
        <f t="shared" si="37"/>
        <v>131.6</v>
      </c>
      <c r="L530" s="89">
        <f t="shared" si="37"/>
        <v>1433097.77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93632.98</v>
      </c>
      <c r="I532" s="18"/>
      <c r="J532" s="18"/>
      <c r="K532" s="18"/>
      <c r="L532" s="88">
        <f>SUM(F532:K532)</f>
        <v>93632.98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42605.87</v>
      </c>
      <c r="I534" s="18"/>
      <c r="J534" s="18"/>
      <c r="K534" s="18"/>
      <c r="L534" s="88">
        <f>SUM(F534:K534)</f>
        <v>42605.87</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136238.85</v>
      </c>
      <c r="I535" s="89">
        <f t="shared" si="38"/>
        <v>0</v>
      </c>
      <c r="J535" s="89">
        <f t="shared" si="38"/>
        <v>0</v>
      </c>
      <c r="K535" s="89">
        <f t="shared" si="38"/>
        <v>0</v>
      </c>
      <c r="L535" s="89">
        <f t="shared" si="38"/>
        <v>136238.85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4472.07</v>
      </c>
      <c r="I537" s="18"/>
      <c r="J537" s="18"/>
      <c r="K537" s="18"/>
      <c r="L537" s="88">
        <f>SUM(F537:K537)</f>
        <v>4472.07</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2034.93</v>
      </c>
      <c r="I539" s="18"/>
      <c r="J539" s="18"/>
      <c r="K539" s="18"/>
      <c r="L539" s="88">
        <f>SUM(F539:K539)</f>
        <v>2034.93</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6507</v>
      </c>
      <c r="I540" s="89">
        <f t="shared" si="39"/>
        <v>0</v>
      </c>
      <c r="J540" s="89">
        <f t="shared" si="39"/>
        <v>0</v>
      </c>
      <c r="K540" s="89">
        <f t="shared" si="39"/>
        <v>0</v>
      </c>
      <c r="L540" s="89">
        <f t="shared" si="39"/>
        <v>6507</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243766.98</v>
      </c>
      <c r="I542" s="18"/>
      <c r="J542" s="18"/>
      <c r="K542" s="18"/>
      <c r="L542" s="88">
        <f>SUM(F542:K542)</f>
        <v>243766.98</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110921.45</v>
      </c>
      <c r="I544" s="18"/>
      <c r="J544" s="18"/>
      <c r="K544" s="18"/>
      <c r="L544" s="88">
        <f>SUM(F544:K544)</f>
        <v>110921.45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354688.43</v>
      </c>
      <c r="I545" s="192">
        <f t="shared" si="40"/>
        <v>0</v>
      </c>
      <c r="J545" s="192">
        <f t="shared" si="40"/>
        <v>0</v>
      </c>
      <c r="K545" s="192">
        <f t="shared" si="40"/>
        <v>0</v>
      </c>
      <c r="L545" s="192">
        <f t="shared" si="40"/>
        <v>354688.43</v>
      </c>
      <c r="M545" s="8"/>
      <c r="N545" s="265"/>
    </row>
    <row r="546" spans="1:14" s="3" customFormat="1" ht="12.2" customHeight="1" thickTop="1" x14ac:dyDescent="0.15">
      <c r="A546" s="98" t="s">
        <v>72</v>
      </c>
      <c r="B546" s="107">
        <v>21</v>
      </c>
      <c r="C546" s="107">
        <v>21</v>
      </c>
      <c r="D546" s="158" t="s">
        <v>432</v>
      </c>
      <c r="E546" s="107"/>
      <c r="F546" s="89">
        <f>F525+F530+F535+F540+F545</f>
        <v>3543149.34</v>
      </c>
      <c r="G546" s="89">
        <f t="shared" ref="G546:L546" si="41">G525+G530+G535+G540+G545</f>
        <v>1604196.05</v>
      </c>
      <c r="H546" s="89">
        <f t="shared" si="41"/>
        <v>1021689.3599999999</v>
      </c>
      <c r="I546" s="89">
        <f t="shared" si="41"/>
        <v>27757.24</v>
      </c>
      <c r="J546" s="89">
        <f t="shared" si="41"/>
        <v>8534.48</v>
      </c>
      <c r="K546" s="89">
        <f t="shared" si="41"/>
        <v>7546.8300000000008</v>
      </c>
      <c r="L546" s="89">
        <f t="shared" si="41"/>
        <v>6212873.2999999989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3081710.41</v>
      </c>
      <c r="G550" s="87">
        <f>L527</f>
        <v>972732.83</v>
      </c>
      <c r="H550" s="87">
        <f>L532</f>
        <v>93632.98</v>
      </c>
      <c r="I550" s="87">
        <f>L537</f>
        <v>4472.07</v>
      </c>
      <c r="J550" s="87">
        <f>L542</f>
        <v>243766.98</v>
      </c>
      <c r="K550" s="87">
        <f>SUM(F550:J550)</f>
        <v>4396315.2700000005</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1200630.8400000001</v>
      </c>
      <c r="G552" s="87">
        <f>L529</f>
        <v>460364.94000000006</v>
      </c>
      <c r="H552" s="87">
        <f>L534</f>
        <v>42605.87</v>
      </c>
      <c r="I552" s="87">
        <f>L539</f>
        <v>2034.93</v>
      </c>
      <c r="J552" s="87">
        <f>L544</f>
        <v>110921.45</v>
      </c>
      <c r="K552" s="87">
        <f>SUM(F552:J552)</f>
        <v>1816558.0300000003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4282341.25</v>
      </c>
      <c r="G553" s="89">
        <f t="shared" si="42"/>
        <v>1433097.77</v>
      </c>
      <c r="H553" s="89">
        <f t="shared" si="42"/>
        <v>136238.85</v>
      </c>
      <c r="I553" s="89">
        <f t="shared" si="42"/>
        <v>6507</v>
      </c>
      <c r="J553" s="89">
        <f t="shared" si="42"/>
        <v>354688.43</v>
      </c>
      <c r="K553" s="89">
        <f t="shared" si="42"/>
        <v>6212873.3000000007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151628.25</v>
      </c>
      <c r="G558" s="18">
        <v>74410.460000000006</v>
      </c>
      <c r="H558" s="18"/>
      <c r="I558" s="18">
        <v>3095.63</v>
      </c>
      <c r="J558" s="18"/>
      <c r="K558" s="18">
        <v>11456.67</v>
      </c>
      <c r="L558" s="88">
        <f>SUM(F558:K558)</f>
        <v>240591.01000000004</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151628.25</v>
      </c>
      <c r="G561" s="108">
        <f t="shared" si="43"/>
        <v>74410.460000000006</v>
      </c>
      <c r="H561" s="108">
        <f t="shared" si="43"/>
        <v>0</v>
      </c>
      <c r="I561" s="108">
        <f t="shared" si="43"/>
        <v>3095.63</v>
      </c>
      <c r="J561" s="108">
        <f t="shared" si="43"/>
        <v>0</v>
      </c>
      <c r="K561" s="108">
        <f t="shared" si="43"/>
        <v>11456.67</v>
      </c>
      <c r="L561" s="89">
        <f t="shared" si="43"/>
        <v>240591.01000000004</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35218.160000000003</v>
      </c>
      <c r="G563" s="18">
        <v>13393.32</v>
      </c>
      <c r="H563" s="18">
        <v>221.38</v>
      </c>
      <c r="I563" s="18"/>
      <c r="J563" s="18"/>
      <c r="K563" s="18"/>
      <c r="L563" s="88">
        <f>SUM(F563:K563)</f>
        <v>48832.86</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v>16025.34</v>
      </c>
      <c r="G565" s="18">
        <v>6094.37</v>
      </c>
      <c r="H565" s="18">
        <v>100.74</v>
      </c>
      <c r="I565" s="18"/>
      <c r="J565" s="18"/>
      <c r="K565" s="18"/>
      <c r="L565" s="88">
        <f>SUM(F565:K565)</f>
        <v>22220.45</v>
      </c>
      <c r="M565" s="8"/>
      <c r="N565" s="265"/>
    </row>
    <row r="566" spans="1:14" s="3" customFormat="1" ht="12.2" customHeight="1" thickTop="1" x14ac:dyDescent="0.15">
      <c r="A566" s="139" t="s">
        <v>65</v>
      </c>
      <c r="B566" s="107">
        <v>22</v>
      </c>
      <c r="C566" s="107">
        <v>8</v>
      </c>
      <c r="D566" s="195" t="s">
        <v>432</v>
      </c>
      <c r="E566" s="107"/>
      <c r="F566" s="89">
        <f t="shared" ref="F566:L566" si="44">SUM(F563:F565)</f>
        <v>51243.5</v>
      </c>
      <c r="G566" s="89">
        <f t="shared" si="44"/>
        <v>19487.689999999999</v>
      </c>
      <c r="H566" s="89">
        <f t="shared" si="44"/>
        <v>322.12</v>
      </c>
      <c r="I566" s="89">
        <f t="shared" si="44"/>
        <v>0</v>
      </c>
      <c r="J566" s="89">
        <f t="shared" si="44"/>
        <v>0</v>
      </c>
      <c r="K566" s="89">
        <f t="shared" si="44"/>
        <v>0</v>
      </c>
      <c r="L566" s="89">
        <f t="shared" si="44"/>
        <v>71053.31</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202871.75</v>
      </c>
      <c r="G572" s="89">
        <f t="shared" ref="G572:L572" si="46">G561+G566+G571</f>
        <v>93898.150000000009</v>
      </c>
      <c r="H572" s="89">
        <f t="shared" si="46"/>
        <v>322.12</v>
      </c>
      <c r="I572" s="89">
        <f t="shared" si="46"/>
        <v>3095.63</v>
      </c>
      <c r="J572" s="89">
        <f t="shared" si="46"/>
        <v>0</v>
      </c>
      <c r="K572" s="89">
        <f t="shared" si="46"/>
        <v>11456.67</v>
      </c>
      <c r="L572" s="89">
        <f t="shared" si="46"/>
        <v>311644.32000000007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34999.199999999997</v>
      </c>
      <c r="I580" s="87">
        <f t="shared" si="47"/>
        <v>34999.199999999997</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88168.26</v>
      </c>
      <c r="G583" s="18"/>
      <c r="H583" s="18">
        <v>126361.26</v>
      </c>
      <c r="I583" s="87">
        <f t="shared" si="47"/>
        <v>214529.52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118044.59</v>
      </c>
      <c r="I585" s="87">
        <f t="shared" si="47"/>
        <v>118044.59</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636232.12</v>
      </c>
      <c r="I592" s="18"/>
      <c r="J592" s="18">
        <v>289505.09999999998</v>
      </c>
      <c r="K592" s="104">
        <f t="shared" ref="K592:K598" si="48">SUM(H592:J592)</f>
        <v>925737.22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243766.98</v>
      </c>
      <c r="I593" s="18"/>
      <c r="J593" s="18">
        <v>110921.45</v>
      </c>
      <c r="K593" s="104">
        <f t="shared" si="48"/>
        <v>354688.43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63763.199999999997</v>
      </c>
      <c r="K594" s="104">
        <f t="shared" si="48"/>
        <v>63763.199999999997</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v>73745.56</v>
      </c>
      <c r="K595" s="104">
        <f t="shared" si="48"/>
        <v>73745.56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31336.49</v>
      </c>
      <c r="I596" s="18"/>
      <c r="J596" s="18"/>
      <c r="K596" s="104">
        <f t="shared" si="48"/>
        <v>31336.49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22206.66</v>
      </c>
      <c r="I598" s="18"/>
      <c r="J598" s="18">
        <v>10104.709999999999</v>
      </c>
      <c r="K598" s="104">
        <f t="shared" si="48"/>
        <v>32311.37</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933542.25</v>
      </c>
      <c r="I599" s="108">
        <f>SUM(I592:I598)</f>
        <v>0</v>
      </c>
      <c r="J599" s="108">
        <f>SUM(J592:J598)</f>
        <v>548040.02</v>
      </c>
      <c r="K599" s="108">
        <f>SUM(K592:K598)</f>
        <v>1481582.27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936382.77</v>
      </c>
      <c r="I605" s="18"/>
      <c r="J605" s="18">
        <v>624181.15</v>
      </c>
      <c r="K605" s="104">
        <f>SUM(H605:J605)</f>
        <v>1560563.92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936382.77</v>
      </c>
      <c r="I606" s="108">
        <f>SUM(I603:I605)</f>
        <v>0</v>
      </c>
      <c r="J606" s="108">
        <f>SUM(J603:J605)</f>
        <v>624181.15</v>
      </c>
      <c r="K606" s="108">
        <f>SUM(K603:K605)</f>
        <v>1560563.92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92023.05</v>
      </c>
      <c r="G612" s="18">
        <v>19323.54</v>
      </c>
      <c r="H612" s="18"/>
      <c r="I612" s="18">
        <v>381.17</v>
      </c>
      <c r="J612" s="18"/>
      <c r="K612" s="18"/>
      <c r="L612" s="88">
        <f>SUM(F612:K612)</f>
        <v>111727.76</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33949.25</v>
      </c>
      <c r="G614" s="18">
        <v>7798.62</v>
      </c>
      <c r="H614" s="18"/>
      <c r="I614" s="18">
        <v>476.2</v>
      </c>
      <c r="J614" s="18"/>
      <c r="K614" s="18"/>
      <c r="L614" s="88">
        <f>SUM(F614:K614)</f>
        <v>42224.07</v>
      </c>
      <c r="M614" s="8"/>
      <c r="N614" s="265"/>
    </row>
    <row r="615" spans="1:14" s="3" customFormat="1" ht="12.2" customHeight="1" thickTop="1" x14ac:dyDescent="0.15">
      <c r="A615" s="98" t="s">
        <v>340</v>
      </c>
      <c r="B615" s="107">
        <v>23</v>
      </c>
      <c r="C615" s="107">
        <v>16</v>
      </c>
      <c r="D615" s="39" t="s">
        <v>432</v>
      </c>
      <c r="E615" s="107"/>
      <c r="F615" s="108">
        <f t="shared" ref="F615:L615" si="49">SUM(F612:F614)</f>
        <v>125972.3</v>
      </c>
      <c r="G615" s="108">
        <f t="shared" si="49"/>
        <v>27122.16</v>
      </c>
      <c r="H615" s="108">
        <f t="shared" si="49"/>
        <v>0</v>
      </c>
      <c r="I615" s="108">
        <f t="shared" si="49"/>
        <v>857.37</v>
      </c>
      <c r="J615" s="108">
        <f t="shared" si="49"/>
        <v>0</v>
      </c>
      <c r="K615" s="108">
        <f t="shared" si="49"/>
        <v>0</v>
      </c>
      <c r="L615" s="89">
        <f t="shared" si="49"/>
        <v>153951.82999999999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6594765.7199999997</v>
      </c>
      <c r="H618" s="109">
        <f>SUM(F52)</f>
        <v>6594765.7199999997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271038.32</v>
      </c>
      <c r="H619" s="109">
        <f>SUM(G52)</f>
        <v>271038.32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315180.03000000003</v>
      </c>
      <c r="H620" s="109">
        <f>SUM(H52)</f>
        <v>315180.02999999997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3231</v>
      </c>
      <c r="H621" s="109">
        <f>SUM(I52)</f>
        <v>3231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1273641.6399999999</v>
      </c>
      <c r="H622" s="109">
        <f>SUM(J52)</f>
        <v>1273641.6399999999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2962018.9099999997</v>
      </c>
      <c r="H623" s="109">
        <f>F477</f>
        <v>2962018.91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212976.41</v>
      </c>
      <c r="H624" s="109">
        <f>G477</f>
        <v>212976.41000000003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151842.79999999999</v>
      </c>
      <c r="H625" s="109">
        <f>H477</f>
        <v>151842.79999999981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3231</v>
      </c>
      <c r="H626" s="109">
        <f>I477</f>
        <v>3231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1273641.6399999999</v>
      </c>
      <c r="H627" s="109">
        <f>J477</f>
        <v>1273641.6399999999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27769203.800000001</v>
      </c>
      <c r="H628" s="104">
        <f>SUM(F469)</f>
        <v>27769203.800000001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673726.51</v>
      </c>
      <c r="H629" s="104">
        <f>SUM(G469)</f>
        <v>673726.51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2143459.3000000003</v>
      </c>
      <c r="H630" s="104">
        <f>SUM(H469)</f>
        <v>2143459.2999999998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180881.97</v>
      </c>
      <c r="H632" s="104">
        <f>SUM(J469)</f>
        <v>180881.97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27108542.209999993</v>
      </c>
      <c r="H633" s="104">
        <f>SUM(F473)</f>
        <v>27108542.210000001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2101549.46</v>
      </c>
      <c r="H634" s="104">
        <f>SUM(H473)</f>
        <v>2101549.46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501202.78</v>
      </c>
      <c r="H636" s="104">
        <f>SUM(G473)</f>
        <v>501202.78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180881.97000000003</v>
      </c>
      <c r="H638" s="164">
        <f>SUM(J469)</f>
        <v>180881.97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1273641.6399999999</v>
      </c>
      <c r="H642" s="104">
        <f>SUM(H462)</f>
        <v>1273641.6399999999</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1273641.6399999999</v>
      </c>
      <c r="H643" s="104">
        <f>SUM(I462)</f>
        <v>1273641.6399999999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5881.97</v>
      </c>
      <c r="H645" s="104">
        <f>H409</f>
        <v>5881.97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175000</v>
      </c>
      <c r="H646" s="104">
        <f>G409</f>
        <v>175000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180881.97</v>
      </c>
      <c r="H647" s="104">
        <f>L409</f>
        <v>180881.97000000003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1481582.27</v>
      </c>
      <c r="H648" s="104">
        <f>L209+L227+L245</f>
        <v>1481582.27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1560563.92</v>
      </c>
      <c r="H649" s="104">
        <f>(J258+J339)-(J256+J337)</f>
        <v>1560563.92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933542.25</v>
      </c>
      <c r="H650" s="104">
        <f>H599</f>
        <v>933542.25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548040.02</v>
      </c>
      <c r="H652" s="104">
        <f>J599</f>
        <v>548040.02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10000</v>
      </c>
      <c r="H653" s="104">
        <f>K264+K346</f>
        <v>10000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175000</v>
      </c>
      <c r="H656" s="104">
        <f>K267+K348</f>
        <v>175000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19880294.899999995</v>
      </c>
      <c r="G661" s="19">
        <f>(L230+L310+L360)</f>
        <v>0</v>
      </c>
      <c r="H661" s="19">
        <f>(L248+L329+L361)</f>
        <v>9645999.5499999989</v>
      </c>
      <c r="I661" s="19">
        <f>SUM(F661:H661)</f>
        <v>29526294.449999996</v>
      </c>
      <c r="J661" s="13"/>
      <c r="K661" s="13"/>
      <c r="L661" s="13"/>
      <c r="M661" s="9"/>
    </row>
    <row r="662" spans="1:13" s="3" customFormat="1" ht="12.2" customHeight="1" x14ac:dyDescent="0.2">
      <c r="A662" s="1" t="s">
        <v>127</v>
      </c>
      <c r="F662" s="19">
        <f>(L359/IF(SUM(L359:L361)=0,1,SUM(L359:L361))*(SUM(G97:G110)))</f>
        <v>35696.218321777458</v>
      </c>
      <c r="G662" s="19">
        <f>(L360/IF(SUM(L359:L361)=0,1,SUM(L359:L361))*(SUM(G97:G110)))</f>
        <v>0</v>
      </c>
      <c r="H662" s="19">
        <f>(L361/IF(SUM(L359:L361)=0,1,SUM(L359:L361))*(SUM(G97:G110)))</f>
        <v>16242.871678222529</v>
      </c>
      <c r="I662" s="19">
        <f>SUM(F662:H662)</f>
        <v>51939.089999999989</v>
      </c>
      <c r="J662"/>
      <c r="K662" s="13"/>
      <c r="L662" s="13"/>
      <c r="M662" s="8"/>
    </row>
    <row r="663" spans="1:13" s="3" customFormat="1" ht="12.2" customHeight="1" x14ac:dyDescent="0.2">
      <c r="A663" s="1" t="s">
        <v>128</v>
      </c>
      <c r="F663" s="19">
        <f>(L209+L288)-(J209+J288)</f>
        <v>979344.85</v>
      </c>
      <c r="G663" s="19">
        <f>(L227+L307)-(J227+J307)</f>
        <v>0</v>
      </c>
      <c r="H663" s="19">
        <f>(L245+L326)-(J245+J326)</f>
        <v>567396.53</v>
      </c>
      <c r="I663" s="19">
        <f>SUM(F663:H663)</f>
        <v>1546741.38</v>
      </c>
      <c r="J663"/>
      <c r="K663" s="13"/>
      <c r="L663" s="13"/>
      <c r="M663" s="9"/>
    </row>
    <row r="664" spans="1:13" s="3" customFormat="1" ht="12.2" customHeight="1" x14ac:dyDescent="0.15">
      <c r="A664" s="197" t="s">
        <v>129</v>
      </c>
      <c r="B664" s="169"/>
      <c r="C664" s="169"/>
      <c r="D664" s="169"/>
      <c r="E664" s="169"/>
      <c r="F664" s="198">
        <f>SUM(F576:F588)+SUM(H603:H605)+SUM(L612)</f>
        <v>1136278.79</v>
      </c>
      <c r="G664" s="198">
        <f>SUM(G576:G588)+SUM(I603:I605)+L613</f>
        <v>0</v>
      </c>
      <c r="H664" s="198">
        <f>SUM(H576:H588)+SUM(J603:J605)+L614</f>
        <v>945810.2699999999</v>
      </c>
      <c r="I664" s="19">
        <f>SUM(F664:H664)</f>
        <v>2082089.06</v>
      </c>
      <c r="J664" s="13"/>
      <c r="K664" s="13"/>
      <c r="L664" s="13"/>
      <c r="M664" s="9"/>
    </row>
    <row r="665" spans="1:13" s="3" customFormat="1" ht="12.2" customHeight="1" x14ac:dyDescent="0.15">
      <c r="A665" s="1" t="s">
        <v>130</v>
      </c>
      <c r="F665" s="19">
        <f>F661-SUM(F662:F664)</f>
        <v>17728975.041678216</v>
      </c>
      <c r="G665" s="19">
        <f>G661-SUM(G662:G664)</f>
        <v>0</v>
      </c>
      <c r="H665" s="19">
        <f>H661-SUM(H662:H664)</f>
        <v>8116549.8783217762</v>
      </c>
      <c r="I665" s="19">
        <f>I661-SUM(I662:I664)</f>
        <v>25845524.919999994</v>
      </c>
      <c r="J665" s="13"/>
      <c r="K665" s="13"/>
      <c r="L665" s="13"/>
      <c r="M665" s="8"/>
    </row>
    <row r="666" spans="1:13" s="3" customFormat="1" ht="12.2" customHeight="1" x14ac:dyDescent="0.2">
      <c r="A666" s="1" t="s">
        <v>131</v>
      </c>
      <c r="F666" s="245">
        <v>633.25</v>
      </c>
      <c r="G666" s="246"/>
      <c r="H666" s="246">
        <v>287.45</v>
      </c>
      <c r="I666" s="19">
        <f>SUM(F666:H666)</f>
        <v>920.7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27996.799999999999</v>
      </c>
      <c r="G668" s="19" t="e">
        <f>ROUND(G665/G666,2)</f>
        <v>#DIV/0!</v>
      </c>
      <c r="H668" s="19">
        <f>ROUND(H665/H666,2)</f>
        <v>28236.39</v>
      </c>
      <c r="I668" s="19">
        <f>ROUND(I665/I666,2)</f>
        <v>28071.599999999999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-9.7200000000000006</v>
      </c>
      <c r="I671" s="19">
        <f>SUM(F671:H671)</f>
        <v>-9.7200000000000006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27996.799999999999</v>
      </c>
      <c r="G673" s="19" t="e">
        <f>ROUND((G665+G670)/(G666+G671),2)</f>
        <v>#DIV/0!</v>
      </c>
      <c r="H673" s="19">
        <f>ROUND((H665+H670)/(H666+H671),2)</f>
        <v>29224.61</v>
      </c>
      <c r="I673" s="19">
        <f>ROUND((I665+I670)/(I666+I671),2)</f>
        <v>28371.119999999999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J20" sqref="J20"/>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112642.57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49732.15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44010.42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18900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Inter-Lakes Cooperative</v>
      </c>
      <c r="C5" s="375"/>
      <c r="D5" s="375"/>
      <c r="E5" s="375"/>
      <c r="F5" s="375"/>
    </row>
    <row r="8" spans="1:9" ht="18" x14ac:dyDescent="0.25">
      <c r="A8" s="312" t="s">
        <v>1568</v>
      </c>
      <c r="F8" s="319" t="s">
        <v>1586</v>
      </c>
    </row>
    <row r="9" spans="1:9" ht="15" x14ac:dyDescent="0.2">
      <c r="A9" s="310" t="s">
        <v>1569</v>
      </c>
      <c r="B9" s="313">
        <f>'DOE25'!G97</f>
        <v>51939.09</v>
      </c>
      <c r="F9" s="310" t="s">
        <v>1582</v>
      </c>
    </row>
    <row r="10" spans="1:9" ht="15" x14ac:dyDescent="0.2">
      <c r="A10" s="310" t="s">
        <v>1570</v>
      </c>
      <c r="B10" s="313">
        <f>'DOE25'!G112-'DOE25'!G97</f>
        <v>0</v>
      </c>
      <c r="F10" s="310" t="s">
        <v>1583</v>
      </c>
    </row>
    <row r="11" spans="1:9" ht="15" x14ac:dyDescent="0.2">
      <c r="A11" s="310" t="s">
        <v>1571</v>
      </c>
      <c r="B11" s="313">
        <f>'DOE25'!G140</f>
        <v>8067.44</v>
      </c>
      <c r="F11" s="310" t="s">
        <v>1584</v>
      </c>
    </row>
    <row r="12" spans="1:9" ht="15" x14ac:dyDescent="0.2">
      <c r="A12" s="310" t="s">
        <v>1572</v>
      </c>
      <c r="B12" s="313">
        <f>'DOE25'!G170</f>
        <v>603719.98</v>
      </c>
      <c r="F12" s="310" t="s">
        <v>1585</v>
      </c>
    </row>
    <row r="13" spans="1:9" ht="15" x14ac:dyDescent="0.2">
      <c r="A13" s="310" t="s">
        <v>1573</v>
      </c>
      <c r="B13" s="313">
        <f>'DOE25'!G193-'DOE25'!G180</f>
        <v>0</v>
      </c>
      <c r="F13" s="310" t="s">
        <v>1595</v>
      </c>
    </row>
    <row r="14" spans="1:9" ht="18" x14ac:dyDescent="0.25">
      <c r="A14" s="312" t="s">
        <v>732</v>
      </c>
      <c r="B14" s="314">
        <f>SUM(B9:B13)</f>
        <v>663726.51</v>
      </c>
    </row>
    <row r="16" spans="1:9" ht="18" x14ac:dyDescent="0.25">
      <c r="A16" s="312" t="s">
        <v>786</v>
      </c>
      <c r="F16" s="319" t="s">
        <v>1587</v>
      </c>
    </row>
    <row r="17" spans="1:6" ht="15" x14ac:dyDescent="0.2">
      <c r="A17" s="310" t="s">
        <v>1574</v>
      </c>
      <c r="B17" s="313">
        <f>'DOE25'!L363-'DOE25'!L362</f>
        <v>501202.78</v>
      </c>
      <c r="F17" s="310" t="s">
        <v>1588</v>
      </c>
    </row>
    <row r="18" spans="1:6" ht="15" x14ac:dyDescent="0.2">
      <c r="A18" s="310" t="s">
        <v>1575</v>
      </c>
      <c r="B18" s="323"/>
      <c r="F18" s="319" t="s">
        <v>1612</v>
      </c>
    </row>
    <row r="19" spans="1:6" ht="18" x14ac:dyDescent="0.25">
      <c r="A19" s="312" t="s">
        <v>725</v>
      </c>
      <c r="B19" s="314">
        <f>SUM(B17:B18)</f>
        <v>501202.78</v>
      </c>
    </row>
    <row r="21" spans="1:6" ht="18.75" thickBot="1" x14ac:dyDescent="0.3">
      <c r="A21" s="312" t="s">
        <v>1576</v>
      </c>
    </row>
    <row r="22" spans="1:6" ht="18.75" thickTop="1" x14ac:dyDescent="0.25">
      <c r="A22" s="312" t="s">
        <v>1577</v>
      </c>
      <c r="B22" s="318">
        <f>B14-B19</f>
        <v>162523.72999999998</v>
      </c>
      <c r="F22" s="310" t="s">
        <v>1589</v>
      </c>
    </row>
    <row r="26" spans="1:6" ht="18" x14ac:dyDescent="0.25">
      <c r="A26" s="312" t="s">
        <v>186</v>
      </c>
    </row>
    <row r="27" spans="1:6" ht="15" x14ac:dyDescent="0.2">
      <c r="A27" s="310" t="s">
        <v>1578</v>
      </c>
      <c r="B27" s="313">
        <f>'DOE25'!G180</f>
        <v>10000</v>
      </c>
      <c r="F27" s="310" t="s">
        <v>1590</v>
      </c>
    </row>
    <row r="28" spans="1:6" ht="15" x14ac:dyDescent="0.2">
      <c r="A28" s="310" t="s">
        <v>1580</v>
      </c>
      <c r="B28" s="313">
        <f>'DOE25'!L362</f>
        <v>0</v>
      </c>
      <c r="F28" s="310" t="s">
        <v>1591</v>
      </c>
    </row>
    <row r="31" spans="1:6" ht="15" x14ac:dyDescent="0.2">
      <c r="A31" s="310" t="s">
        <v>1634</v>
      </c>
      <c r="B31" s="313">
        <f>'DOE25'!G466</f>
        <v>40452.68</v>
      </c>
      <c r="F31" s="310" t="s">
        <v>1592</v>
      </c>
    </row>
    <row r="33" spans="1:6" ht="15" x14ac:dyDescent="0.2">
      <c r="A33" s="310" t="s">
        <v>1635</v>
      </c>
      <c r="B33" s="313">
        <f>'DOE25'!G477</f>
        <v>212976.41000000003</v>
      </c>
      <c r="F33" s="310" t="s">
        <v>1593</v>
      </c>
    </row>
    <row r="36" spans="1:6" ht="15" x14ac:dyDescent="0.2">
      <c r="A36" s="310" t="s">
        <v>1579</v>
      </c>
      <c r="B36" s="324">
        <v>36883.800000000003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39" sqref="G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Inter-Lakes Cooperative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6866853.6799999997</v>
      </c>
      <c r="C9" s="228">
        <f>'DOE25'!G198+'DOE25'!G216+'DOE25'!G234+'DOE25'!G277+'DOE25'!G296+'DOE25'!G315</f>
        <v>3130083.6299999994</v>
      </c>
    </row>
    <row r="10" spans="1:3" x14ac:dyDescent="0.2">
      <c r="A10" t="s">
        <v>775</v>
      </c>
      <c r="B10" s="239">
        <v>6497447.71</v>
      </c>
      <c r="C10" s="239">
        <v>3034793.67</v>
      </c>
    </row>
    <row r="11" spans="1:3" x14ac:dyDescent="0.2">
      <c r="A11" t="s">
        <v>776</v>
      </c>
      <c r="B11" s="239">
        <v>180644.88</v>
      </c>
      <c r="C11" s="239">
        <v>80849.740000000005</v>
      </c>
    </row>
    <row r="12" spans="1:3" x14ac:dyDescent="0.2">
      <c r="A12" t="s">
        <v>777</v>
      </c>
      <c r="B12" s="239">
        <v>188761.09</v>
      </c>
      <c r="C12" s="239">
        <v>14440.223</v>
      </c>
    </row>
    <row r="13" spans="1:3" x14ac:dyDescent="0.2">
      <c r="A13" t="str">
        <f>IF(B9=B13,IF(C9=C13,"Check Total OK","Check Total Error"),"Check Total Error")</f>
        <v>Check Total Error</v>
      </c>
      <c r="B13" s="230">
        <f>SUM(B10:B12)</f>
        <v>6866853.6799999997</v>
      </c>
      <c r="C13" s="230">
        <f>SUM(C10:C12)</f>
        <v>3130083.6330000004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2673667.17</v>
      </c>
      <c r="C18" s="228">
        <f>'DOE25'!G199+'DOE25'!G217+'DOE25'!G235+'DOE25'!G278+'DOE25'!G297+'DOE25'!G316</f>
        <v>1188700.24</v>
      </c>
    </row>
    <row r="19" spans="1:3" x14ac:dyDescent="0.2">
      <c r="A19" t="s">
        <v>775</v>
      </c>
      <c r="B19" s="239">
        <v>1301701.1000000001</v>
      </c>
      <c r="C19" s="239">
        <v>762693.66</v>
      </c>
    </row>
    <row r="20" spans="1:3" x14ac:dyDescent="0.2">
      <c r="A20" t="s">
        <v>776</v>
      </c>
      <c r="B20" s="239">
        <v>1333719.23</v>
      </c>
      <c r="C20" s="239">
        <v>423135.25</v>
      </c>
    </row>
    <row r="21" spans="1:3" x14ac:dyDescent="0.2">
      <c r="A21" t="s">
        <v>777</v>
      </c>
      <c r="B21" s="239">
        <v>38246.839999999997</v>
      </c>
      <c r="C21" s="239">
        <v>2871.33</v>
      </c>
    </row>
    <row r="22" spans="1:3" x14ac:dyDescent="0.2">
      <c r="A22" t="str">
        <f>IF(B18=B22,IF(C18=C22,"Check Total OK","Check Total Error"),"Check Total Error")</f>
        <v>Check Total OK</v>
      </c>
      <c r="B22" s="230">
        <f>SUM(B19:B21)</f>
        <v>2673667.17</v>
      </c>
      <c r="C22" s="230">
        <f>SUM(C19:C21)</f>
        <v>1188700.2400000002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383181.56</v>
      </c>
      <c r="C36" s="234">
        <f>'DOE25'!G201+'DOE25'!G219+'DOE25'!G237+'DOE25'!G280+'DOE25'!G299+'DOE25'!G318</f>
        <v>90040.01</v>
      </c>
    </row>
    <row r="37" spans="1:3" x14ac:dyDescent="0.2">
      <c r="A37" t="s">
        <v>775</v>
      </c>
      <c r="B37" s="239"/>
      <c r="C37" s="239"/>
    </row>
    <row r="38" spans="1:3" x14ac:dyDescent="0.2">
      <c r="A38" t="s">
        <v>776</v>
      </c>
      <c r="B38" s="239"/>
      <c r="C38" s="239"/>
    </row>
    <row r="39" spans="1:3" x14ac:dyDescent="0.2">
      <c r="A39" t="s">
        <v>777</v>
      </c>
      <c r="B39" s="239">
        <v>383181.56</v>
      </c>
      <c r="C39" s="239">
        <v>90040.01</v>
      </c>
    </row>
    <row r="40" spans="1:3" x14ac:dyDescent="0.2">
      <c r="A40" t="str">
        <f>IF(B36=B40,IF(C36=C40,"Check Total OK","Check Total Error"),"Check Total Error")</f>
        <v>Check Total OK</v>
      </c>
      <c r="B40" s="230">
        <f>SUM(B37:B39)</f>
        <v>383181.56</v>
      </c>
      <c r="C40" s="230">
        <f>SUM(C37:C39)</f>
        <v>90040.01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15" zoomScaleNormal="115" workbookViewId="0">
      <pane ySplit="4" topLeftCell="A11" activePane="bottomLeft" state="frozen"/>
      <selection activeCell="F46" sqref="F46"/>
      <selection pane="bottomLeft" activeCell="H29" sqref="H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Inter-Lakes Cooperative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14087473.529999997</v>
      </c>
      <c r="D5" s="20">
        <f>SUM('DOE25'!L198:L201)+SUM('DOE25'!L216:L219)+SUM('DOE25'!L234:L237)-F5-G5-H5</f>
        <v>14006525.399999999</v>
      </c>
      <c r="E5" s="242"/>
      <c r="F5" s="243"/>
      <c r="G5" s="53">
        <f>SUM('DOE25'!J198:J201)+SUM('DOE25'!J216:J219)+SUM('DOE25'!J234:J237)</f>
        <v>69449.700000000012</v>
      </c>
      <c r="H5" s="53">
        <f>SUM('DOE25'!K198:K201)+SUM('DOE25'!K216:K219)+SUM('DOE25'!K234:K237)</f>
        <v>11498.43</v>
      </c>
      <c r="I5" s="255"/>
    </row>
    <row r="6" spans="1:9" x14ac:dyDescent="0.2">
      <c r="A6" s="32">
        <v>2100</v>
      </c>
      <c r="B6" t="s">
        <v>796</v>
      </c>
      <c r="C6" s="274">
        <f t="shared" si="0"/>
        <v>1981069.9699999997</v>
      </c>
      <c r="D6" s="20">
        <f>'DOE25'!L203+'DOE25'!L221+'DOE25'!L239-F6-G6-H6</f>
        <v>1958676.9499999997</v>
      </c>
      <c r="E6" s="242"/>
      <c r="F6" s="243">
        <v>14539.28</v>
      </c>
      <c r="G6" s="53">
        <f>'DOE25'!J203+'DOE25'!J221+'DOE25'!J239</f>
        <v>7524.74</v>
      </c>
      <c r="H6" s="53">
        <f>'DOE25'!K203+'DOE25'!K221+'DOE25'!K239</f>
        <v>329</v>
      </c>
      <c r="I6" s="255"/>
    </row>
    <row r="7" spans="1:9" x14ac:dyDescent="0.2">
      <c r="A7" s="32">
        <v>2200</v>
      </c>
      <c r="B7" t="s">
        <v>821</v>
      </c>
      <c r="C7" s="274">
        <f t="shared" si="0"/>
        <v>1694761.1099999999</v>
      </c>
      <c r="D7" s="20">
        <f>'DOE25'!L204+'DOE25'!L222+'DOE25'!L240-F7-G7-H7</f>
        <v>1392586.38</v>
      </c>
      <c r="E7" s="242"/>
      <c r="F7" s="243">
        <v>4154.95</v>
      </c>
      <c r="G7" s="53">
        <f>'DOE25'!J204+'DOE25'!J222+'DOE25'!J240</f>
        <v>297184.78000000003</v>
      </c>
      <c r="H7" s="53">
        <f>'DOE25'!K204+'DOE25'!K222+'DOE25'!K240</f>
        <v>835</v>
      </c>
      <c r="I7" s="255"/>
    </row>
    <row r="8" spans="1:9" x14ac:dyDescent="0.2">
      <c r="A8" s="32">
        <v>2300</v>
      </c>
      <c r="B8" t="s">
        <v>797</v>
      </c>
      <c r="C8" s="274">
        <f t="shared" si="0"/>
        <v>643835.05999999982</v>
      </c>
      <c r="D8" s="242"/>
      <c r="E8" s="20">
        <f>'DOE25'!L205+'DOE25'!L223+'DOE25'!L241-F8-G8-H8-D9-D11</f>
        <v>624987.49999999977</v>
      </c>
      <c r="F8" s="243"/>
      <c r="G8" s="53">
        <f>'DOE25'!J205+'DOE25'!J223+'DOE25'!J241</f>
        <v>0</v>
      </c>
      <c r="H8" s="53">
        <f>'DOE25'!K205+'DOE25'!K223+'DOE25'!K241</f>
        <v>18847.559999999998</v>
      </c>
      <c r="I8" s="255"/>
    </row>
    <row r="9" spans="1:9" ht="14.25" x14ac:dyDescent="0.2">
      <c r="A9" s="32">
        <v>2310</v>
      </c>
      <c r="B9" s="184" t="s">
        <v>888</v>
      </c>
      <c r="C9" s="274">
        <f t="shared" si="0"/>
        <v>131334.54</v>
      </c>
      <c r="D9" s="243">
        <v>131334.54</v>
      </c>
      <c r="E9" s="242"/>
      <c r="F9" s="252"/>
      <c r="G9" s="252"/>
      <c r="H9" s="252"/>
      <c r="I9" s="255"/>
    </row>
    <row r="10" spans="1:9" ht="14.25" x14ac:dyDescent="0.2">
      <c r="A10" s="32">
        <v>2317</v>
      </c>
      <c r="B10" s="184" t="s">
        <v>889</v>
      </c>
      <c r="C10" s="274">
        <f t="shared" si="0"/>
        <v>23000</v>
      </c>
      <c r="D10" s="242"/>
      <c r="E10" s="243">
        <v>23000</v>
      </c>
      <c r="F10" s="252"/>
      <c r="G10" s="252"/>
      <c r="H10" s="252"/>
      <c r="I10" s="255"/>
    </row>
    <row r="11" spans="1:9" ht="14.25" x14ac:dyDescent="0.2">
      <c r="A11" s="32">
        <v>2321</v>
      </c>
      <c r="B11" s="184" t="s">
        <v>890</v>
      </c>
      <c r="C11" s="274">
        <f t="shared" si="0"/>
        <v>400024.57</v>
      </c>
      <c r="D11" s="243">
        <v>400024.57</v>
      </c>
      <c r="E11" s="242"/>
      <c r="F11" s="252"/>
      <c r="G11" s="252"/>
      <c r="H11" s="252"/>
      <c r="I11" s="255"/>
    </row>
    <row r="12" spans="1:9" x14ac:dyDescent="0.2">
      <c r="A12" s="32">
        <v>2400</v>
      </c>
      <c r="B12" t="s">
        <v>711</v>
      </c>
      <c r="C12" s="274">
        <f t="shared" si="0"/>
        <v>1280222.74</v>
      </c>
      <c r="D12" s="20">
        <f>'DOE25'!L206+'DOE25'!L224+'DOE25'!L242-F12-G12-H12</f>
        <v>1259852.24</v>
      </c>
      <c r="E12" s="242"/>
      <c r="F12" s="243">
        <v>11177.5</v>
      </c>
      <c r="G12" s="53">
        <f>'DOE25'!J206+'DOE25'!J224+'DOE25'!J242</f>
        <v>0</v>
      </c>
      <c r="H12" s="53">
        <f>'DOE25'!K206+'DOE25'!K224+'DOE25'!K242</f>
        <v>9193</v>
      </c>
      <c r="I12" s="255"/>
    </row>
    <row r="13" spans="1:9" x14ac:dyDescent="0.2">
      <c r="A13" s="32">
        <v>2500</v>
      </c>
      <c r="B13" t="s">
        <v>798</v>
      </c>
      <c r="C13" s="274">
        <f t="shared" si="0"/>
        <v>7361.93</v>
      </c>
      <c r="D13" s="242"/>
      <c r="E13" s="20">
        <f>'DOE25'!L207+'DOE25'!L225+'DOE25'!L243-F13-G13-H13</f>
        <v>4372.5300000000007</v>
      </c>
      <c r="F13" s="243"/>
      <c r="G13" s="53">
        <f>'DOE25'!J207+'DOE25'!J225+'DOE25'!J243</f>
        <v>2989.4</v>
      </c>
      <c r="H13" s="53">
        <f>'DOE25'!K207+'DOE25'!K225+'DOE25'!K243</f>
        <v>0</v>
      </c>
      <c r="I13" s="255"/>
    </row>
    <row r="14" spans="1:9" x14ac:dyDescent="0.2">
      <c r="A14" s="32">
        <v>2600</v>
      </c>
      <c r="B14" t="s">
        <v>819</v>
      </c>
      <c r="C14" s="274">
        <f t="shared" si="0"/>
        <v>3944321.5</v>
      </c>
      <c r="D14" s="20">
        <f>'DOE25'!L208+'DOE25'!L226+'DOE25'!L244-F14-G14-H14</f>
        <v>2561156</v>
      </c>
      <c r="E14" s="242"/>
      <c r="F14" s="243">
        <v>231300.2</v>
      </c>
      <c r="G14" s="53">
        <f>'DOE25'!J208+'DOE25'!J226+'DOE25'!J244</f>
        <v>1151865.3</v>
      </c>
      <c r="H14" s="53">
        <f>'DOE25'!K208+'DOE25'!K226+'DOE25'!K244</f>
        <v>0</v>
      </c>
      <c r="I14" s="255"/>
    </row>
    <row r="15" spans="1:9" x14ac:dyDescent="0.2">
      <c r="A15" s="32">
        <v>2700</v>
      </c>
      <c r="B15" t="s">
        <v>799</v>
      </c>
      <c r="C15" s="274">
        <f t="shared" si="0"/>
        <v>1481582.27</v>
      </c>
      <c r="D15" s="20">
        <f>'DOE25'!L209+'DOE25'!L227+'DOE25'!L245-F15-G15-H15</f>
        <v>194841.13000000012</v>
      </c>
      <c r="E15" s="242"/>
      <c r="F15" s="243">
        <v>1286741.1399999999</v>
      </c>
      <c r="G15" s="53">
        <f>'DOE25'!J209+'DOE25'!J227+'DOE25'!J245</f>
        <v>0</v>
      </c>
      <c r="H15" s="53">
        <f>'DOE25'!K209+'DOE25'!K227+'DOE25'!K245</f>
        <v>0</v>
      </c>
      <c r="I15" s="255"/>
    </row>
    <row r="16" spans="1:9" x14ac:dyDescent="0.2">
      <c r="A16" s="32">
        <v>2800</v>
      </c>
      <c r="B16" t="s">
        <v>800</v>
      </c>
      <c r="C16" s="274">
        <f t="shared" si="0"/>
        <v>1271554.99</v>
      </c>
      <c r="D16" s="242"/>
      <c r="E16" s="20">
        <f>'DOE25'!L210+'DOE25'!L228+'DOE25'!L246-F16-G16-H16</f>
        <v>1271554.99</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501202.78</v>
      </c>
      <c r="D29" s="282">
        <f>'DOE25'!L359+'DOE25'!L360+'DOE25'!L361-'DOE25'!I368-F29-G29-H29</f>
        <v>25000.000000000029</v>
      </c>
      <c r="E29" s="242"/>
      <c r="F29" s="243">
        <v>459861</v>
      </c>
      <c r="G29" s="53">
        <f>'DOE25'!J359+'DOE25'!J360+'DOE25'!J361</f>
        <v>15493</v>
      </c>
      <c r="H29" s="53">
        <f>'DOE25'!K359+'DOE25'!K360+'DOE25'!K361</f>
        <v>848.78</v>
      </c>
      <c r="I29" s="255"/>
    </row>
    <row r="30" spans="1:9" x14ac:dyDescent="0.2">
      <c r="A30" s="32"/>
      <c r="C30" s="275"/>
      <c r="D30" s="20"/>
      <c r="E30" s="279"/>
      <c r="F30" s="269"/>
      <c r="G30" s="53"/>
      <c r="H30" s="53"/>
      <c r="I30" s="255"/>
    </row>
    <row r="31" spans="1:9" x14ac:dyDescent="0.2">
      <c r="A31" s="32" t="s">
        <v>818</v>
      </c>
      <c r="B31" t="s">
        <v>817</v>
      </c>
      <c r="C31" s="274">
        <f>SUM(D31:I31)</f>
        <v>2101549.46</v>
      </c>
      <c r="D31" s="20">
        <f>'DOE25'!L291+'DOE25'!L310+'DOE25'!L329+'DOE25'!L334+'DOE25'!L335+'DOE25'!L336-F31-G31-H31</f>
        <v>1917467.94</v>
      </c>
      <c r="E31" s="242"/>
      <c r="F31" s="243">
        <v>37000</v>
      </c>
      <c r="G31" s="53">
        <f>'DOE25'!J291+'DOE25'!J310+'DOE25'!J329+'DOE25'!J334+'DOE25'!J335+'DOE25'!J336</f>
        <v>31550</v>
      </c>
      <c r="H31" s="53">
        <f>'DOE25'!K291+'DOE25'!K310+'DOE25'!K329+'DOE25'!K334+'DOE25'!K335+'DOE25'!K336</f>
        <v>115531.52</v>
      </c>
      <c r="I31" s="255"/>
    </row>
    <row r="32" spans="1:9" ht="12" thickBot="1" x14ac:dyDescent="0.25">
      <c r="C32" s="275"/>
      <c r="G32" s="250"/>
      <c r="H32" s="250"/>
      <c r="I32" s="257"/>
    </row>
    <row r="33" spans="1:9" ht="12" thickTop="1" x14ac:dyDescent="0.2">
      <c r="B33" t="s">
        <v>809</v>
      </c>
      <c r="D33" s="244">
        <f t="shared" ref="D33:I33" si="1">SUM(D5:D31)</f>
        <v>23847465.149999995</v>
      </c>
      <c r="E33" s="244">
        <f t="shared" si="1"/>
        <v>1923915.0199999998</v>
      </c>
      <c r="F33" s="244">
        <f t="shared" si="1"/>
        <v>2044774.0699999998</v>
      </c>
      <c r="G33" s="244">
        <f t="shared" si="1"/>
        <v>1576056.9200000002</v>
      </c>
      <c r="H33" s="244">
        <f t="shared" si="1"/>
        <v>157083.29</v>
      </c>
      <c r="I33" s="244">
        <f t="shared" si="1"/>
        <v>0</v>
      </c>
    </row>
    <row r="35" spans="1:9" ht="12" thickBot="1" x14ac:dyDescent="0.25">
      <c r="B35" s="250" t="s">
        <v>831</v>
      </c>
      <c r="D35" s="251">
        <f>E33</f>
        <v>1923915.0199999998</v>
      </c>
      <c r="E35" s="247"/>
      <c r="F35" s="328" t="s">
        <v>1617</v>
      </c>
      <c r="G35" s="329"/>
      <c r="H35" s="329"/>
      <c r="I35" s="329"/>
    </row>
    <row r="36" spans="1:9" ht="12" thickTop="1" x14ac:dyDescent="0.2">
      <c r="B36" t="s">
        <v>810</v>
      </c>
      <c r="D36" s="20">
        <f>D33</f>
        <v>23847465.149999995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12" sqref="I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Inter-Lakes Cooperative</v>
      </c>
      <c r="B2" s="126">
        <f>'DOE25'!B2</f>
        <v>269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19535832.879999999</v>
      </c>
      <c r="G4" s="299">
        <f>'DOE25'!L212+'DOE25'!L291</f>
        <v>19535832.879999995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6127637.4900000002</v>
      </c>
      <c r="E5" s="290"/>
      <c r="F5" s="303">
        <f>D5+E5</f>
        <v>6127637.4900000002</v>
      </c>
      <c r="G5" s="293"/>
      <c r="H5" s="293"/>
      <c r="I5" s="384"/>
      <c r="N5"/>
    </row>
    <row r="6" spans="1:18" x14ac:dyDescent="0.2">
      <c r="A6" s="126" t="str" cm="1">
        <f t="array" ref="A6">IFERROR(INDEX('School Tables'!$A$4:$G$325,'School Tables'!$J4,3),"")</f>
        <v>Inter-Lakes Elementary School</v>
      </c>
      <c r="B6" s="300">
        <f>IFERROR(VLOOKUP(A6,'School Tables'!$C$3:$D$365,2,FALSE),"")</f>
        <v>29200</v>
      </c>
      <c r="C6" s="293" t="str">
        <f>IFERROR(INDEX('School Tables'!$B$3:$B$365,MATCH('School Level Expenditures'!B6,'School Tables'!$D$3:$D$365,0)),"")</f>
        <v>Inter-Lakes Cooperative</v>
      </c>
      <c r="D6" s="290">
        <v>8691510.3100000005</v>
      </c>
      <c r="E6" s="290">
        <v>1658080.47</v>
      </c>
      <c r="F6" s="303">
        <f t="shared" ref="F6:F20" si="0">D6+E6</f>
        <v>10349590.780000001</v>
      </c>
      <c r="G6" s="293"/>
      <c r="H6" s="293"/>
      <c r="I6" s="384"/>
      <c r="N6"/>
    </row>
    <row r="7" spans="1:18" x14ac:dyDescent="0.2">
      <c r="A7" s="126" t="str" cm="1">
        <f t="array" ref="A7">IFERROR(INDEX('School Tables'!$A$4:$G$325,'School Tables'!$J5,3),"")</f>
        <v>Inter-Lakes Middle School</v>
      </c>
      <c r="B7" s="300">
        <f>IFERROR(VLOOKUP(A7,'School Tables'!$C$3:$D$365,2,FALSE),"")</f>
        <v>29201</v>
      </c>
      <c r="C7" s="293" t="str">
        <f>IFERROR(INDEX('School Tables'!$B$3:$B$365,MATCH('School Level Expenditures'!B7,'School Tables'!$D$3:$D$365,0)),"")</f>
        <v>Inter-Lakes Cooperative</v>
      </c>
      <c r="D7" s="290">
        <v>1145354.7</v>
      </c>
      <c r="E7" s="290">
        <v>218499.46</v>
      </c>
      <c r="F7" s="303">
        <f t="shared" si="0"/>
        <v>1363854.16</v>
      </c>
      <c r="G7" s="293"/>
      <c r="H7" s="293"/>
      <c r="I7" s="341"/>
      <c r="N7"/>
    </row>
    <row r="8" spans="1:18" x14ac:dyDescent="0.2">
      <c r="A8" s="126" t="str" cm="1">
        <f t="array" ref="A8">IFERROR(INDEX('School Tables'!$A$4:$G$325,'School Tables'!$J6,3),"")</f>
        <v>Sandwich Central School</v>
      </c>
      <c r="B8" s="300">
        <f>IFERROR(VLOOKUP(A8,'School Tables'!$C$3:$D$365,2,FALSE),"")</f>
        <v>20040</v>
      </c>
      <c r="C8" s="293" t="str">
        <f>IFERROR(INDEX('School Tables'!$B$3:$B$365,MATCH('School Level Expenditures'!B8,'School Tables'!$D$3:$D$365,0)),"")</f>
        <v>Inter-Lakes Cooperative</v>
      </c>
      <c r="D8" s="290">
        <v>1534182.7</v>
      </c>
      <c r="E8" s="290">
        <v>160567.75</v>
      </c>
      <c r="F8" s="303">
        <f t="shared" si="0"/>
        <v>1694750.45</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17498685.199999999</v>
      </c>
      <c r="E21" s="338">
        <f>SUM(E5:E20)</f>
        <v>2037147.68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9489258.7899999991</v>
      </c>
      <c r="G36" s="299">
        <f>'DOE25'!L248+'DOE25'!L329</f>
        <v>9489258.7899999991</v>
      </c>
      <c r="H36" s="340">
        <f>F36-G36</f>
        <v>0</v>
      </c>
      <c r="I36" s="383" t="str">
        <f>IF(H36=0,"","ISSUES!! Please review page 9 and 13 totals in comparison with total on this page")</f>
        <v/>
      </c>
      <c r="N36"/>
    </row>
    <row r="37" spans="1:14" x14ac:dyDescent="0.2">
      <c r="A37" s="126" t="s">
        <v>1548</v>
      </c>
      <c r="B37" s="300">
        <v>99999</v>
      </c>
      <c r="C37" s="293" t="s">
        <v>1548</v>
      </c>
      <c r="D37" s="290">
        <v>2788262.76</v>
      </c>
      <c r="E37" s="290"/>
      <c r="F37" s="303">
        <f t="shared" ref="F37:F42" si="2">D37+E37</f>
        <v>2788262.76</v>
      </c>
      <c r="G37" s="293"/>
      <c r="H37" s="293"/>
      <c r="I37" s="384"/>
      <c r="N37"/>
    </row>
    <row r="38" spans="1:14" x14ac:dyDescent="0.2">
      <c r="A38" s="126" t="str" cm="1">
        <f t="array" ref="A38">IFERROR(INDEX('School Tables'!$W$4:$AC$100,'School Tables'!$AF4,3),"")</f>
        <v>Inter-Lakes High School</v>
      </c>
      <c r="B38" s="300">
        <f>IFERROR(VLOOKUP(A38,'School Tables'!$Y$4:$Z$100,2,FALSE),"")</f>
        <v>20035</v>
      </c>
      <c r="C38" s="293" t="str">
        <f>IFERROR(INDEX('School Tables'!$X$4:$X$100,MATCH('School Level Expenditures'!A38,'School Tables'!$Y$4:$Y$100,0)),"")</f>
        <v>Inter-Lakes Cooperative</v>
      </c>
      <c r="D38" s="290">
        <v>6123868.4800000004</v>
      </c>
      <c r="E38" s="290">
        <v>577127.55000000005</v>
      </c>
      <c r="F38" s="303">
        <f t="shared" si="2"/>
        <v>6700996.0300000003</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8912131.2400000002</v>
      </c>
      <c r="E43" s="339">
        <f>SUM(E37:E42)</f>
        <v>577127.55000000005</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Inter-Lakes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4041570.04</v>
      </c>
      <c r="D8" s="95">
        <f>'DOE25'!G9</f>
        <v>0</v>
      </c>
      <c r="E8" s="95">
        <f>'DOE25'!H9</f>
        <v>0</v>
      </c>
      <c r="F8" s="95">
        <f>'DOE25'!I9</f>
        <v>3231</v>
      </c>
      <c r="G8" s="95">
        <f>'DOE25'!J9</f>
        <v>1273641.6399999999</v>
      </c>
      <c r="H8" s="124">
        <f>SUM(C8:G8)</f>
        <v>5318442.68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2487660.2400000002</v>
      </c>
      <c r="D11" s="95">
        <f>'DOE25'!G12</f>
        <v>90055.25</v>
      </c>
      <c r="E11" s="95">
        <f>'DOE25'!H12</f>
        <v>0</v>
      </c>
      <c r="F11" s="95">
        <f>'DOE25'!I12</f>
        <v>0</v>
      </c>
      <c r="G11" s="95">
        <f>'DOE25'!J12</f>
        <v>0</v>
      </c>
      <c r="H11" s="124">
        <f t="shared" si="0"/>
        <v>2577715.4900000002</v>
      </c>
      <c r="I11" s="124"/>
    </row>
    <row r="12" spans="1:9" x14ac:dyDescent="0.2">
      <c r="A12" s="1" t="s">
        <v>143</v>
      </c>
      <c r="B12" s="6">
        <v>140</v>
      </c>
      <c r="C12" s="95">
        <f>'DOE25'!F13</f>
        <v>43432.17</v>
      </c>
      <c r="D12" s="95">
        <f>'DOE25'!G13</f>
        <v>180983.07</v>
      </c>
      <c r="E12" s="95">
        <f>'DOE25'!H13</f>
        <v>315180.03000000003</v>
      </c>
      <c r="F12" s="95">
        <f>'DOE25'!I13</f>
        <v>0</v>
      </c>
      <c r="G12" s="95">
        <f>'DOE25'!J13</f>
        <v>0</v>
      </c>
      <c r="H12" s="124">
        <f t="shared" si="0"/>
        <v>539595.27</v>
      </c>
      <c r="I12" s="124"/>
    </row>
    <row r="13" spans="1:9" x14ac:dyDescent="0.2">
      <c r="A13" s="1" t="s">
        <v>144</v>
      </c>
      <c r="B13" s="6">
        <v>150</v>
      </c>
      <c r="C13" s="95">
        <f>'DOE25'!F14</f>
        <v>730</v>
      </c>
      <c r="D13" s="95">
        <f>'DOE25'!G14</f>
        <v>0</v>
      </c>
      <c r="E13" s="95">
        <f>'DOE25'!H14</f>
        <v>0</v>
      </c>
      <c r="F13" s="95">
        <f>'DOE25'!I14</f>
        <v>0</v>
      </c>
      <c r="G13" s="95">
        <f>'DOE25'!J14</f>
        <v>0</v>
      </c>
      <c r="H13" s="124">
        <f t="shared" si="0"/>
        <v>730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21373.27</v>
      </c>
      <c r="D16" s="95">
        <f>'DOE25'!G17</f>
        <v>0</v>
      </c>
      <c r="E16" s="95">
        <f>'DOE25'!H17</f>
        <v>0</v>
      </c>
      <c r="F16" s="95">
        <f>'DOE25'!I17</f>
        <v>0</v>
      </c>
      <c r="G16" s="95">
        <f>'DOE25'!J17</f>
        <v>0</v>
      </c>
      <c r="H16" s="124">
        <f t="shared" si="0"/>
        <v>21373.27</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6594765.7199999997</v>
      </c>
      <c r="D18" s="41">
        <f>SUM(D8:D17)</f>
        <v>271038.32</v>
      </c>
      <c r="E18" s="41">
        <f>SUM(E8:E17)</f>
        <v>315180.03000000003</v>
      </c>
      <c r="F18" s="41">
        <f>SUM(F8:F17)</f>
        <v>3231</v>
      </c>
      <c r="G18" s="41">
        <f>SUM(G8:G17)</f>
        <v>1273641.6399999999</v>
      </c>
      <c r="H18" s="41">
        <f t="shared" si="0"/>
        <v>8457856.7100000009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2460751.7400000002</v>
      </c>
      <c r="D21" s="95">
        <f>'DOE25'!G22</f>
        <v>0</v>
      </c>
      <c r="E21" s="95">
        <f>'DOE25'!H22</f>
        <v>115681.7</v>
      </c>
      <c r="F21" s="95">
        <f>'DOE25'!I22</f>
        <v>0</v>
      </c>
      <c r="G21" s="95">
        <f>'DOE25'!J22</f>
        <v>0</v>
      </c>
      <c r="H21" s="124">
        <f t="shared" ref="H21:H31" si="1">SUM(C21:G21)</f>
        <v>2576433.4400000004</v>
      </c>
      <c r="I21" s="124"/>
    </row>
    <row r="22" spans="1:9" x14ac:dyDescent="0.2">
      <c r="A22" s="1" t="s">
        <v>151</v>
      </c>
      <c r="B22" s="6">
        <v>410</v>
      </c>
      <c r="C22" s="95">
        <f>'DOE25'!F23</f>
        <v>0</v>
      </c>
      <c r="D22" s="95">
        <f>'DOE25'!G23</f>
        <v>0</v>
      </c>
      <c r="E22" s="95">
        <f>'DOE25'!H23</f>
        <v>12331.13</v>
      </c>
      <c r="F22" s="95">
        <f>'DOE25'!I23</f>
        <v>0</v>
      </c>
      <c r="G22" s="95">
        <f>'DOE25'!J23</f>
        <v>0</v>
      </c>
      <c r="H22" s="124">
        <f t="shared" si="1"/>
        <v>12331.13</v>
      </c>
      <c r="I22" s="124"/>
    </row>
    <row r="23" spans="1:9" x14ac:dyDescent="0.2">
      <c r="A23" s="1" t="s">
        <v>152</v>
      </c>
      <c r="B23" s="6">
        <v>420</v>
      </c>
      <c r="C23" s="95">
        <f>'DOE25'!F24</f>
        <v>1096553.46</v>
      </c>
      <c r="D23" s="95">
        <f>'DOE25'!G24</f>
        <v>45817.55</v>
      </c>
      <c r="E23" s="95">
        <f>'DOE25'!H24</f>
        <v>33443.1</v>
      </c>
      <c r="F23" s="95">
        <f>'DOE25'!I24</f>
        <v>0</v>
      </c>
      <c r="G23" s="95">
        <f>'DOE25'!J24</f>
        <v>0</v>
      </c>
      <c r="H23" s="124">
        <f t="shared" si="1"/>
        <v>1175814.1100000001</v>
      </c>
      <c r="I23" s="124"/>
    </row>
    <row r="24" spans="1:9" x14ac:dyDescent="0.2">
      <c r="A24" s="1" t="s">
        <v>153</v>
      </c>
      <c r="B24" s="6">
        <v>430</v>
      </c>
      <c r="C24" s="95">
        <f>'DOE25'!F25</f>
        <v>0</v>
      </c>
      <c r="D24" s="95">
        <f>'DOE25'!G25</f>
        <v>0</v>
      </c>
      <c r="E24" s="95">
        <f>'DOE25'!H25</f>
        <v>1881.3</v>
      </c>
      <c r="F24" s="95">
        <f>'DOE25'!I25</f>
        <v>0</v>
      </c>
      <c r="G24" s="24" t="s">
        <v>288</v>
      </c>
      <c r="H24" s="124">
        <f t="shared" si="1"/>
        <v>1881.3</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55130</v>
      </c>
      <c r="D27" s="95">
        <f>'DOE25'!G28</f>
        <v>0</v>
      </c>
      <c r="E27" s="95">
        <f>'DOE25'!H28</f>
        <v>0</v>
      </c>
      <c r="F27" s="95">
        <f>'DOE25'!I28</f>
        <v>0</v>
      </c>
      <c r="G27" s="24" t="s">
        <v>288</v>
      </c>
      <c r="H27" s="124">
        <f t="shared" si="1"/>
        <v>55130</v>
      </c>
      <c r="I27" s="124"/>
    </row>
    <row r="28" spans="1:9" x14ac:dyDescent="0.2">
      <c r="A28" s="1" t="s">
        <v>157</v>
      </c>
      <c r="B28" s="6">
        <v>470</v>
      </c>
      <c r="C28" s="95">
        <f>'DOE25'!F29</f>
        <v>17436.36</v>
      </c>
      <c r="D28" s="95">
        <f>'DOE25'!G29</f>
        <v>0</v>
      </c>
      <c r="E28" s="95">
        <f>'DOE25'!H29</f>
        <v>0</v>
      </c>
      <c r="F28" s="95">
        <f>'DOE25'!I29</f>
        <v>0</v>
      </c>
      <c r="G28" s="24" t="s">
        <v>288</v>
      </c>
      <c r="H28" s="124">
        <f t="shared" si="1"/>
        <v>17436.36</v>
      </c>
      <c r="I28" s="124"/>
    </row>
    <row r="29" spans="1:9" x14ac:dyDescent="0.2">
      <c r="A29" s="1" t="s">
        <v>158</v>
      </c>
      <c r="B29" s="6">
        <v>480</v>
      </c>
      <c r="C29" s="95">
        <f>'DOE25'!F30</f>
        <v>0</v>
      </c>
      <c r="D29" s="95">
        <f>'DOE25'!G30</f>
        <v>12244.36</v>
      </c>
      <c r="E29" s="95">
        <f>'DOE25'!H30</f>
        <v>0</v>
      </c>
      <c r="F29" s="95">
        <f>'DOE25'!I30</f>
        <v>0</v>
      </c>
      <c r="G29" s="24" t="s">
        <v>288</v>
      </c>
      <c r="H29" s="124">
        <f t="shared" si="1"/>
        <v>12244.36</v>
      </c>
      <c r="I29" s="124"/>
    </row>
    <row r="30" spans="1:9" ht="12" thickBot="1" x14ac:dyDescent="0.25">
      <c r="A30" s="1" t="s">
        <v>159</v>
      </c>
      <c r="B30" s="71">
        <v>490</v>
      </c>
      <c r="C30" s="95">
        <f>'DOE25'!F31</f>
        <v>2875.25</v>
      </c>
      <c r="D30" s="95">
        <f>'DOE25'!G31</f>
        <v>0</v>
      </c>
      <c r="E30" s="95">
        <f>'DOE25'!H31</f>
        <v>0</v>
      </c>
      <c r="F30" s="95">
        <f>'DOE25'!I31</f>
        <v>0</v>
      </c>
      <c r="G30" s="95">
        <f>'DOE25'!J31</f>
        <v>0</v>
      </c>
      <c r="H30" s="124">
        <f t="shared" si="1"/>
        <v>2875.25</v>
      </c>
      <c r="I30" s="124"/>
    </row>
    <row r="31" spans="1:9" ht="12" thickTop="1" x14ac:dyDescent="0.2">
      <c r="A31" s="38" t="s">
        <v>160</v>
      </c>
      <c r="B31" s="2"/>
      <c r="C31" s="41">
        <f>SUM(C21:C30)</f>
        <v>3632746.81</v>
      </c>
      <c r="D31" s="41">
        <f>SUM(D21:D30)</f>
        <v>58061.91</v>
      </c>
      <c r="E31" s="41">
        <f>SUM(E21:E30)</f>
        <v>163337.22999999998</v>
      </c>
      <c r="F31" s="41">
        <f>SUM(F21:F30)</f>
        <v>0</v>
      </c>
      <c r="G31" s="41">
        <f>SUM(G21:G30)</f>
        <v>0</v>
      </c>
      <c r="H31" s="41">
        <f t="shared" si="1"/>
        <v>3854145.95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170000</v>
      </c>
      <c r="D43" s="95">
        <f>'DOE25'!G44</f>
        <v>0</v>
      </c>
      <c r="E43" s="95">
        <f>'DOE25'!H44</f>
        <v>0</v>
      </c>
      <c r="F43" s="95">
        <f>'DOE25'!I44</f>
        <v>0</v>
      </c>
      <c r="G43" s="24" t="s">
        <v>288</v>
      </c>
      <c r="H43" s="124">
        <f t="shared" si="2"/>
        <v>170000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340638</v>
      </c>
      <c r="D45" s="24" t="s">
        <v>288</v>
      </c>
      <c r="E45" s="24" t="s">
        <v>288</v>
      </c>
      <c r="F45" s="24" t="s">
        <v>288</v>
      </c>
      <c r="G45" s="24" t="s">
        <v>288</v>
      </c>
      <c r="H45" s="124">
        <f t="shared" si="2"/>
        <v>340638</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212976.41</v>
      </c>
      <c r="E47" s="95">
        <f>'DOE25'!H48</f>
        <v>151842.79999999999</v>
      </c>
      <c r="F47" s="95">
        <f>'DOE25'!I48</f>
        <v>3231</v>
      </c>
      <c r="G47" s="95">
        <f>'DOE25'!J48</f>
        <v>1273641.6399999999</v>
      </c>
      <c r="H47" s="124">
        <f t="shared" si="2"/>
        <v>1641691.8499999999</v>
      </c>
      <c r="I47" s="124"/>
    </row>
    <row r="48" spans="1:9" x14ac:dyDescent="0.2">
      <c r="A48" s="1" t="s">
        <v>882</v>
      </c>
      <c r="B48" s="6">
        <v>753</v>
      </c>
      <c r="C48" s="95">
        <f>'DOE25'!F49</f>
        <v>1974800.72</v>
      </c>
      <c r="D48" s="95">
        <f>'DOE25'!G49</f>
        <v>0</v>
      </c>
      <c r="E48" s="95">
        <f>'DOE25'!H49</f>
        <v>0</v>
      </c>
      <c r="F48" s="95">
        <f>'DOE25'!I49</f>
        <v>0</v>
      </c>
      <c r="G48" s="95">
        <f>'DOE25'!J49</f>
        <v>0</v>
      </c>
      <c r="H48" s="124">
        <f t="shared" si="2"/>
        <v>1974800.72</v>
      </c>
      <c r="I48" s="124"/>
    </row>
    <row r="49" spans="1:9" ht="12" thickBot="1" x14ac:dyDescent="0.25">
      <c r="A49" s="29" t="s">
        <v>883</v>
      </c>
      <c r="B49" s="71">
        <v>770</v>
      </c>
      <c r="C49" s="95">
        <f>'DOE25'!F50</f>
        <v>476580.19</v>
      </c>
      <c r="D49" s="24" t="s">
        <v>288</v>
      </c>
      <c r="E49" s="24" t="s">
        <v>288</v>
      </c>
      <c r="F49" s="24" t="s">
        <v>288</v>
      </c>
      <c r="G49" s="24" t="s">
        <v>288</v>
      </c>
      <c r="H49" s="124">
        <f t="shared" si="2"/>
        <v>476580.19</v>
      </c>
      <c r="I49" s="124"/>
    </row>
    <row r="50" spans="1:9" ht="12.75" thickTop="1" thickBot="1" x14ac:dyDescent="0.25">
      <c r="A50" s="38" t="s">
        <v>884</v>
      </c>
      <c r="B50" s="48"/>
      <c r="C50" s="41">
        <f>SUM(C34:C49)</f>
        <v>2962018.9099999997</v>
      </c>
      <c r="D50" s="41">
        <f>SUM(D34:D49)</f>
        <v>212976.41</v>
      </c>
      <c r="E50" s="41">
        <f>SUM(E34:E49)</f>
        <v>151842.79999999999</v>
      </c>
      <c r="F50" s="41">
        <f>SUM(F34:F49)</f>
        <v>3231</v>
      </c>
      <c r="G50" s="41">
        <f>SUM(G34:G49)</f>
        <v>1273641.6399999999</v>
      </c>
      <c r="H50" s="41">
        <f t="shared" si="2"/>
        <v>4603710.76</v>
      </c>
      <c r="I50" s="124"/>
    </row>
    <row r="51" spans="1:9" ht="12" thickTop="1" x14ac:dyDescent="0.2">
      <c r="A51" s="38" t="s">
        <v>885</v>
      </c>
      <c r="B51" s="2"/>
      <c r="C51" s="41">
        <f>C50+C31</f>
        <v>6594765.7199999997</v>
      </c>
      <c r="D51" s="41">
        <f>D50+D31</f>
        <v>271038.32</v>
      </c>
      <c r="E51" s="41">
        <f>E50+E31</f>
        <v>315180.02999999997</v>
      </c>
      <c r="F51" s="41">
        <f>F50+F31</f>
        <v>3231</v>
      </c>
      <c r="G51" s="41">
        <f>G50+G31</f>
        <v>1273641.6399999999</v>
      </c>
      <c r="H51" s="41">
        <f t="shared" si="2"/>
        <v>8457856.7100000009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21263461</v>
      </c>
      <c r="D56" s="95">
        <f>'DOE25'!G60</f>
        <v>0</v>
      </c>
      <c r="E56" s="95">
        <f>'DOE25'!H60</f>
        <v>0</v>
      </c>
      <c r="F56" s="95">
        <f>'DOE25'!I60</f>
        <v>0</v>
      </c>
      <c r="G56" s="95">
        <f>'DOE25'!J60</f>
        <v>0</v>
      </c>
      <c r="H56" s="124">
        <f t="shared" ref="H56:H63" si="3">SUM(C56:G56)</f>
        <v>21263461</v>
      </c>
      <c r="I56"/>
    </row>
    <row r="57" spans="1:9" x14ac:dyDescent="0.2">
      <c r="A57" s="1" t="s">
        <v>164</v>
      </c>
      <c r="B57" s="6" t="s">
        <v>165</v>
      </c>
      <c r="C57" s="95">
        <f>'DOE25'!F79</f>
        <v>73020.48000000001</v>
      </c>
      <c r="D57" s="24" t="s">
        <v>288</v>
      </c>
      <c r="E57" s="95">
        <f>'DOE25'!H79</f>
        <v>0</v>
      </c>
      <c r="F57" s="24" t="s">
        <v>288</v>
      </c>
      <c r="G57" s="24" t="s">
        <v>288</v>
      </c>
      <c r="H57" s="124">
        <f t="shared" si="3"/>
        <v>73020.48000000001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1129.23</v>
      </c>
      <c r="D59" s="95">
        <f>'DOE25'!G96</f>
        <v>0</v>
      </c>
      <c r="E59" s="95">
        <f>'DOE25'!H96</f>
        <v>0</v>
      </c>
      <c r="F59" s="95">
        <f>'DOE25'!I96</f>
        <v>0</v>
      </c>
      <c r="G59" s="95">
        <f>'DOE25'!J96</f>
        <v>5881.97</v>
      </c>
      <c r="H59" s="124">
        <f t="shared" si="3"/>
        <v>7011.2000000000007</v>
      </c>
      <c r="I59"/>
    </row>
    <row r="60" spans="1:9" x14ac:dyDescent="0.2">
      <c r="A60" s="1" t="s">
        <v>170</v>
      </c>
      <c r="B60" s="118" t="s">
        <v>171</v>
      </c>
      <c r="C60" s="24" t="s">
        <v>288</v>
      </c>
      <c r="D60" s="95">
        <f>'DOE25'!G97</f>
        <v>51939.09</v>
      </c>
      <c r="E60" s="24" t="s">
        <v>288</v>
      </c>
      <c r="F60" s="24" t="s">
        <v>288</v>
      </c>
      <c r="G60" s="24" t="s">
        <v>288</v>
      </c>
      <c r="H60" s="124">
        <f t="shared" si="3"/>
        <v>51939.09</v>
      </c>
      <c r="I60"/>
    </row>
    <row r="61" spans="1:9" ht="12" thickBot="1" x14ac:dyDescent="0.25">
      <c r="A61" s="1" t="s">
        <v>172</v>
      </c>
      <c r="B61" s="118" t="s">
        <v>173</v>
      </c>
      <c r="C61" s="95">
        <f>SUM('DOE25'!F98:F110)</f>
        <v>54306.259999999995</v>
      </c>
      <c r="D61" s="95">
        <f>SUM('DOE25'!G98:G110)</f>
        <v>0</v>
      </c>
      <c r="E61" s="95">
        <f>SUM('DOE25'!H98:H110)</f>
        <v>62729.64</v>
      </c>
      <c r="F61" s="95">
        <f>SUM('DOE25'!I98:I110)</f>
        <v>0</v>
      </c>
      <c r="G61" s="95">
        <f>SUM('DOE25'!J98:J110)</f>
        <v>0</v>
      </c>
      <c r="H61" s="124">
        <f t="shared" si="3"/>
        <v>117035.9</v>
      </c>
      <c r="I61"/>
    </row>
    <row r="62" spans="1:9" ht="12.75" thickTop="1" thickBot="1" x14ac:dyDescent="0.25">
      <c r="A62" s="29" t="s">
        <v>174</v>
      </c>
      <c r="B62" s="6"/>
      <c r="C62" s="130">
        <f>SUM(C57:C61)</f>
        <v>128455.97</v>
      </c>
      <c r="D62" s="130">
        <f>SUM(D57:D61)</f>
        <v>51939.09</v>
      </c>
      <c r="E62" s="130">
        <f>SUM(E57:E61)</f>
        <v>62729.64</v>
      </c>
      <c r="F62" s="130">
        <f>SUM(F57:F61)</f>
        <v>0</v>
      </c>
      <c r="G62" s="130">
        <f>SUM(G57:G61)</f>
        <v>5881.97</v>
      </c>
      <c r="H62" s="124">
        <f t="shared" si="3"/>
        <v>249006.67</v>
      </c>
      <c r="I62"/>
    </row>
    <row r="63" spans="1:9" ht="12" thickTop="1" x14ac:dyDescent="0.2">
      <c r="A63" s="29" t="s">
        <v>175</v>
      </c>
      <c r="B63" s="6"/>
      <c r="C63" s="22">
        <f>C56+C62</f>
        <v>21391916.969999999</v>
      </c>
      <c r="D63" s="22">
        <f>D56+D62</f>
        <v>51939.09</v>
      </c>
      <c r="E63" s="22">
        <f>E56+E62</f>
        <v>62729.64</v>
      </c>
      <c r="F63" s="22">
        <f>F56+F62</f>
        <v>0</v>
      </c>
      <c r="G63" s="22">
        <f>G56+G62</f>
        <v>5881.97</v>
      </c>
      <c r="H63" s="124">
        <f t="shared" si="3"/>
        <v>21512467.669999998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5987606</v>
      </c>
      <c r="D67" s="24"/>
      <c r="E67" s="24"/>
      <c r="F67" s="24"/>
      <c r="G67" s="24"/>
      <c r="H67" s="124">
        <f t="shared" si="4"/>
        <v>5987606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5989601.21</v>
      </c>
      <c r="D70" s="139">
        <f>D69</f>
        <v>0</v>
      </c>
      <c r="E70" s="139">
        <f>E69</f>
        <v>0</v>
      </c>
      <c r="F70" s="139">
        <f>F69</f>
        <v>0</v>
      </c>
      <c r="G70" s="139">
        <f>G69</f>
        <v>0</v>
      </c>
      <c r="H70" s="124">
        <f t="shared" si="4"/>
        <v>5989601.21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115064.35</v>
      </c>
      <c r="D72" s="24" t="s">
        <v>288</v>
      </c>
      <c r="E72" s="24" t="s">
        <v>288</v>
      </c>
      <c r="F72" s="95">
        <f>'DOE25'!I123</f>
        <v>0</v>
      </c>
      <c r="G72" s="24" t="s">
        <v>288</v>
      </c>
      <c r="H72" s="124">
        <f t="shared" si="4"/>
        <v>115064.35</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22570.5</v>
      </c>
      <c r="D75" s="24" t="s">
        <v>288</v>
      </c>
      <c r="E75" s="24" t="s">
        <v>288</v>
      </c>
      <c r="F75" s="24" t="s">
        <v>288</v>
      </c>
      <c r="G75" s="24" t="s">
        <v>288</v>
      </c>
      <c r="H75" s="124">
        <f t="shared" si="4"/>
        <v>22570.5</v>
      </c>
      <c r="I75"/>
    </row>
    <row r="76" spans="1:9" x14ac:dyDescent="0.2">
      <c r="A76" s="1" t="s">
        <v>257</v>
      </c>
      <c r="B76" s="6" t="s">
        <v>179</v>
      </c>
      <c r="C76" s="95">
        <f>SUM('DOE25'!F127:F130)</f>
        <v>9875.4</v>
      </c>
      <c r="D76" s="24" t="s">
        <v>288</v>
      </c>
      <c r="E76" s="95">
        <f>SUM('DOE25'!H127:H130)</f>
        <v>8450</v>
      </c>
      <c r="F76" s="95">
        <f>SUM('DOE25'!I127:I130)</f>
        <v>0</v>
      </c>
      <c r="G76" s="24" t="s">
        <v>288</v>
      </c>
      <c r="H76" s="124">
        <f t="shared" si="4"/>
        <v>18325.400000000001</v>
      </c>
      <c r="I76"/>
    </row>
    <row r="77" spans="1:9" ht="12" thickBot="1" x14ac:dyDescent="0.25">
      <c r="A77" s="1" t="s">
        <v>258</v>
      </c>
      <c r="B77" s="6" t="s">
        <v>180</v>
      </c>
      <c r="C77" s="95">
        <f>SUM('DOE25'!F131:F135)</f>
        <v>0</v>
      </c>
      <c r="D77" s="95">
        <f>SUM('DOE25'!G131:G135)</f>
        <v>8067.44</v>
      </c>
      <c r="E77" s="95">
        <f>SUM('DOE25'!H131:H135)</f>
        <v>0</v>
      </c>
      <c r="F77" s="95">
        <f>SUM('DOE25'!I131:I135)</f>
        <v>0</v>
      </c>
      <c r="G77" s="95">
        <f>SUM('DOE25'!J131:J135)</f>
        <v>0</v>
      </c>
      <c r="H77" s="124">
        <f t="shared" si="4"/>
        <v>8067.44</v>
      </c>
      <c r="I77"/>
    </row>
    <row r="78" spans="1:9" ht="12.75" thickTop="1" thickBot="1" x14ac:dyDescent="0.25">
      <c r="A78" s="29" t="s">
        <v>259</v>
      </c>
      <c r="B78" s="6"/>
      <c r="C78" s="130">
        <f>SUM(C72:C77)</f>
        <v>147510.25</v>
      </c>
      <c r="D78" s="130">
        <f>SUM(D72:D77)</f>
        <v>8067.44</v>
      </c>
      <c r="E78" s="130">
        <f>SUM(E72:E77)</f>
        <v>8450</v>
      </c>
      <c r="F78" s="130">
        <f>SUM(F72:F77)</f>
        <v>0</v>
      </c>
      <c r="G78" s="130">
        <f>SUM(G72:G77)</f>
        <v>0</v>
      </c>
      <c r="H78" s="124">
        <f t="shared" si="4"/>
        <v>164027.69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6137111.46</v>
      </c>
      <c r="D81" s="130">
        <f>SUM(D79:D80)+D78+D70</f>
        <v>8067.44</v>
      </c>
      <c r="E81" s="130">
        <f>SUM(E79:E80)+E78+E70</f>
        <v>8450</v>
      </c>
      <c r="F81" s="130">
        <f>SUM(F79:F80)+F78+F70</f>
        <v>0</v>
      </c>
      <c r="G81" s="130">
        <f>SUM(G79:G80)+G78+G70</f>
        <v>0</v>
      </c>
      <c r="H81" s="130">
        <f t="shared" si="4"/>
        <v>6153628.9000000004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232025.28</v>
      </c>
      <c r="D88" s="326">
        <f>SUM('DOE25'!G153:G162)</f>
        <v>603719.98</v>
      </c>
      <c r="E88" s="326">
        <f>SUM('DOE25'!H153:H162)</f>
        <v>2072279.6600000001</v>
      </c>
      <c r="F88" s="326">
        <f>SUM('DOE25'!I153:I162)</f>
        <v>0</v>
      </c>
      <c r="G88" s="24" t="s">
        <v>288</v>
      </c>
      <c r="H88" s="124">
        <f t="shared" si="5"/>
        <v>2908024.92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8150.09</v>
      </c>
      <c r="D90" s="24" t="s">
        <v>288</v>
      </c>
      <c r="E90" s="24" t="s">
        <v>288</v>
      </c>
      <c r="F90" s="24" t="s">
        <v>288</v>
      </c>
      <c r="G90" s="24" t="s">
        <v>288</v>
      </c>
      <c r="H90" s="124">
        <f t="shared" si="5"/>
        <v>8150.09</v>
      </c>
    </row>
    <row r="91" spans="1:9" ht="12.75" thickTop="1" thickBot="1" x14ac:dyDescent="0.25">
      <c r="A91" s="33" t="s">
        <v>750</v>
      </c>
      <c r="C91" s="131">
        <f>SUM(C85:C90)</f>
        <v>240175.37</v>
      </c>
      <c r="D91" s="131">
        <f>SUM(D85:D90)</f>
        <v>603719.98</v>
      </c>
      <c r="E91" s="131">
        <f>SUM(E85:E90)</f>
        <v>2072279.6600000001</v>
      </c>
      <c r="F91" s="131">
        <f>SUM(F85:F90)</f>
        <v>0</v>
      </c>
      <c r="G91" s="24" t="s">
        <v>288</v>
      </c>
      <c r="H91" s="124">
        <f t="shared" si="5"/>
        <v>2916175.0100000002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10000</v>
      </c>
      <c r="E96" s="95">
        <f>'DOE25'!H180</f>
        <v>0</v>
      </c>
      <c r="F96" s="95">
        <f>'DOE25'!I180</f>
        <v>0</v>
      </c>
      <c r="G96" s="95">
        <f>'DOE25'!J180</f>
        <v>175000</v>
      </c>
      <c r="H96" s="124">
        <f t="shared" si="5"/>
        <v>185000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10000</v>
      </c>
      <c r="E103" s="86">
        <f>SUM(E93:E102)</f>
        <v>0</v>
      </c>
      <c r="F103" s="86">
        <f>SUM(F93:F102)</f>
        <v>0</v>
      </c>
      <c r="G103" s="86">
        <f>SUM(G93:G102)</f>
        <v>175000</v>
      </c>
      <c r="H103" s="86">
        <f t="shared" si="5"/>
        <v>185000</v>
      </c>
    </row>
    <row r="104" spans="1:8" ht="12.75" thickTop="1" thickBot="1" x14ac:dyDescent="0.25">
      <c r="A104" s="33" t="s">
        <v>761</v>
      </c>
      <c r="C104" s="86">
        <f>C63+C81+C91+C103</f>
        <v>27769203.800000001</v>
      </c>
      <c r="D104" s="86">
        <f>D63+D81+D91+D103</f>
        <v>673726.51</v>
      </c>
      <c r="E104" s="86">
        <f>E63+E81+E91+E103</f>
        <v>2143459.3000000003</v>
      </c>
      <c r="F104" s="86">
        <f>F63+F81+F91+F103</f>
        <v>0</v>
      </c>
      <c r="G104" s="86">
        <f>G63+G81+G103</f>
        <v>180881.97</v>
      </c>
      <c r="H104" s="86">
        <f t="shared" si="5"/>
        <v>30767271.580000002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9327388.4699999988</v>
      </c>
      <c r="D109" s="24" t="s">
        <v>288</v>
      </c>
      <c r="E109" s="95">
        <f>('DOE25'!L277)+('DOE25'!L296)+('DOE25'!L315)</f>
        <v>963635.69000000006</v>
      </c>
      <c r="F109" s="24" t="s">
        <v>288</v>
      </c>
      <c r="G109" s="24" t="s">
        <v>288</v>
      </c>
      <c r="H109" s="124">
        <f t="shared" ref="H109:H115" si="6">SUM(C109:G109)</f>
        <v>10291024.159999998</v>
      </c>
    </row>
    <row r="110" spans="1:8" x14ac:dyDescent="0.2">
      <c r="A110" t="s">
        <v>198</v>
      </c>
      <c r="B110" s="32" t="s">
        <v>199</v>
      </c>
      <c r="C110" s="95">
        <f>('DOE25'!L199)+('DOE25'!L217)+('DOE25'!L235)</f>
        <v>3987998.6400000006</v>
      </c>
      <c r="D110" s="24" t="s">
        <v>288</v>
      </c>
      <c r="E110" s="95">
        <f>('DOE25'!L278)+('DOE25'!L297)+('DOE25'!L316)</f>
        <v>292274.40000000002</v>
      </c>
      <c r="F110" s="24" t="s">
        <v>288</v>
      </c>
      <c r="G110" s="24" t="s">
        <v>288</v>
      </c>
      <c r="H110" s="124">
        <f t="shared" si="6"/>
        <v>4280273.040000001</v>
      </c>
    </row>
    <row r="111" spans="1:8" x14ac:dyDescent="0.2">
      <c r="A111" t="s">
        <v>200</v>
      </c>
      <c r="B111" s="32" t="s">
        <v>165</v>
      </c>
      <c r="C111" s="95">
        <f>('DOE25'!L200)+('DOE25'!L218)+('DOE25'!L236)</f>
        <v>118044.59</v>
      </c>
      <c r="D111" s="24" t="s">
        <v>288</v>
      </c>
      <c r="E111" s="95">
        <f>('DOE25'!L279)+('DOE25'!L298)+('DOE25'!L317)</f>
        <v>0</v>
      </c>
      <c r="F111" s="24" t="s">
        <v>288</v>
      </c>
      <c r="G111" s="24" t="s">
        <v>288</v>
      </c>
      <c r="H111" s="124">
        <f t="shared" si="6"/>
        <v>118044.59</v>
      </c>
    </row>
    <row r="112" spans="1:8" x14ac:dyDescent="0.2">
      <c r="A112" t="s">
        <v>201</v>
      </c>
      <c r="B112" s="32" t="s">
        <v>167</v>
      </c>
      <c r="C112" s="95">
        <f>('DOE25'!L201)+('DOE25'!L219)+('DOE25'!L237)</f>
        <v>654041.82999999996</v>
      </c>
      <c r="D112" s="24" t="s">
        <v>288</v>
      </c>
      <c r="E112" s="95">
        <f>+('DOE25'!L280)+('DOE25'!L299)+('DOE25'!L318)</f>
        <v>8450</v>
      </c>
      <c r="F112" s="24" t="s">
        <v>288</v>
      </c>
      <c r="G112" s="24" t="s">
        <v>288</v>
      </c>
      <c r="H112" s="124">
        <f t="shared" si="6"/>
        <v>662491.82999999996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14087473.529999999</v>
      </c>
      <c r="D115" s="86">
        <f>SUM(D109:D114)</f>
        <v>0</v>
      </c>
      <c r="E115" s="86">
        <f>SUM(E109:E114)</f>
        <v>1264360.0900000001</v>
      </c>
      <c r="F115" s="86">
        <f>SUM(F109:F114)</f>
        <v>0</v>
      </c>
      <c r="G115" s="86">
        <f>SUM(G109:G114)</f>
        <v>0</v>
      </c>
      <c r="H115" s="86">
        <f t="shared" si="6"/>
        <v>15351833.619999999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1981069.9699999997</v>
      </c>
      <c r="D118" s="24" t="s">
        <v>288</v>
      </c>
      <c r="E118" s="95">
        <f>+('DOE25'!L282)+('DOE25'!L301)+('DOE25'!L320)</f>
        <v>225280.64000000001</v>
      </c>
      <c r="F118" s="24" t="s">
        <v>288</v>
      </c>
      <c r="G118" s="24" t="s">
        <v>288</v>
      </c>
      <c r="H118" s="124">
        <f t="shared" ref="H118:H145" si="7">SUM(C118:G118)</f>
        <v>2206350.61</v>
      </c>
    </row>
    <row r="119" spans="1:8" x14ac:dyDescent="0.2">
      <c r="A119" t="s">
        <v>208</v>
      </c>
      <c r="B119" s="32" t="s">
        <v>209</v>
      </c>
      <c r="C119" s="95">
        <f>('DOE25'!L204)+('DOE25'!L222)+('DOE25'!L240)</f>
        <v>1694761.1099999999</v>
      </c>
      <c r="D119" s="24" t="s">
        <v>288</v>
      </c>
      <c r="E119" s="95">
        <f>+('DOE25'!L283)+('DOE25'!L302)+('DOE25'!L321)</f>
        <v>109174.53</v>
      </c>
      <c r="F119" s="24" t="s">
        <v>288</v>
      </c>
      <c r="G119" s="24" t="s">
        <v>288</v>
      </c>
      <c r="H119" s="124">
        <f t="shared" si="7"/>
        <v>1803935.64</v>
      </c>
    </row>
    <row r="120" spans="1:8" x14ac:dyDescent="0.2">
      <c r="A120" t="s">
        <v>210</v>
      </c>
      <c r="B120" s="32" t="s">
        <v>211</v>
      </c>
      <c r="C120" s="95">
        <f>('DOE25'!L205)+('DOE25'!L223)+('DOE25'!L241)</f>
        <v>1175194.17</v>
      </c>
      <c r="D120" s="24" t="s">
        <v>288</v>
      </c>
      <c r="E120" s="95">
        <f>+('DOE25'!L284)+('DOE25'!L303)+('DOE25'!L322)</f>
        <v>109337.95</v>
      </c>
      <c r="F120" s="24" t="s">
        <v>288</v>
      </c>
      <c r="G120" s="24" t="s">
        <v>288</v>
      </c>
      <c r="H120" s="124">
        <f t="shared" si="7"/>
        <v>1284532.1199999999</v>
      </c>
    </row>
    <row r="121" spans="1:8" x14ac:dyDescent="0.2">
      <c r="A121" t="s">
        <v>212</v>
      </c>
      <c r="B121" s="32" t="s">
        <v>213</v>
      </c>
      <c r="C121" s="95">
        <f>('DOE25'!L206)+('DOE25'!L224)+('DOE25'!L242)</f>
        <v>1280222.74</v>
      </c>
      <c r="D121" s="24" t="s">
        <v>288</v>
      </c>
      <c r="E121" s="95">
        <f>+('DOE25'!L285)+('DOE25'!L304)+('DOE25'!L323)</f>
        <v>6433.5</v>
      </c>
      <c r="F121" s="24" t="s">
        <v>288</v>
      </c>
      <c r="G121" s="24" t="s">
        <v>288</v>
      </c>
      <c r="H121" s="124">
        <f t="shared" si="7"/>
        <v>1286656.24</v>
      </c>
    </row>
    <row r="122" spans="1:8" x14ac:dyDescent="0.2">
      <c r="A122" t="s">
        <v>214</v>
      </c>
      <c r="B122" s="32" t="s">
        <v>215</v>
      </c>
      <c r="C122" s="95">
        <f>('DOE25'!L207)+('DOE25'!L225)+('DOE25'!L243)</f>
        <v>7361.93</v>
      </c>
      <c r="D122" s="24" t="s">
        <v>288</v>
      </c>
      <c r="E122" s="95">
        <f>+('DOE25'!L286)+('DOE25'!L305)+('DOE25'!L324)</f>
        <v>0</v>
      </c>
      <c r="F122" s="24" t="s">
        <v>288</v>
      </c>
      <c r="G122" s="24" t="s">
        <v>288</v>
      </c>
      <c r="H122" s="124">
        <f t="shared" si="7"/>
        <v>7361.93</v>
      </c>
    </row>
    <row r="123" spans="1:8" x14ac:dyDescent="0.2">
      <c r="A123" t="s">
        <v>216</v>
      </c>
      <c r="B123" s="32" t="s">
        <v>217</v>
      </c>
      <c r="C123" s="95">
        <f>('DOE25'!L208)+('DOE25'!L226)+('DOE25'!L244)</f>
        <v>3944321.5</v>
      </c>
      <c r="D123" s="24" t="s">
        <v>288</v>
      </c>
      <c r="E123" s="95">
        <f>+('DOE25'!L287)+('DOE25'!L306)+('DOE25'!L325)</f>
        <v>127418.62000000001</v>
      </c>
      <c r="F123" s="24" t="s">
        <v>288</v>
      </c>
      <c r="G123" s="24" t="s">
        <v>288</v>
      </c>
      <c r="H123" s="124">
        <f t="shared" si="7"/>
        <v>4071740.12</v>
      </c>
    </row>
    <row r="124" spans="1:8" x14ac:dyDescent="0.2">
      <c r="A124" t="s">
        <v>218</v>
      </c>
      <c r="B124" s="32" t="s">
        <v>219</v>
      </c>
      <c r="C124" s="95">
        <f>('DOE25'!L209)+('DOE25'!L227)+('DOE25'!L245+'DOE25'!L255)</f>
        <v>1481582.27</v>
      </c>
      <c r="D124" s="24" t="s">
        <v>288</v>
      </c>
      <c r="E124" s="95">
        <f>+('DOE25'!L288)+('DOE25'!L307)+('DOE25'!L326)</f>
        <v>65159.11</v>
      </c>
      <c r="F124" s="24" t="s">
        <v>288</v>
      </c>
      <c r="G124" s="24" t="s">
        <v>288</v>
      </c>
      <c r="H124" s="124">
        <f t="shared" si="7"/>
        <v>1546741.3800000001</v>
      </c>
    </row>
    <row r="125" spans="1:8" x14ac:dyDescent="0.2">
      <c r="A125" t="s">
        <v>220</v>
      </c>
      <c r="B125" s="32" t="s">
        <v>221</v>
      </c>
      <c r="C125" s="95">
        <f>('DOE25'!L210)+('DOE25'!L228)+('DOE25'!L246)</f>
        <v>1271554.99</v>
      </c>
      <c r="D125" s="24" t="s">
        <v>288</v>
      </c>
      <c r="E125" s="95">
        <f>+('DOE25'!L289)+('DOE25'!L308)+('DOE25'!L327)</f>
        <v>194385.02000000002</v>
      </c>
      <c r="F125" s="24" t="s">
        <v>288</v>
      </c>
      <c r="G125" s="24" t="s">
        <v>288</v>
      </c>
      <c r="H125" s="124">
        <f t="shared" si="7"/>
        <v>1465940.01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501202.78</v>
      </c>
      <c r="E127" s="24" t="s">
        <v>288</v>
      </c>
      <c r="F127" s="24" t="s">
        <v>288</v>
      </c>
      <c r="G127" s="24" t="s">
        <v>288</v>
      </c>
      <c r="H127" s="124">
        <f t="shared" si="7"/>
        <v>501202.78</v>
      </c>
    </row>
    <row r="128" spans="1:8" ht="12.75" thickTop="1" thickBot="1" x14ac:dyDescent="0.25">
      <c r="A128" s="33" t="s">
        <v>226</v>
      </c>
      <c r="C128" s="86">
        <f>SUM(C118:C127)</f>
        <v>12836068.68</v>
      </c>
      <c r="D128" s="86">
        <f>SUM(D118:D127)</f>
        <v>501202.78</v>
      </c>
      <c r="E128" s="86">
        <f>SUM(E118:E127)</f>
        <v>837189.37000000011</v>
      </c>
      <c r="F128" s="86">
        <f>SUM(F118:F127)</f>
        <v>0</v>
      </c>
      <c r="G128" s="86">
        <f>SUM(G118:G127)</f>
        <v>0</v>
      </c>
      <c r="H128" s="86">
        <f t="shared" si="7"/>
        <v>14174460.829999998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10000</v>
      </c>
      <c r="D135" s="24" t="s">
        <v>288</v>
      </c>
      <c r="E135" s="129">
        <f>'DOE25'!L346</f>
        <v>0</v>
      </c>
      <c r="F135" s="24" t="s">
        <v>288</v>
      </c>
      <c r="G135" s="24" t="s">
        <v>288</v>
      </c>
      <c r="H135" s="124">
        <f t="shared" si="7"/>
        <v>10000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592.38</v>
      </c>
      <c r="D138" s="24" t="s">
        <v>288</v>
      </c>
      <c r="E138" s="24" t="s">
        <v>288</v>
      </c>
      <c r="F138" s="24" t="s">
        <v>288</v>
      </c>
      <c r="G138" s="24" t="s">
        <v>288</v>
      </c>
      <c r="H138" s="124">
        <f t="shared" si="7"/>
        <v>592.38</v>
      </c>
    </row>
    <row r="139" spans="1:8" x14ac:dyDescent="0.2">
      <c r="A139" t="s">
        <v>239</v>
      </c>
      <c r="B139" s="32">
        <v>5252</v>
      </c>
      <c r="C139" s="95">
        <f>'DOE25'!L402</f>
        <v>180289.59000000003</v>
      </c>
      <c r="D139" s="24" t="s">
        <v>288</v>
      </c>
      <c r="E139" s="24" t="s">
        <v>288</v>
      </c>
      <c r="F139" s="24" t="s">
        <v>288</v>
      </c>
      <c r="G139" s="24" t="s">
        <v>288</v>
      </c>
      <c r="H139" s="124">
        <f t="shared" si="7"/>
        <v>180289.59000000003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-5881.9700000000303</v>
      </c>
      <c r="D141" s="24" t="s">
        <v>288</v>
      </c>
      <c r="E141" s="24" t="s">
        <v>288</v>
      </c>
      <c r="F141" s="24" t="s">
        <v>288</v>
      </c>
      <c r="G141" s="24" t="s">
        <v>288</v>
      </c>
      <c r="H141" s="124">
        <f t="shared" si="7"/>
        <v>-5881.9700000000303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185000</v>
      </c>
      <c r="D144" s="141">
        <f>SUM(D130:D143)</f>
        <v>0</v>
      </c>
      <c r="E144" s="141">
        <f>SUM(E130:E143)</f>
        <v>0</v>
      </c>
      <c r="F144" s="141">
        <f>SUM(F130:F143)</f>
        <v>0</v>
      </c>
      <c r="G144" s="141">
        <f>SUM(G130:G143)</f>
        <v>0</v>
      </c>
      <c r="H144" s="141">
        <f t="shared" si="7"/>
        <v>185000</v>
      </c>
    </row>
    <row r="145" spans="1:9" ht="12.75" thickTop="1" thickBot="1" x14ac:dyDescent="0.25">
      <c r="A145" s="33" t="s">
        <v>244</v>
      </c>
      <c r="C145" s="86">
        <f>(C115+C128+C144)</f>
        <v>27108542.210000001</v>
      </c>
      <c r="D145" s="86">
        <f>(D115+D128+D144)</f>
        <v>501202.78</v>
      </c>
      <c r="E145" s="86">
        <f>(E115+E128+E144)</f>
        <v>2101549.46</v>
      </c>
      <c r="F145" s="86">
        <f>(F115+F128+F144)</f>
        <v>0</v>
      </c>
      <c r="G145" s="86">
        <f>(G115+G128+G144)</f>
        <v>0</v>
      </c>
      <c r="H145" s="86">
        <f t="shared" si="7"/>
        <v>29711294.450000003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Inter-Lakes Cooperative</v>
      </c>
    </row>
    <row r="3" spans="1:4" x14ac:dyDescent="0.2">
      <c r="B3" s="187" t="s">
        <v>1799</v>
      </c>
    </row>
    <row r="4" spans="1:4" x14ac:dyDescent="0.2">
      <c r="B4" t="s">
        <v>61</v>
      </c>
      <c r="C4" s="178">
        <f>IF('DOE25'!F666+'DOE25'!F671=0,0,ROUND('DOE25'!F673,0))</f>
        <v>27997</v>
      </c>
    </row>
    <row r="5" spans="1:4" x14ac:dyDescent="0.2">
      <c r="B5" t="s">
        <v>700</v>
      </c>
      <c r="C5" s="178">
        <f>IF('DOE25'!G666+'DOE25'!G671=0,0,ROUND('DOE25'!G673,0))</f>
        <v>0</v>
      </c>
    </row>
    <row r="6" spans="1:4" x14ac:dyDescent="0.2">
      <c r="B6" t="s">
        <v>62</v>
      </c>
      <c r="C6" s="178">
        <f>IF('DOE25'!H666+'DOE25'!H671=0,0,ROUND('DOE25'!H673,0))</f>
        <v>29225</v>
      </c>
    </row>
    <row r="7" spans="1:4" x14ac:dyDescent="0.2">
      <c r="B7" t="s">
        <v>701</v>
      </c>
      <c r="C7" s="178">
        <f>IF('DOE25'!I666+'DOE25'!I671=0,0,ROUND('DOE25'!I673,0))</f>
        <v>28371</v>
      </c>
    </row>
    <row r="9" spans="1:4" x14ac:dyDescent="0.2">
      <c r="A9" s="186" t="s">
        <v>94</v>
      </c>
      <c r="B9" s="187" t="s">
        <v>1800</v>
      </c>
      <c r="C9" s="180" t="s">
        <v>720</v>
      </c>
      <c r="D9" s="180" t="s">
        <v>721</v>
      </c>
    </row>
    <row r="10" spans="1:4" x14ac:dyDescent="0.2">
      <c r="A10">
        <v>1100</v>
      </c>
      <c r="B10" t="s">
        <v>702</v>
      </c>
      <c r="C10" s="178">
        <f>ROUND('DOE25'!L198+'DOE25'!L216+'DOE25'!L234+'DOE25'!L277+'DOE25'!L296+'DOE25'!L315,0)</f>
        <v>10291024</v>
      </c>
      <c r="D10" s="181">
        <f>ROUND((C10/$C$28)*100,1)</f>
        <v>34.9</v>
      </c>
    </row>
    <row r="11" spans="1:4" x14ac:dyDescent="0.2">
      <c r="A11">
        <v>1200</v>
      </c>
      <c r="B11" t="s">
        <v>703</v>
      </c>
      <c r="C11" s="178">
        <f>ROUND('DOE25'!L199+'DOE25'!L217+'DOE25'!L235+'DOE25'!L278+'DOE25'!L297+'DOE25'!L316,0)</f>
        <v>4280273</v>
      </c>
      <c r="D11" s="181">
        <f>ROUND((C11/$C$28)*100,1)</f>
        <v>14.5</v>
      </c>
    </row>
    <row r="12" spans="1:4" x14ac:dyDescent="0.2">
      <c r="A12">
        <v>1300</v>
      </c>
      <c r="B12" t="s">
        <v>704</v>
      </c>
      <c r="C12" s="178">
        <f>ROUND('DOE25'!L200+'DOE25'!L218+'DOE25'!L236+'DOE25'!L279+'DOE25'!L298+'DOE25'!L317,0)</f>
        <v>118045</v>
      </c>
      <c r="D12" s="181">
        <f>ROUND((C12/$C$28)*100,1)</f>
        <v>0.4</v>
      </c>
    </row>
    <row r="13" spans="1:4" x14ac:dyDescent="0.2">
      <c r="A13">
        <v>1400</v>
      </c>
      <c r="B13" t="s">
        <v>705</v>
      </c>
      <c r="C13" s="178">
        <f>ROUND('DOE25'!L201+'DOE25'!L219+'DOE25'!L237+'DOE25'!L280+'DOE25'!L299+'DOE25'!L318,0)</f>
        <v>662492</v>
      </c>
      <c r="D13" s="181">
        <f>ROUND((C13/$C$28)*100,1)</f>
        <v>2.2000000000000002</v>
      </c>
    </row>
    <row r="14" spans="1:4" x14ac:dyDescent="0.2">
      <c r="D14" s="181"/>
    </row>
    <row r="15" spans="1:4" x14ac:dyDescent="0.2">
      <c r="A15">
        <v>2100</v>
      </c>
      <c r="B15" t="s">
        <v>706</v>
      </c>
      <c r="C15" s="178">
        <f>ROUND('DOE25'!L203+'DOE25'!L221+'DOE25'!L239+'DOE25'!L282+'DOE25'!L301+'DOE25'!L320,0)</f>
        <v>2206351</v>
      </c>
      <c r="D15" s="181">
        <f t="shared" ref="D15:D27" si="0">ROUND((C15/$C$28)*100,1)</f>
        <v>7.5</v>
      </c>
    </row>
    <row r="16" spans="1:4" x14ac:dyDescent="0.2">
      <c r="A16">
        <v>2200</v>
      </c>
      <c r="B16" t="s">
        <v>707</v>
      </c>
      <c r="C16" s="178">
        <f>ROUND('DOE25'!L204+'DOE25'!L222+'DOE25'!L240+'DOE25'!L283+'DOE25'!L302+'DOE25'!L321,0)</f>
        <v>1803936</v>
      </c>
      <c r="D16" s="181">
        <f t="shared" si="0"/>
        <v>6.1</v>
      </c>
    </row>
    <row r="17" spans="1:4" x14ac:dyDescent="0.2">
      <c r="A17" s="182" t="s">
        <v>723</v>
      </c>
      <c r="B17" t="s">
        <v>738</v>
      </c>
      <c r="C17" s="178">
        <f>ROUND('DOE25'!L205+'DOE25'!L210+'DOE25'!L223+'DOE25'!L228+'DOE25'!L241+'DOE25'!L246+'DOE25'!L284+'DOE25'!L289+'DOE25'!L303+'DOE25'!L308+'DOE25'!L322+'DOE25'!L327,0)</f>
        <v>2750472</v>
      </c>
      <c r="D17" s="181">
        <f t="shared" si="0"/>
        <v>9.3000000000000007</v>
      </c>
    </row>
    <row r="18" spans="1:4" x14ac:dyDescent="0.2">
      <c r="A18">
        <v>2400</v>
      </c>
      <c r="B18" t="s">
        <v>711</v>
      </c>
      <c r="C18" s="178">
        <f>ROUND('DOE25'!L206+'DOE25'!L224+'DOE25'!L242+'DOE25'!L285+'DOE25'!L304+'DOE25'!L323,0)</f>
        <v>1286656</v>
      </c>
      <c r="D18" s="181">
        <f t="shared" si="0"/>
        <v>4.4000000000000004</v>
      </c>
    </row>
    <row r="19" spans="1:4" x14ac:dyDescent="0.2">
      <c r="A19">
        <v>2500</v>
      </c>
      <c r="B19" t="s">
        <v>708</v>
      </c>
      <c r="C19" s="178">
        <f>ROUND('DOE25'!L207+'DOE25'!L225+'DOE25'!L243+'DOE25'!L286+'DOE25'!L305+'DOE25'!L324,0)</f>
        <v>7362</v>
      </c>
      <c r="D19" s="181">
        <f t="shared" si="0"/>
        <v>0</v>
      </c>
    </row>
    <row r="20" spans="1:4" x14ac:dyDescent="0.2">
      <c r="A20">
        <v>2600</v>
      </c>
      <c r="B20" t="s">
        <v>709</v>
      </c>
      <c r="C20" s="178">
        <f>ROUND('DOE25'!L208+'DOE25'!L226+'DOE25'!L244+'DOE25'!L287+'DOE25'!L306+'DOE25'!L325,0)</f>
        <v>4071740</v>
      </c>
      <c r="D20" s="181">
        <f t="shared" si="0"/>
        <v>13.8</v>
      </c>
    </row>
    <row r="21" spans="1:4" x14ac:dyDescent="0.2">
      <c r="A21">
        <v>2700</v>
      </c>
      <c r="B21" t="s">
        <v>710</v>
      </c>
      <c r="C21" s="178">
        <f>ROUND('DOE25'!L209+'DOE25'!L227+'DOE25'!L245+'DOE25'!L288+'DOE25'!L307+'DOE25'!L326,0)</f>
        <v>1546741</v>
      </c>
      <c r="D21" s="181">
        <f t="shared" si="0"/>
        <v>5.2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449263.91000000003</v>
      </c>
      <c r="D27" s="181">
        <f t="shared" si="0"/>
        <v>1.5</v>
      </c>
    </row>
    <row r="28" spans="1:4" x14ac:dyDescent="0.2">
      <c r="B28" s="186" t="s">
        <v>719</v>
      </c>
      <c r="C28" s="179">
        <f>SUM(C10:C27)</f>
        <v>29474355.91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29474355.91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21263461</v>
      </c>
      <c r="D35" s="181">
        <f t="shared" ref="D35:D40" si="1">ROUND((C35/$C$41)*100,1)</f>
        <v>69.599999999999994</v>
      </c>
    </row>
    <row r="36" spans="1:4" x14ac:dyDescent="0.2">
      <c r="B36" s="184" t="s">
        <v>739</v>
      </c>
      <c r="C36" s="178">
        <f>SUM('DOE25'!F112:J112)-SUM('DOE25'!G97:G110)+('DOE25'!F175+'DOE25'!F176+'DOE25'!I175+'DOE25'!I176)-C35</f>
        <v>197067.57999999821</v>
      </c>
      <c r="D36" s="181">
        <f t="shared" si="1"/>
        <v>0.6</v>
      </c>
    </row>
    <row r="37" spans="1:4" x14ac:dyDescent="0.2">
      <c r="A37" s="182" t="s">
        <v>835</v>
      </c>
      <c r="B37" s="184" t="s">
        <v>728</v>
      </c>
      <c r="C37" s="178">
        <f>ROUND('DOE25'!F117+'DOE25'!F118,0)</f>
        <v>5987606</v>
      </c>
      <c r="D37" s="181">
        <f t="shared" si="1"/>
        <v>19.600000000000001</v>
      </c>
    </row>
    <row r="38" spans="1:4" x14ac:dyDescent="0.2">
      <c r="A38" s="182" t="s">
        <v>734</v>
      </c>
      <c r="B38" s="184" t="s">
        <v>729</v>
      </c>
      <c r="C38" s="178">
        <f>ROUND(SUM('DOE25'!F140:J140)-SUM('DOE25'!F117:F119),0)</f>
        <v>166023</v>
      </c>
      <c r="D38" s="181">
        <f t="shared" si="1"/>
        <v>0.5</v>
      </c>
    </row>
    <row r="39" spans="1:4" x14ac:dyDescent="0.2">
      <c r="A39">
        <v>4000</v>
      </c>
      <c r="B39" s="184" t="s">
        <v>730</v>
      </c>
      <c r="C39" s="178">
        <f>ROUND('DOE25'!F170+'DOE25'!G170+'DOE25'!H170+'DOE25'!I170,0)</f>
        <v>2916175</v>
      </c>
      <c r="D39" s="181">
        <f t="shared" si="1"/>
        <v>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30530332.579999998</v>
      </c>
      <c r="D41" s="183">
        <f>SUM(D35:D40)</f>
        <v>99.899999999999977</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R15" sqref="R15"/>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Inter-Lakes Cooperative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2</v>
      </c>
      <c r="B4" s="218">
        <v>5</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t="s">
        <v>1803</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t="s">
        <v>1804</v>
      </c>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t="s">
        <v>1805</v>
      </c>
      <c r="B8" s="218" t="s">
        <v>1806</v>
      </c>
      <c r="C8" s="388" t="s">
        <v>1807</v>
      </c>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134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135</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264</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f>IF('School Level Expenditures'!$B$2='School Tables'!W37,'School Tables'!AD37,"")</f>
        <v>34</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f>IF('School Level Expenditures'!$B$2=A137,'School Tables'!H137,"")</f>
        <v>134</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f>IF('School Level Expenditures'!$B$2=A138,'School Tables'!H138,"")</f>
        <v>135</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f>IF('School Level Expenditures'!$B$2=A267,'School Tables'!H267,"")</f>
        <v>264</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2022-08-24T17:57:26Z</cp:lastPrinted>
  <dcterms:created xsi:type="dcterms:W3CDTF">1997-12-04T19:04:30Z</dcterms:created>
  <dcterms:modified xsi:type="dcterms:W3CDTF">2022-12-19T15:55:23Z</dcterms:modified>
</cp:coreProperties>
</file>