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DA22BA5-8619-45AF-9C2B-BE706F1E182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 i="14" l="1"/>
  <c r="E6" i="14"/>
  <c r="D38" i="14"/>
  <c r="E26" i="14"/>
  <c r="E38" i="14"/>
  <c r="D26" i="14"/>
  <c r="D6" i="14"/>
  <c r="D7" i="14"/>
  <c r="H583" i="1" l="1"/>
  <c r="F583" i="1"/>
  <c r="H529" i="1"/>
  <c r="H524" i="1"/>
  <c r="I529" i="1"/>
  <c r="G524" i="1"/>
  <c r="F524" i="1"/>
  <c r="G523" i="1"/>
  <c r="F523" i="1"/>
  <c r="I527" i="1"/>
  <c r="H527" i="1"/>
  <c r="I522" i="1"/>
  <c r="G522" i="1"/>
  <c r="F522" i="1"/>
  <c r="I523" i="1"/>
  <c r="I528" i="1"/>
  <c r="H528" i="1"/>
  <c r="I524" i="1"/>
  <c r="H523" i="1"/>
  <c r="H522" i="1"/>
  <c r="I508" i="1" l="1"/>
  <c r="I517" i="1" l="1"/>
  <c r="G503" i="1" l="1"/>
  <c r="G457" i="1" l="1"/>
  <c r="G441" i="1"/>
  <c r="H441" i="1"/>
  <c r="H416" i="1"/>
  <c r="H427" i="1"/>
  <c r="H424" i="1"/>
  <c r="H430" i="1"/>
  <c r="H401" i="1"/>
  <c r="H398" i="1"/>
  <c r="H390" i="1"/>
  <c r="H405" i="1"/>
  <c r="H404" i="1"/>
  <c r="I359" i="1"/>
  <c r="H359" i="1"/>
  <c r="F246" i="1" l="1"/>
  <c r="I244" i="1"/>
  <c r="G244" i="1"/>
  <c r="F244" i="1"/>
  <c r="H241" i="1"/>
  <c r="K240" i="1"/>
  <c r="I240" i="1"/>
  <c r="G158" i="1"/>
  <c r="G132" i="1"/>
  <c r="F110" i="1"/>
  <c r="J96" i="1"/>
  <c r="F12" i="1"/>
  <c r="F29" i="1"/>
  <c r="F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D115" i="2"/>
  <c r="F115" i="2"/>
  <c r="G11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58" i="2" l="1"/>
  <c r="I409" i="1"/>
  <c r="H135" i="2"/>
  <c r="H97" i="2"/>
  <c r="H93" i="2"/>
  <c r="H87" i="2"/>
  <c r="H80" i="2"/>
  <c r="H61" i="2"/>
  <c r="H34" i="2"/>
  <c r="H26" i="2"/>
  <c r="H22" i="2"/>
  <c r="H113" i="2"/>
  <c r="H132" i="2"/>
  <c r="H36" i="2"/>
  <c r="H38" i="2"/>
  <c r="H43" i="2"/>
  <c r="H44" i="2"/>
  <c r="H47" i="2"/>
  <c r="H48" i="2"/>
  <c r="G646" i="1"/>
  <c r="J646" i="1" s="1"/>
  <c r="G477" i="1"/>
  <c r="H624" i="1" s="1"/>
  <c r="J624" i="1" s="1"/>
  <c r="H96" i="2"/>
  <c r="H89" i="2"/>
  <c r="H72" i="2"/>
  <c r="H59" i="2"/>
  <c r="H35" i="2"/>
  <c r="H29" i="2"/>
  <c r="H24" i="2"/>
  <c r="H13" i="2"/>
  <c r="H9" i="2"/>
  <c r="E125" i="2"/>
  <c r="H125" i="2" s="1"/>
  <c r="E112" i="2"/>
  <c r="H94" i="2"/>
  <c r="H69" i="2"/>
  <c r="H30" i="2"/>
  <c r="H28" i="2"/>
  <c r="H27" i="2"/>
  <c r="H25" i="2"/>
  <c r="H17" i="2"/>
  <c r="H15" i="2"/>
  <c r="C112" i="2"/>
  <c r="H112" i="2" s="1"/>
  <c r="E120" i="2"/>
  <c r="E124" i="2"/>
  <c r="J652" i="1"/>
  <c r="H477" i="1"/>
  <c r="H625" i="1" s="1"/>
  <c r="J625" i="1" s="1"/>
  <c r="H11" i="2"/>
  <c r="G409" i="1"/>
  <c r="H646" i="1" s="1"/>
  <c r="G662" i="1"/>
  <c r="E121" i="2"/>
  <c r="H121" i="2" s="1"/>
  <c r="H120" i="2"/>
  <c r="C32" i="10"/>
  <c r="D15" i="13"/>
  <c r="C15" i="13" s="1"/>
  <c r="C12" i="10"/>
  <c r="D6" i="13"/>
  <c r="C6" i="13" s="1"/>
  <c r="E13" i="13"/>
  <c r="C13" i="13" s="1"/>
  <c r="A40" i="12"/>
  <c r="D78" i="2"/>
  <c r="D81" i="2" s="1"/>
  <c r="H77" i="2"/>
  <c r="G62" i="2"/>
  <c r="H23" i="2"/>
  <c r="H12" i="2"/>
  <c r="H8"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E144" i="2" l="1"/>
  <c r="H124" i="2"/>
  <c r="B33" i="16"/>
  <c r="H91" i="2"/>
  <c r="H85" i="2"/>
  <c r="H57" i="2"/>
  <c r="H16" i="2"/>
  <c r="H134" i="2"/>
  <c r="I663" i="1"/>
  <c r="H118" i="2"/>
  <c r="H122" i="2"/>
  <c r="G50" i="2"/>
  <c r="H50" i="2" s="1"/>
  <c r="H42" i="2"/>
  <c r="H21" i="2"/>
  <c r="H31" i="2"/>
  <c r="D128" i="2"/>
  <c r="D145" i="2" s="1"/>
  <c r="H127" i="2"/>
  <c r="H109" i="2"/>
  <c r="H123" i="2"/>
  <c r="E128" i="2"/>
  <c r="E115" i="2"/>
  <c r="H103" i="2"/>
  <c r="H78" i="2"/>
  <c r="C81" i="2"/>
  <c r="H81" i="2" s="1"/>
  <c r="H62" i="2"/>
  <c r="F194" i="1"/>
  <c r="G628" i="1" s="1"/>
  <c r="J628" i="1" s="1"/>
  <c r="E51" i="2"/>
  <c r="D51" i="2"/>
  <c r="H1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G51" i="2"/>
  <c r="H51" i="2" s="1"/>
  <c r="H115"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<sst xmlns="http://schemas.openxmlformats.org/spreadsheetml/2006/main" count="6538" uniqueCount="1808">
  <si>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</si>
  <si>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</si>
  <si>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</si>
  <si>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</si>
  <si>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</si>
  <si>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</si>
  <si>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</si>
  <si>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</si>
  <si>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</si>
  <si>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</si>
  <si>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</si>
  <si>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</si>
  <si>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</si>
  <si>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</si>
  <si>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</si>
  <si>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</si>
  <si>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</si>
  <si>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</si>
  <si>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</si>
  <si>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</si>
  <si>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</si>
  <si>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</si>
  <si>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</si>
  <si>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</si>
  <si>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</si>
  <si>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</si>
  <si>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</si>
  <si>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</si>
  <si>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</si>
  <si>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</si>
  <si>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</si>
  <si>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</si>
  <si>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</si>
  <si>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</si>
  <si>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</si>
  <si>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</si>
  <si>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</si>
  <si>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</si>
  <si>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</si>
  <si>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</si>
  <si>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</si>
  <si>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</si>
  <si>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</si>
  <si>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</si>
  <si>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</si>
  <si>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</si>
  <si>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</si>
  <si>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</si>
  <si>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</si>
  <si>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</si>
  <si>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</si>
  <si>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</si>
  <si>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</si>
  <si>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</si>
  <si>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</si>
  <si>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</si>
  <si>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</si>
  <si>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</si>
  <si>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</si>
  <si>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</si>
  <si>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</si>
  <si>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</si>
  <si>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</si>
  <si>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</si>
  <si>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</si>
  <si>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</si>
  <si>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</si>
  <si>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</si>
  <si>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</si>
  <si>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</si>
  <si>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</si>
  <si>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</si>
  <si>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</si>
  <si>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</si>
  <si>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</si>
  <si>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</si>
  <si>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</si>
  <si>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</si>
  <si>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</si>
  <si>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</si>
  <si>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</si>
  <si>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</si>
  <si>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</si>
  <si>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</si>
  <si>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</si>
  <si>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</si>
  <si>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</si>
  <si>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</si>
  <si>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</si>
  <si>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</si>
  <si>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</si>
  <si>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</si>
  <si>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</si>
  <si>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</si>
  <si>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</si>
  <si>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</si>
  <si>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</si>
  <si>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</si>
  <si>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</si>
  <si>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</si>
  <si>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</si>
  <si>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</si>
  <si>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</si>
  <si>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</si>
  <si>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</si>
  <si>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</si>
  <si>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</si>
  <si>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</si>
  <si>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</si>
  <si>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</si>
  <si>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</si>
  <si>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</si>
  <si>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</si>
  <si>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</si>
  <si>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</si>
  <si>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</si>
  <si>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</si>
  <si>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</si>
  <si>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</si>
  <si>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</si>
  <si>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</si>
  <si>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</si>
  <si>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</si>
  <si>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</si>
  <si>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</si>
  <si>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</si>
  <si>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</si>
  <si>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</si>
  <si>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</si>
  <si>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</si>
  <si>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</si>
  <si>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</si>
  <si>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</si>
  <si>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</si>
  <si>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</si>
  <si>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</si>
  <si>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</si>
  <si>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</si>
  <si>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</si>
  <si>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</si>
  <si>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</si>
  <si>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</si>
  <si>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</si>
  <si>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</si>
  <si>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</si>
  <si>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</si>
  <si>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</si>
  <si>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</si>
  <si>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</si>
  <si>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</si>
  <si>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</si>
  <si>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</si>
  <si>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</si>
  <si>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</si>
  <si>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</si>
  <si>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</si>
  <si>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</si>
  <si>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</si>
  <si>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</si>
  <si>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</si>
  <si>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</si>
  <si>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</si>
  <si>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</si>
  <si>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</si>
  <si>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</si>
  <si>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</si>
  <si>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</si>
  <si>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</si>
  <si>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</si>
  <si>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</si>
  <si>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</si>
  <si>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</si>
  <si>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</si>
  <si>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</si>
  <si>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</si>
  <si>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</si>
  <si>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</si>
  <si>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</si>
  <si>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</si>
  <si>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</si>
  <si>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</si>
  <si>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</si>
  <si>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</si>
  <si>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</si>
  <si>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</si>
  <si>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</si>
  <si>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</si>
  <si>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</si>
  <si>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</si>
  <si>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</si>
  <si>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</si>
  <si>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</si>
  <si>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</si>
  <si>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</si>
  <si>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</si>
  <si>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</si>
  <si>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</si>
  <si>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</si>
  <si>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</si>
  <si>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</si>
  <si>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</si>
  <si>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</si>
  <si>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</si>
  <si>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</si>
  <si>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</si>
  <si>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</si>
  <si>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</si>
  <si>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</si>
  <si>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</si>
  <si>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</si>
  <si>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</si>
  <si>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</si>
  <si>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</si>
  <si>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</si>
  <si>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</si>
  <si>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</si>
  <si>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</si>
  <si>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</si>
  <si>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</si>
  <si>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</si>
  <si>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</si>
  <si>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</si>
  <si>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</si>
  <si>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</si>
  <si>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</si>
  <si>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</si>
  <si>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</si>
  <si>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</si>
  <si>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</si>
  <si>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</si>
  <si>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</si>
  <si>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</si>
  <si>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</si>
  <si>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</si>
  <si>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</si>
  <si>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</si>
  <si>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</si>
  <si>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</si>
  <si>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</si>
  <si>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</si>
  <si>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</si>
  <si>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</si>
  <si>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</si>
  <si>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</si>
  <si>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</si>
  <si>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</si>
  <si>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</si>
  <si>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</si>
  <si>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</si>
  <si>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</si>
  <si>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</si>
  <si>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</si>
  <si>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</si>
  <si>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</si>
  <si>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</si>
  <si>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</si>
  <si>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</si>
  <si>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</si>
  <si>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</si>
  <si>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</si>
  <si>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</si>
  <si>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</si>
  <si>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</si>
  <si>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</si>
  <si>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</si>
  <si>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</si>
  <si>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</si>
  <si>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</si>
  <si>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</si>
  <si>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</si>
  <si>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</si>
  <si>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</si>
  <si>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</si>
  <si>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</si>
  <si>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</si>
  <si>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</si>
  <si>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</si>
  <si>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</si>
  <si>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</si>
  <si>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</si>
  <si>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</si>
  <si>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</si>
  <si>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</si>
  <si>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</si>
  <si>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</si>
  <si>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</si>
  <si>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</si>
  <si>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</si>
  <si>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</si>
  <si>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</si>
  <si>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</si>
  <si>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</si>
  <si>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</si>
  <si>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</si>
  <si>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</si>
  <si>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</si>
  <si>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</si>
  <si>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</si>
  <si>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</si>
  <si>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</si>
  <si>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</si>
  <si>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</si>
  <si>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</si>
  <si>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</si>
  <si>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</si>
  <si>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</si>
  <si>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</si>
  <si>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</si>
  <si>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</si>
  <si>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</si>
  <si>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</si>
  <si>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</si>
  <si>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</si>
  <si>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</si>
  <si>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</si>
  <si>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</si>
  <si>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</si>
  <si>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</si>
  <si>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</si>
  <si>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</si>
  <si>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</si>
  <si>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</si>
  <si>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</si>
  <si>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</si>
  <si>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</si>
  <si>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</si>
  <si>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</si>
  <si>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</si>
  <si>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</si>
  <si>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</si>
  <si>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</si>
  <si>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</si>
  <si>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</si>
  <si>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</si>
  <si>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</si>
  <si>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</si>
  <si>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</si>
  <si>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</si>
  <si>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</si>
  <si>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</si>
  <si>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</si>
  <si>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</si>
  <si>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</si>
  <si>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</si>
  <si>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</si>
  <si>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</si>
  <si>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</si>
  <si>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</si>
  <si>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</si>
  <si>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</si>
  <si>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</si>
  <si>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</si>
  <si>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</si>
  <si>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</si>
  <si>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</si>
  <si>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</si>
  <si>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</si>
  <si>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</si>
  <si>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</si>
  <si>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</si>
  <si>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</si>
  <si>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</si>
  <si>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</si>
  <si>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</si>
  <si>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</si>
  <si>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</si>
  <si>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</si>
  <si>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</si>
  <si>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</si>
  <si>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</si>
  <si>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</si>
  <si>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</si>
  <si>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</si>
  <si>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</si>
  <si>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</si>
  <si>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</si>
  <si>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</si>
  <si>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</si>
  <si>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</si>
  <si>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</si>
  <si>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</si>
  <si>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</si>
  <si>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</si>
  <si>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</si>
  <si>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</si>
  <si>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</si>
  <si>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</si>
  <si>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</si>
  <si>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</si>
  <si>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</si>
  <si>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</si>
  <si>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</si>
  <si>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</si>
  <si>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</si>
  <si>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</si>
  <si>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</si>
  <si>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</si>
  <si>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</si>
  <si>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</si>
  <si>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</si>
  <si>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</si>
  <si>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</si>
  <si>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</si>
  <si>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</si>
  <si>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</si>
  <si>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</si>
  <si>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</si>
  <si>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</si>
  <si>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</si>
  <si>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</si>
  <si>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</si>
  <si>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</si>
  <si>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</si>
  <si>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</si>
  <si>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</si>
  <si>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</si>
  <si>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</si>
  <si>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</si>
  <si>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</si>
  <si>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</si>
  <si>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</si>
  <si>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</si>
  <si>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</si>
  <si>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</si>
  <si>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</si>
  <si>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</si>
  <si>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</si>
  <si>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</si>
  <si>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</si>
  <si>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</si>
  <si>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</si>
  <si>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</si>
  <si>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</si>
  <si>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</si>
  <si>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</si>
  <si>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</si>
  <si>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</si>
  <si>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</si>
  <si>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</si>
  <si>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</si>
  <si>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</si>
  <si>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</si>
  <si>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</si>
  <si>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</si>
  <si>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</si>
  <si>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</si>
  <si>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</si>
  <si>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</si>
  <si>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</si>
  <si>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</si>
  <si>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</si>
  <si>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</si>
  <si>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</si>
  <si>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</si>
  <si>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</si>
  <si>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</si>
  <si>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</si>
  <si>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</si>
  <si>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</si>
  <si>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</si>
  <si>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</si>
  <si>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</si>
  <si>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</si>
  <si>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</si>
  <si>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</si>
  <si>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</si>
  <si>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</si>
  <si>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</si>
  <si>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</si>
  <si>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</si>
  <si>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</si>
  <si>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</si>
  <si>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</si>
  <si>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</si>
  <si>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</si>
  <si>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</si>
  <si>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</si>
  <si>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</si>
  <si>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</si>
  <si>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</si>
  <si>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</si>
  <si>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</si>
  <si>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</si>
  <si>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</si>
  <si>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</si>
  <si>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</si>
  <si>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</si>
  <si>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</si>
  <si>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</si>
  <si>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</si>
  <si>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</si>
  <si>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</si>
  <si>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</si>
  <si>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</si>
  <si>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</si>
  <si>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</si>
  <si>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</si>
  <si>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</si>
  <si>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</si>
  <si>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</si>
  <si>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</si>
  <si>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</si>
  <si>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</si>
  <si>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</si>
  <si>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</si>
  <si>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</si>
  <si>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</si>
  <si>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</si>
  <si>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</si>
  <si>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</si>
  <si>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</si>
  <si>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</si>
  <si>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</si>
  <si>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</si>
  <si>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</si>
  <si>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</si>
  <si>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</si>
  <si>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</si>
  <si>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</si>
  <si>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</si>
  <si>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</si>
  <si>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</si>
  <si>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</si>
  <si>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</si>
  <si>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</si>
  <si>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</si>
  <si>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</si>
  <si>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</si>
  <si>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</si>
  <si>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</si>
  <si>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</si>
  <si>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</si>
  <si>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</si>
  <si>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</si>
  <si>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</si>
  <si>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</si>
  <si>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</si>
  <si>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</si>
  <si>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</si>
  <si>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</si>
  <si>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</si>
  <si>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</si>
  <si>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</si>
  <si>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</si>
  <si>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</si>
  <si>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</si>
  <si>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</si>
  <si>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</si>
  <si>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</si>
  <si>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</si>
  <si>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</si>
  <si>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</si>
  <si>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</si>
  <si>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</si>
  <si>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</si>
  <si>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</si>
  <si>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</si>
  <si>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</si>
  <si>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</si>
  <si>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</si>
  <si>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</si>
  <si>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</si>
  <si>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</si>
  <si>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</si>
  <si>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</si>
  <si>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</si>
  <si>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</si>
  <si>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</si>
  <si>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</si>
  <si>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</si>
  <si>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</si>
  <si>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</si>
  <si>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</si>
  <si>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</si>
  <si>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</si>
  <si>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</si>
  <si>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</si>
  <si>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</si>
  <si>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</si>
  <si>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</si>
  <si>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</si>
  <si>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</si>
  <si>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</si>
  <si>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</si>
  <si>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</si>
  <si>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</si>
  <si>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</si>
  <si>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</si>
  <si>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</si>
  <si>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</si>
  <si>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</si>
  <si>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</si>
  <si>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</si>
  <si>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</si>
  <si>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</si>
  <si>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</si>
  <si>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</si>
  <si>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</si>
  <si>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</si>
  <si>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</si>
  <si>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</si>
  <si>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</si>
  <si>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</si>
  <si>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</si>
  <si>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</si>
  <si>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</si>
  <si>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</si>
  <si>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</si>
  <si>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</si>
  <si>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</si>
  <si>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</si>
  <si>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</si>
  <si>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</si>
  <si>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</si>
  <si>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</si>
  <si>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</si>
  <si>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</si>
  <si>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</si>
  <si>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</si>
  <si>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</si>
  <si>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</si>
  <si>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</si>
  <si>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</si>
  <si>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</si>
  <si>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</si>
  <si>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</si>
  <si>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</si>
  <si>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</si>
  <si>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</si>
  <si>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</si>
  <si>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</si>
  <si>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</si>
  <si>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</si>
  <si>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</si>
  <si>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</si>
  <si>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</si>
  <si>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</si>
  <si>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</si>
  <si>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</si>
  <si>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</si>
  <si>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</si>
  <si>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</si>
  <si>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</si>
  <si>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</si>
  <si>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</si>
  <si>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</si>
  <si>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</si>
  <si>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</si>
  <si>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</si>
  <si>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</si>
  <si>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</si>
  <si>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</si>
  <si>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</si>
  <si>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</si>
  <si>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</si>
  <si>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</si>
  <si>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</si>
  <si>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</si>
  <si>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</si>
  <si>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</si>
  <si>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</si>
  <si>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</si>
  <si>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</si>
  <si>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</si>
  <si>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</si>
  <si>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</si>
  <si>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</si>
  <si>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</si>
  <si>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</si>
  <si>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</si>
  <si>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</si>
  <si>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</si>
  <si>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</si>
  <si>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</si>
  <si>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</si>
  <si>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</si>
  <si>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</si>
  <si>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</si>
  <si>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</si>
  <si>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</si>
  <si>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</si>
  <si>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</si>
  <si>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</si>
  <si>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</si>
  <si>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</si>
  <si>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</si>
  <si>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</si>
  <si>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</si>
  <si>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</si>
  <si>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</si>
  <si>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</si>
  <si>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</si>
  <si>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</si>
  <si>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</si>
  <si>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</si>
  <si>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</si>
  <si>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</si>
  <si>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</si>
  <si>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</si>
  <si>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</si>
  <si>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</si>
  <si>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</si>
  <si>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</si>
  <si>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</si>
  <si>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</si>
  <si>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</si>
  <si>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</si>
  <si>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</si>
  <si>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</si>
  <si>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</si>
  <si>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</si>
  <si>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</si>
  <si>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</si>
  <si>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</si>
  <si>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</si>
  <si>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</si>
  <si>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</si>
  <si>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</si>
  <si>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</si>
  <si>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</si>
  <si>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</si>
  <si>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</si>
  <si>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</si>
  <si>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</si>
  <si>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</si>
  <si>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</si>
  <si>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</si>
  <si>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</si>
  <si>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</si>
  <si>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</si>
  <si>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</si>
  <si>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</si>
  <si>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</si>
  <si>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</si>
  <si>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</si>
  <si>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</si>
  <si>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</si>
  <si>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</si>
  <si>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</si>
  <si>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</si>
  <si>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</si>
  <si>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</si>
  <si>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</si>
  <si>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</si>
  <si>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</si>
  <si>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</si>
  <si>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</si>
  <si>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</si>
  <si>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</si>
  <si>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</si>
  <si>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</si>
  <si>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</si>
  <si>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</si>
  <si>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</si>
  <si>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</si>
  <si>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</si>
  <si>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</si>
  <si>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</si>
  <si>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</si>
  <si>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</si>
  <si>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</si>
  <si>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</si>
  <si>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</si>
  <si>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</si>
  <si>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</si>
  <si>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</si>
  <si>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</si>
  <si>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</si>
  <si>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</si>
  <si>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</si>
  <si>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</si>
  <si>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</si>
  <si>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</si>
  <si>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</si>
  <si>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</si>
  <si>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</si>
  <si>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</si>
  <si>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</si>
  <si>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</si>
  <si>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</si>
  <si>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</si>
  <si>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</si>
  <si>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</si>
  <si>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</si>
  <si>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</si>
  <si>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</si>
  <si>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</si>
  <si>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</si>
  <si>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</si>
  <si>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</si>
  <si>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</si>
  <si>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</si>
  <si>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</si>
  <si>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</si>
  <si>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</si>
  <si>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</si>
  <si>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</si>
  <si>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</si>
  <si>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</si>
  <si>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</si>
  <si>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</si>
  <si>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</si>
  <si>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</si>
  <si>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</si>
  <si>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</si>
  <si>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</si>
  <si>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</si>
  <si>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</si>
  <si>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</si>
  <si>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</si>
  <si>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</si>
  <si>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</si>
  <si>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</si>
  <si>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</si>
  <si>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</si>
  <si>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</si>
  <si>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</si>
  <si>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</si>
  <si>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</si>
  <si>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</si>
  <si>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</si>
  <si>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</si>
  <si>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</si>
  <si>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</si>
  <si>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</si>
  <si>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</si>
  <si>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</si>
  <si>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</si>
  <si>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</si>
  <si>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</si>
  <si>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</si>
  <si>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</si>
  <si>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</si>
  <si>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</si>
  <si>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</si>
  <si>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</si>
  <si>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</si>
  <si>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</si>
  <si>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</si>
  <si>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</si>
  <si>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</si>
  <si>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</si>
  <si>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</si>
  <si>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</si>
  <si>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</si>
  <si>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</si>
  <si>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</si>
  <si>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</si>
  <si>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</si>
  <si>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</si>
  <si>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</si>
  <si>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</si>
  <si>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</si>
  <si>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</si>
  <si>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</si>
  <si>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</si>
  <si>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</si>
  <si>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</si>
  <si>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</si>
  <si>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</si>
  <si>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</si>
  <si>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</si>
  <si>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</si>
  <si>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</si>
  <si>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</si>
  <si>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</si>
  <si>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</si>
  <si>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</si>
  <si>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</si>
  <si>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</si>
  <si>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</si>
  <si>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</si>
  <si>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</si>
  <si>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</si>
  <si>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</si>
  <si>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</si>
  <si>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</si>
  <si>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</si>
  <si>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</si>
  <si>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</si>
  <si>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</si>
  <si>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</si>
  <si>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</si>
  <si>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</si>
  <si>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</si>
  <si>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</si>
  <si>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</si>
  <si>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</si>
  <si>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</si>
  <si>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</si>
  <si>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</si>
  <si>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</si>
  <si>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</si>
  <si>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</si>
  <si>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</si>
  <si>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</si>
  <si>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</si>
  <si>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</si>
  <si>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</si>
  <si>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</si>
  <si>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</si>
  <si>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</si>
  <si>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</si>
  <si>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</si>
  <si>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</si>
  <si>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</si>
  <si>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</si>
  <si>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</si>
  <si>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</si>
  <si>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</si>
  <si>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</si>
  <si>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</si>
  <si>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</si>
  <si>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</si>
  <si>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</si>
  <si>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</si>
  <si>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</si>
  <si>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</si>
  <si>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</si>
  <si>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</si>
  <si>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</si>
  <si>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</si>
  <si>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</si>
  <si>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</si>
  <si>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</si>
  <si>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</si>
  <si>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</si>
  <si>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</si>
  <si>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</si>
  <si>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</si>
  <si>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</si>
  <si>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</si>
  <si>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</si>
  <si>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</si>
  <si>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</si>
  <si>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</si>
  <si>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</si>
  <si>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</si>
  <si>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</si>
  <si>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</si>
  <si>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</si>
  <si>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</si>
  <si>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</si>
  <si>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</si>
  <si>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</si>
  <si>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</si>
  <si>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</si>
  <si>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</si>
  <si>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</si>
  <si>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</si>
  <si>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</si>
  <si>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</si>
  <si>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</si>
  <si>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</si>
  <si>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</si>
  <si>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</si>
  <si>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</si>
  <si>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</si>
  <si>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</si>
  <si>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</si>
  <si>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</si>
  <si>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</si>
  <si>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</si>
  <si>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</si>
  <si>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</si>
  <si>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</si>
  <si>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</si>
  <si>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</si>
  <si>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</si>
  <si>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</si>
  <si>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</si>
  <si>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</si>
  <si>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</si>
  <si>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</si>
  <si>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</si>
  <si>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</si>
  <si>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</si>
  <si>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</si>
  <si>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</si>
  <si>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</si>
  <si>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</si>
  <si>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</si>
  <si>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</si>
  <si>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</si>
  <si>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</si>
  <si>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</si>
  <si>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</si>
  <si>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</si>
  <si>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</si>
  <si>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</si>
  <si>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</si>
  <si>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</si>
  <si>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</si>
  <si>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</si>
  <si>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</si>
  <si>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</si>
  <si>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</si>
  <si>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</si>
  <si>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</si>
  <si>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</si>
  <si>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</si>
  <si>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</si>
  <si>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</si>
  <si>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</si>
  <si>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</si>
  <si>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</si>
  <si>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</si>
  <si>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</si>
  <si>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</si>
  <si>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</si>
  <si>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</si>
  <si>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</si>
  <si>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</si>
  <si>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</si>
  <si>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</si>
  <si>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</si>
  <si>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</si>
  <si>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</si>
  <si>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</si>
  <si>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</si>
  <si>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</si>
  <si>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</si>
  <si>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</si>
  <si>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</si>
  <si>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</si>
  <si>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</si>
  <si>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</si>
  <si>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</si>
  <si>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</si>
  <si>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</si>
  <si>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</si>
  <si>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</si>
  <si>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</si>
  <si>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</si>
  <si>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</si>
  <si>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</si>
  <si>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</si>
  <si>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</si>
  <si>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</si>
  <si>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</si>
  <si>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</si>
  <si>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</si>
  <si>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</si>
  <si>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</si>
  <si>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</si>
  <si>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</si>
  <si>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</si>
  <si>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</si>
  <si>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</si>
  <si>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</si>
  <si>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</si>
  <si>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</si>
  <si>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</si>
  <si>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</si>
  <si>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</si>
  <si>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</si>
  <si>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</si>
  <si>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</si>
  <si>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</si>
  <si>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</si>
  <si>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</si>
  <si>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</si>
  <si>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</si>
  <si>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</si>
  <si>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</si>
  <si>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</si>
  <si>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</si>
  <si>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</si>
  <si>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</si>
  <si>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</si>
  <si>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</si>
  <si>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</si>
  <si>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</si>
  <si>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</si>
  <si>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</si>
  <si>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</si>
  <si>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</si>
  <si>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</si>
  <si>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</si>
  <si>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</si>
  <si>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</si>
  <si>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</si>
  <si>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</si>
  <si>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</si>
  <si>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</si>
  <si>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</si>
  <si>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</si>
  <si>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</si>
  <si>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</si>
  <si>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</si>
  <si>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</si>
  <si>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</si>
  <si>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</si>
  <si>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</si>
  <si>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</si>
  <si>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</si>
  <si>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</si>
  <si>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</si>
  <si>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</si>
  <si>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</si>
  <si>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</si>
  <si>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</si>
  <si>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</si>
  <si>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</si>
  <si>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</si>
  <si>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</si>
  <si>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</si>
  <si>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</si>
  <si>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</si>
  <si>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</si>
  <si>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</si>
  <si>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</si>
  <si>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</si>
  <si>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</si>
  <si>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</si>
  <si>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</si>
  <si>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</si>
  <si>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</si>
  <si>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</si>
  <si>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</si>
  <si>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</si>
  <si>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</si>
  <si>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</si>
  <si>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</si>
  <si>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</si>
  <si>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</si>
  <si>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</si>
  <si>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</si>
  <si>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</si>
  <si>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</si>
  <si>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</si>
  <si>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</si>
  <si>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</si>
  <si>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</si>
  <si>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</si>
  <si>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</si>
  <si>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</si>
  <si>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</si>
  <si>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</si>
  <si>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</si>
  <si>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</si>
  <si>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</si>
  <si>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</si>
  <si>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</si>
  <si>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</si>
  <si>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</si>
  <si>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</si>
  <si>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</si>
  <si>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</si>
  <si>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</si>
  <si>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</si>
  <si>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</si>
  <si>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</si>
  <si>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</si>
  <si>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</si>
  <si>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</si>
  <si>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</si>
  <si>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</si>
  <si>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</si>
  <si>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</si>
  <si>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</si>
  <si>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</si>
  <si>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</si>
  <si>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</si>
  <si>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</si>
  <si>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</si>
  <si>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</si>
  <si>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</si>
  <si>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</si>
  <si>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</si>
  <si>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</si>
  <si>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</si>
  <si>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</si>
  <si>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</si>
  <si>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</si>
  <si>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</si>
  <si>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</si>
  <si>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</si>
  <si>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</si>
  <si>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</si>
  <si>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</si>
  <si>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</si>
  <si>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</si>
  <si>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</si>
  <si>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</si>
  <si>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</si>
  <si>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</si>
  <si>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</si>
  <si>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</si>
  <si>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</si>
  <si>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</si>
  <si>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</si>
  <si>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</si>
  <si>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</si>
  <si>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</si>
  <si>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</si>
  <si>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</si>
  <si>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</si>
  <si>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</si>
  <si>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</si>
  <si>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</si>
  <si>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</si>
  <si>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</si>
  <si>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</si>
  <si>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</si>
  <si>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</si>
  <si>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</si>
  <si>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</si>
  <si>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</si>
  <si>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</si>
  <si>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</si>
  <si>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</si>
  <si>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</si>
  <si>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</si>
  <si>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</si>
  <si>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</si>
  <si>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</si>
  <si>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</si>
  <si>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</si>
  <si>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</si>
  <si>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</si>
  <si>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</si>
  <si>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</si>
  <si>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</si>
  <si>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</si>
  <si>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</si>
  <si>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</si>
  <si>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</si>
  <si>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</si>
  <si>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</si>
  <si>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</si>
  <si>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</si>
  <si>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</si>
  <si>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</si>
  <si>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</si>
  <si>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</si>
  <si>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</si>
  <si>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</si>
  <si>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</si>
  <si>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</si>
  <si>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</si>
  <si>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</si>
  <si>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</si>
  <si>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</si>
  <si>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</si>
  <si>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</si>
  <si>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</si>
  <si>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</si>
  <si>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</si>
  <si>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</si>
  <si>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</si>
  <si>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</si>
  <si>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</si>
  <si>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</si>
  <si>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</si>
  <si>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</si>
  <si>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</si>
  <si>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</si>
  <si>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</si>
  <si>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</si>
  <si>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</si>
  <si>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</si>
  <si>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</si>
  <si>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</si>
  <si>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</si>
  <si>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</si>
  <si>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</si>
  <si>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</si>
  <si>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</si>
  <si>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</si>
  <si>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</si>
  <si>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</si>
  <si>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</si>
  <si>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</si>
  <si>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</si>
  <si>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</si>
  <si>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</si>
  <si>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</si>
  <si>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</si>
  <si>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</si>
  <si>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</si>
  <si>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</si>
  <si>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</si>
  <si>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</si>
  <si>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</si>
  <si>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</si>
  <si>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</si>
  <si>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</si>
  <si>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</si>
  <si>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</si>
  <si>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</si>
  <si>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</si>
  <si>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</si>
  <si>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</si>
  <si>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</si>
  <si>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</si>
  <si>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</si>
  <si>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</si>
  <si>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</si>
  <si>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</si>
  <si>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</si>
  <si>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</si>
  <si>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</si>
  <si>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</si>
  <si>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</si>
  <si>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</si>
  <si>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</si>
  <si>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</si>
  <si>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</si>
  <si>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</si>
  <si>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</si>
  <si>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</si>
  <si>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</si>
  <si>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</si>
  <si>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</si>
  <si>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</si>
  <si>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</si>
  <si>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</si>
  <si>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</si>
  <si>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</si>
  <si>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</si>
  <si>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</si>
  <si>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</si>
  <si>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</si>
  <si>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</si>
  <si>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</si>
  <si>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</si>
  <si>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</si>
  <si>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</si>
  <si>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</si>
  <si>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</si>
  <si>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</si>
  <si>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</si>
  <si>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</si>
  <si>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</si>
  <si>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</si>
  <si>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</si>
  <si>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</si>
  <si>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</si>
  <si>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</si>
  <si>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</si>
  <si>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</si>
  <si>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</si>
  <si>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</si>
  <si>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</si>
  <si>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</si>
  <si>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</si>
  <si>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</si>
  <si>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</si>
  <si>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</si>
  <si>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</si>
  <si>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</si>
  <si>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</si>
  <si>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</si>
  <si>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</si>
  <si>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</si>
  <si>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</si>
  <si>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</si>
  <si>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</si>
  <si>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</si>
  <si>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</si>
  <si>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</si>
  <si>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</si>
  <si>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</si>
  <si>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</si>
  <si>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</si>
  <si>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</si>
  <si>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</si>
  <si>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</si>
  <si>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</si>
  <si>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</si>
  <si>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</si>
  <si>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</si>
  <si>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</si>
  <si>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</si>
  <si>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</si>
  <si>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</si>
  <si>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</si>
  <si>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</si>
  <si>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</si>
  <si>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</si>
  <si>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</si>
  <si>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</si>
  <si>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</si>
  <si>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</si>
  <si>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</si>
  <si>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</si>
  <si>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</si>
  <si>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</si>
  <si>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</si>
  <si>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</si>
  <si>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</si>
  <si>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</si>
  <si>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</si>
  <si>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</si>
  <si>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</si>
  <si>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</si>
  <si>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</si>
  <si>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</si>
  <si>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</si>
  <si>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</si>
  <si>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</si>
  <si>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</si>
  <si>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</si>
  <si>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</si>
  <si>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</si>
  <si>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</si>
  <si>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</si>
  <si>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</si>
  <si>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</si>
  <si>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</si>
  <si>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</si>
  <si>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</si>
  <si>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</si>
  <si>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</si>
  <si>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</si>
  <si>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</si>
  <si>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</si>
  <si>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</si>
  <si>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</si>
  <si>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</si>
  <si>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</si>
  <si>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</si>
  <si>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</si>
  <si>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</si>
  <si>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</si>
  <si>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</si>
  <si>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</si>
  <si>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</si>
  <si>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</si>
  <si>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</si>
  <si>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</si>
  <si>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</si>
  <si>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</si>
  <si>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</si>
  <si>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</si>
  <si>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</si>
  <si>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</si>
  <si>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</si>
  <si>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</si>
  <si>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</si>
  <si>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</si>
  <si>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</si>
  <si>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</si>
  <si>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</si>
  <si>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</si>
  <si>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</si>
  <si>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</si>
  <si>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</si>
  <si>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</si>
  <si>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</si>
  <si>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</si>
  <si>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</si>
  <si>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</si>
  <si>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</si>
  <si>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</si>
  <si>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</si>
  <si>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</si>
  <si>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</si>
  <si>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</si>
  <si>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</si>
  <si>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</si>
  <si>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</si>
  <si>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</si>
  <si>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</si>
  <si>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</si>
  <si>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</si>
  <si>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</si>
  <si>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</si>
  <si>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</si>
  <si>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</si>
  <si>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</si>
  <si>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</si>
  <si>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</si>
  <si>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</si>
  <si>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</si>
  <si>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</si>
  <si>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</si>
  <si>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</si>
  <si>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</si>
  <si>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</si>
  <si>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</si>
  <si>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</si>
  <si>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</si>
  <si>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</si>
  <si>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</si>
  <si>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</si>
  <si>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</si>
  <si>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</si>
  <si>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</si>
  <si>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</si>
  <si>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</si>
  <si>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</si>
  <si>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</si>
  <si>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</si>
  <si>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</si>
  <si>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</si>
  <si>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</si>
  <si>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</si>
  <si>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</si>
  <si>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</si>
  <si>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</si>
  <si>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</si>
  <si>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</si>
  <si>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</si>
  <si>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</si>
  <si>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</si>
  <si>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</si>
  <si>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</si>
  <si>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</si>
  <si>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</si>
  <si>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</si>
  <si>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</si>
  <si>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</si>
  <si>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</si>
  <si>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</si>
  <si>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</si>
  <si>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</si>
  <si>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</si>
  <si>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</si>
  <si>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</si>
  <si>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</si>
  <si>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</si>
  <si>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</si>
  <si>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</si>
  <si>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</si>
  <si>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</si>
  <si>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</si>
  <si>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</si>
  <si>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</si>
  <si>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</si>
  <si>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</si>
  <si>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</si>
  <si>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</si>
  <si>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</si>
  <si>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</si>
  <si>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</si>
  <si>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</si>
  <si>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</si>
  <si>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</si>
  <si>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</si>
  <si>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</si>
  <si>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</si>
  <si>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</si>
  <si>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</si>
  <si>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</si>
  <si>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</si>
  <si>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</si>
  <si>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</si>
  <si>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</si>
  <si>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</si>
  <si>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</si>
  <si>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</si>
  <si>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</si>
  <si>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</si>
  <si>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</si>
  <si>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</si>
  <si>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</si>
  <si>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</si>
  <si>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</si>
  <si>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</si>
  <si>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</si>
  <si>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</si>
  <si>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</si>
  <si>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</si>
  <si>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</si>
  <si>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</si>
  <si>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</si>
  <si>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</si>
  <si>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</si>
  <si>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</si>
  <si>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</si>
  <si>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</si>
  <si>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</si>
  <si>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</si>
  <si>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</si>
  <si>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</si>
  <si>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</si>
  <si>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</si>
  <si>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</si>
  <si>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</si>
  <si>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</si>
  <si>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</si>
  <si>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</si>
  <si>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</si>
  <si>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</si>
  <si>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</si>
  <si>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</si>
  <si>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</si>
  <si>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</si>
  <si>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</si>
  <si>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</si>
  <si>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</si>
  <si>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</si>
  <si>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</si>
  <si>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</si>
  <si>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</si>
  <si>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</si>
  <si>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</si>
  <si>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</si>
  <si>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</si>
  <si>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</si>
  <si>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</si>
  <si>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</si>
  <si>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</si>
  <si>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</si>
  <si>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</si>
  <si>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</si>
  <si>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</si>
  <si>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</si>
  <si>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</si>
  <si>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</si>
  <si>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</si>
  <si>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</si>
  <si>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</si>
  <si>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</si>
  <si>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</si>
  <si>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</si>
  <si>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</si>
  <si>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</si>
  <si>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</si>
  <si>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</si>
  <si>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</si>
  <si>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</si>
  <si>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</si>
  <si>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</si>
  <si>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</si>
  <si>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</si>
  <si>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</si>
  <si>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</si>
  <si>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</si>
  <si>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</si>
  <si>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</si>
  <si>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</si>
  <si>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</si>
  <si>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</si>
  <si>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</si>
  <si>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</si>
  <si>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</si>
  <si>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</si>
  <si>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</si>
  <si>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</si>
  <si>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</si>
  <si>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</si>
  <si>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</si>
  <si>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</si>
  <si>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</si>
  <si>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</si>
  <si>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</si>
  <si>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</si>
  <si>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</si>
  <si>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</si>
  <si>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</si>
  <si>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</si>
  <si>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</si>
  <si>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</si>
  <si>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</si>
  <si>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</si>
  <si>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</si>
  <si>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</si>
  <si>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</si>
  <si>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</si>
  <si>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</si>
  <si>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</si>
  <si>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</si>
  <si>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</si>
  <si>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</si>
  <si>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</si>
  <si>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</si>
  <si>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</si>
  <si>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</si>
  <si>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</si>
  <si>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</si>
  <si>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</si>
  <si>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</si>
  <si>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</si>
  <si>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</si>
  <si>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</si>
  <si>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</si>
  <si>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</si>
  <si>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</si>
  <si>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</si>
  <si>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</si>
  <si>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</si>
  <si>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</si>
  <si>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</si>
  <si>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</si>
  <si>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</si>
  <si>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</si>
  <si>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</si>
  <si>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</si>
  <si>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</si>
  <si>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</si>
  <si>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</si>
  <si>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</si>
  <si>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</si>
  <si>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</si>
  <si>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</si>
  <si>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</si>
  <si>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</si>
  <si>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</si>
  <si>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</si>
  <si>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</si>
  <si>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</si>
  <si>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</si>
  <si>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</si>
  <si>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</si>
  <si>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</si>
  <si>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</si>
  <si>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</si>
  <si>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</si>
  <si>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</si>
  <si>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</si>
  <si>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</si>
  <si>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</si>
  <si>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</si>
  <si>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</si>
  <si>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</si>
  <si>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</si>
  <si>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</si>
  <si>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</si>
  <si>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</si>
  <si>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</si>
  <si>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</si>
  <si>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</si>
  <si>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</si>
  <si>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</si>
  <si>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</si>
  <si>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</si>
  <si>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</si>
  <si>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</si>
  <si>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</si>
  <si>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</si>
  <si>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</si>
  <si>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</si>
  <si>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</si>
  <si>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</si>
  <si>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</si>
  <si>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</si>
  <si>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</si>
  <si>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</si>
  <si>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</si>
  <si>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</si>
  <si>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</si>
  <si>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</si>
  <si>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</si>
  <si>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</si>
  <si>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</si>
  <si>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</si>
  <si>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</si>
  <si>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</si>
  <si>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</si>
  <si>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</si>
  <si>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</si>
  <si>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</si>
  <si>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</si>
  <si>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</si>
  <si>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</si>
  <si>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</si>
  <si>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</si>
  <si>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</si>
  <si>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</si>
  <si>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</si>
  <si>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</si>
  <si>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</si>
  <si>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</si>
  <si>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</si>
  <si>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</si>
  <si>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</si>
  <si>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</si>
  <si>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</si>
  <si>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</si>
  <si>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</si>
  <si>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</si>
  <si>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</si>
  <si>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</si>
  <si>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</si>
  <si>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</si>
  <si>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</si>
  <si>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</si>
  <si>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</si>
  <si>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</si>
  <si>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</si>
  <si>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</si>
  <si>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</si>
  <si>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</si>
  <si>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</si>
  <si>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</si>
  <si>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</si>
  <si>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</si>
  <si>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</si>
  <si>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</si>
  <si>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</si>
  <si>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</si>
  <si>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</si>
  <si>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</si>
  <si>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</si>
  <si>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</si>
  <si>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</si>
  <si>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</si>
  <si>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</si>
  <si>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</si>
  <si>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Private Purpose Trusts (Scholarships)</t>
  </si>
  <si>
    <t>Permanent Funds</t>
  </si>
  <si>
    <t>07/06</t>
  </si>
  <si>
    <t>07/17</t>
  </si>
  <si>
    <t>08/21</t>
  </si>
  <si>
    <t>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</si>
</sst>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xf numFmtId="0" fontId="1" fillId="0" borderId="0"/>
  </cellStyleXfs>
  <cellXfs count="404">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5" fillId="0" borderId="0" xfId="0" applyNumberFormat="1" applyFont="1" applyAlignment="1" applyProtection="1">
      <alignment horizontal="center"/>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1143</v>
      </c>
      <c r="B2" s="126">
        <f>INDEX('School Tables'!$AH$3:$AH$208,MATCH('DOE25'!A2,'School Tables'!$AJ$3:$AJ$208,0))</f>
        <v>274</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873704.83+4000</f>
        <v>877704.83</v>
      </c>
      <c r="G9" s="18">
        <v>31.62</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3003397.08</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161721.31+154697.25</f>
        <v>316418.56</v>
      </c>
      <c r="G12" s="18">
        <v>107979.15</v>
      </c>
      <c r="H12" s="18"/>
      <c r="I12" s="18"/>
      <c r="J12" s="67">
        <f>SUM(I442)</f>
        <v>64135.21</v>
      </c>
      <c r="K12" s="24" t="s">
        <v>288</v>
      </c>
      <c r="L12" s="24" t="s">
        <v>288</v>
      </c>
      <c r="M12" s="8"/>
      <c r="N12" s="265"/>
    </row>
    <row r="13" spans="1:14" s="3" customFormat="1" ht="12.2" customHeight="1" x14ac:dyDescent="0.15">
      <c r="A13" s="1" t="s">
        <v>604</v>
      </c>
      <c r="B13" s="2" t="s">
        <v>289</v>
      </c>
      <c r="C13" s="6">
        <v>5</v>
      </c>
      <c r="D13" s="2" t="s">
        <v>428</v>
      </c>
      <c r="E13" s="6">
        <v>140</v>
      </c>
      <c r="F13" s="18">
        <v>124213.99</v>
      </c>
      <c r="G13" s="18">
        <v>155756.98000000001</v>
      </c>
      <c r="H13" s="18">
        <v>1173813.18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2486.4699999999998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18564.39</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8598</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1329421.8499999999</v>
      </c>
      <c r="G19" s="41">
        <f>SUM(G9:G18)</f>
        <v>282332.14</v>
      </c>
      <c r="H19" s="41">
        <f>SUM(H9:H18)</f>
        <v>1173813.18</v>
      </c>
      <c r="I19" s="41">
        <f>SUM(I9:I18)</f>
        <v>0</v>
      </c>
      <c r="J19" s="41">
        <f>SUM(J9:J18)</f>
        <v>3067532.29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326811.61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41934.699999999997</v>
      </c>
      <c r="G23" s="18"/>
      <c r="H23" s="18">
        <v>3531.25</v>
      </c>
      <c r="I23" s="18"/>
      <c r="J23" s="67">
        <f>SUM(I450)</f>
        <v>161721.31</v>
      </c>
      <c r="K23" s="24" t="s">
        <v>288</v>
      </c>
      <c r="L23" s="24" t="s">
        <v>288</v>
      </c>
      <c r="M23" s="8"/>
      <c r="N23" s="265"/>
    </row>
    <row r="24" spans="1:14" s="3" customFormat="1" ht="12.2" customHeight="1" x14ac:dyDescent="0.15">
      <c r="A24" s="1" t="s">
        <v>570</v>
      </c>
      <c r="B24" s="2" t="s">
        <v>289</v>
      </c>
      <c r="C24" s="6">
        <v>14</v>
      </c>
      <c r="D24" s="2" t="s">
        <v>429</v>
      </c>
      <c r="E24" s="6">
        <v>420</v>
      </c>
      <c r="F24" s="18">
        <v>175837.42</v>
      </c>
      <c r="G24" s="18">
        <v>262</v>
      </c>
      <c r="H24" s="18">
        <v>843470.32</v>
      </c>
      <c r="I24" s="18"/>
      <c r="J24" s="67">
        <f>SUM(I451)</f>
        <v>64135.21</v>
      </c>
      <c r="K24" s="24" t="s">
        <v>288</v>
      </c>
      <c r="L24" s="24" t="s">
        <v>288</v>
      </c>
      <c r="M24" s="8"/>
      <c r="N24" s="265"/>
    </row>
    <row r="25" spans="1:14" s="3" customFormat="1" ht="12.2" customHeight="1" x14ac:dyDescent="0.15">
      <c r="A25" s="1" t="s">
        <v>574</v>
      </c>
      <c r="B25" s="2" t="s">
        <v>289</v>
      </c>
      <c r="C25" s="6">
        <v>15</v>
      </c>
      <c r="D25" s="2" t="s">
        <v>429</v>
      </c>
      <c r="E25" s="6">
        <v>430</v>
      </c>
      <c r="F25" s="18"/>
      <c r="G25" s="145">
        <v>42406.31</v>
      </c>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39271.99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3004.27+5369.38+16686.29</f>
        <v>25059.940000000002</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22878.37</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282104.05</v>
      </c>
      <c r="G32" s="41">
        <f>SUM(G22:G31)</f>
        <v>65546.679999999993</v>
      </c>
      <c r="H32" s="41">
        <f>SUM(H22:H31)</f>
        <v>1173813.18</v>
      </c>
      <c r="I32" s="41">
        <f>SUM(I22:I31)</f>
        <v>0</v>
      </c>
      <c r="J32" s="41">
        <f>SUM(J22:J31)</f>
        <v>225856.52</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18564.39</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8598</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198221.07</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2841675.77</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901170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137549.79999999999</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1047317.8</v>
      </c>
      <c r="G51" s="41">
        <f>SUM(G35:G50)</f>
        <v>216785.46000000002</v>
      </c>
      <c r="H51" s="41">
        <f>SUM(H35:H50)</f>
        <v>0</v>
      </c>
      <c r="I51" s="41">
        <f>SUM(I35:I50)</f>
        <v>0</v>
      </c>
      <c r="J51" s="41">
        <f>SUM(J35:J50)</f>
        <v>2841675.77</v>
      </c>
      <c r="K51" s="45" t="s">
        <v>288</v>
      </c>
      <c r="L51" s="45" t="s">
        <v>288</v>
      </c>
      <c r="N51" s="263"/>
    </row>
    <row r="52" spans="1:14" s="3" customFormat="1" ht="12.2" customHeight="1" thickTop="1" x14ac:dyDescent="0.15">
      <c r="A52" s="38" t="s">
        <v>455</v>
      </c>
      <c r="B52" s="39" t="s">
        <v>289</v>
      </c>
      <c r="C52" s="6">
        <v>37</v>
      </c>
      <c r="D52" s="39" t="s">
        <v>653</v>
      </c>
      <c r="E52" s="39"/>
      <c r="F52" s="41">
        <f>F51+F32</f>
        <v>1329421.8500000001</v>
      </c>
      <c r="G52" s="41">
        <f>G51+G32</f>
        <v>282332.14</v>
      </c>
      <c r="H52" s="41">
        <f>H51+H32</f>
        <v>1173813.18</v>
      </c>
      <c r="I52" s="41">
        <f>I51+I32</f>
        <v>0</v>
      </c>
      <c r="J52" s="41">
        <f>J51+J32</f>
        <v>3067532.29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15814367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15814367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18492.14</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9807.82</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28299.96</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1245.55</v>
      </c>
      <c r="G96" s="18"/>
      <c r="H96" s="18"/>
      <c r="I96" s="18"/>
      <c r="J96" s="18">
        <f>66021.23+331338.35</f>
        <v>397359.57999999996</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24075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20</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248962.87</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46185.84+293.1</f>
        <v>46478.939999999995</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296707.36</v>
      </c>
      <c r="G111" s="41">
        <f>SUM(G96:G110)</f>
        <v>24075</v>
      </c>
      <c r="H111" s="41">
        <f>SUM(H96:H110)</f>
        <v>0</v>
      </c>
      <c r="I111" s="41">
        <f>SUM(I96:I110)</f>
        <v>0</v>
      </c>
      <c r="J111" s="41">
        <f>SUM(J96:J110)</f>
        <v>397359.57999999996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16139374.32</v>
      </c>
      <c r="G112" s="41">
        <f>G60+G111</f>
        <v>24075</v>
      </c>
      <c r="H112" s="41">
        <f>H60+H79+H94+H111</f>
        <v>0</v>
      </c>
      <c r="I112" s="41">
        <f>I60+I111</f>
        <v>0</v>
      </c>
      <c r="J112" s="41">
        <f>J60+J111</f>
        <v>397359.57999999996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5510770.8899999997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2209036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7721802.0999999996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325898.36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609271.47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2439.1999999999998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4590.1499999999996</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8546.04+2058.3</f>
        <v>10604.34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937609.02999999991</v>
      </c>
      <c r="G136" s="41">
        <f>SUM(G123:G135)</f>
        <v>10604.34</v>
      </c>
      <c r="H136" s="41">
        <f>SUM(H123:H135)</f>
        <v>4590.1499999999996</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8659411.129999999</v>
      </c>
      <c r="G140" s="41">
        <f>G121+SUM(G136:G137)</f>
        <v>10604.34</v>
      </c>
      <c r="H140" s="41">
        <f>H121+SUM(H136:H139)</f>
        <v>4590.1499999999996</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81588.23</v>
      </c>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81588.23</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297581.84999999998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166023.03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27321+589698.72+175039.94+44102.44+18323.13</f>
        <v>854485.22999999986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489393.55</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106968.7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2076262.34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106968.7</v>
      </c>
      <c r="G163" s="41">
        <f>SUM(G150:G162)</f>
        <v>854485.22999999986</v>
      </c>
      <c r="H163" s="41">
        <f>SUM(H150:H162)</f>
        <v>3029260.77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188556.93</v>
      </c>
      <c r="G170" s="41">
        <f>G147+G163+SUM(G164:G169)</f>
        <v>854485.22999999986</v>
      </c>
      <c r="H170" s="41">
        <f>H147+H163+SUM(H164:H169)</f>
        <v>3029260.77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525000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25910.28</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25910.28</v>
      </c>
      <c r="G184" s="41">
        <f>SUM(G180:G183)</f>
        <v>0</v>
      </c>
      <c r="H184" s="41">
        <f>SUM(H180:H183)</f>
        <v>0</v>
      </c>
      <c r="I184" s="41">
        <f>SUM(I180:I183)</f>
        <v>0</v>
      </c>
      <c r="J184" s="41">
        <f>SUM(J180:J183)</f>
        <v>525000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25910.28</v>
      </c>
      <c r="G193" s="41">
        <f>G184+SUM(G189:G192)</f>
        <v>0</v>
      </c>
      <c r="H193" s="41">
        <f>+H184+SUM(H189:H192)</f>
        <v>0</v>
      </c>
      <c r="I193" s="41">
        <f>I178+I184+SUM(I189:I192)</f>
        <v>0</v>
      </c>
      <c r="J193" s="41">
        <f>J184</f>
        <v>525000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25013252.66</v>
      </c>
      <c r="G194" s="47">
        <f>G112+G140+G170+G193</f>
        <v>889164.56999999983</v>
      </c>
      <c r="H194" s="47">
        <f>H112+H140+H170+H193</f>
        <v>3033850.92</v>
      </c>
      <c r="I194" s="47">
        <f>I112+I140+I170+I193</f>
        <v>0</v>
      </c>
      <c r="J194" s="47">
        <f>J112+J140+J193</f>
        <v>922359.58</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3066330.0600000005</v>
      </c>
      <c r="G198" s="18">
        <v>1709733.3199999996</v>
      </c>
      <c r="H198" s="18">
        <v>13690.470000000001</v>
      </c>
      <c r="I198" s="18">
        <v>78966.2</v>
      </c>
      <c r="J198" s="18">
        <v>3975.17</v>
      </c>
      <c r="K198" s="18">
        <v>0</v>
      </c>
      <c r="L198" s="19">
        <f>SUM(F198:K198)</f>
        <v>4872695.22</v>
      </c>
      <c r="M198" s="8"/>
      <c r="N198" s="265"/>
    </row>
    <row r="199" spans="1:14" s="3" customFormat="1" ht="12.2" customHeight="1" x14ac:dyDescent="0.15">
      <c r="A199" s="1" t="s">
        <v>439</v>
      </c>
      <c r="B199" s="2" t="s">
        <v>341</v>
      </c>
      <c r="C199" s="2" t="s">
        <v>291</v>
      </c>
      <c r="D199" s="2" t="s">
        <v>431</v>
      </c>
      <c r="E199" s="6">
        <v>1200</v>
      </c>
      <c r="F199" s="18">
        <v>1369310.8000000003</v>
      </c>
      <c r="G199" s="18">
        <v>677166.65</v>
      </c>
      <c r="H199" s="18">
        <v>283298.51</v>
      </c>
      <c r="I199" s="18">
        <v>3834.9700000000003</v>
      </c>
      <c r="J199" s="18">
        <v>1290.1300000000001</v>
      </c>
      <c r="K199" s="18">
        <v>5662.71</v>
      </c>
      <c r="L199" s="19">
        <f>SUM(F199:K199)</f>
        <v>2340563.77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118555.34000000001</v>
      </c>
      <c r="G201" s="18">
        <v>31859.040000000005</v>
      </c>
      <c r="H201" s="18">
        <v>0</v>
      </c>
      <c r="I201" s="18">
        <v>570.66999999999996</v>
      </c>
      <c r="J201" s="18">
        <v>0</v>
      </c>
      <c r="K201" s="18">
        <v>325</v>
      </c>
      <c r="L201" s="19">
        <f>SUM(F201:K201)</f>
        <v>151310.05000000002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393349.46</v>
      </c>
      <c r="G203" s="18">
        <v>216403.17</v>
      </c>
      <c r="H203" s="18">
        <v>183978.77</v>
      </c>
      <c r="I203" s="18">
        <v>5056.3399999999992</v>
      </c>
      <c r="J203" s="18">
        <v>469.95</v>
      </c>
      <c r="K203" s="18">
        <v>50</v>
      </c>
      <c r="L203" s="19">
        <f t="shared" ref="L203:L209" si="0">SUM(F203:K203)</f>
        <v>799307.69</v>
      </c>
      <c r="M203" s="8"/>
      <c r="N203" s="265"/>
    </row>
    <row r="204" spans="1:14" s="3" customFormat="1" ht="12.2" customHeight="1" x14ac:dyDescent="0.15">
      <c r="A204" s="1" t="s">
        <v>443</v>
      </c>
      <c r="B204" s="2" t="s">
        <v>341</v>
      </c>
      <c r="C204" s="2" t="s">
        <v>295</v>
      </c>
      <c r="D204" s="2" t="s">
        <v>431</v>
      </c>
      <c r="E204" s="6">
        <v>2200</v>
      </c>
      <c r="F204" s="18">
        <v>189022.09</v>
      </c>
      <c r="G204" s="18">
        <v>73140.69</v>
      </c>
      <c r="H204" s="18">
        <v>15630.98</v>
      </c>
      <c r="I204" s="18">
        <v>19247.499999999996</v>
      </c>
      <c r="J204" s="18">
        <v>0</v>
      </c>
      <c r="K204" s="18">
        <v>1533.08</v>
      </c>
      <c r="L204" s="19">
        <f t="shared" si="0"/>
        <v>298574.34000000003</v>
      </c>
      <c r="M204" s="8"/>
      <c r="N204" s="265"/>
    </row>
    <row r="205" spans="1:14" s="3" customFormat="1" ht="12.2" customHeight="1" x14ac:dyDescent="0.15">
      <c r="A205" s="1" t="s">
        <v>444</v>
      </c>
      <c r="B205" s="2" t="s">
        <v>341</v>
      </c>
      <c r="C205" s="2" t="s">
        <v>296</v>
      </c>
      <c r="D205" s="2" t="s">
        <v>431</v>
      </c>
      <c r="E205" s="6">
        <v>2300</v>
      </c>
      <c r="F205" s="18">
        <v>136722.97</v>
      </c>
      <c r="G205" s="18">
        <v>62727.12</v>
      </c>
      <c r="H205" s="18">
        <v>49287.87</v>
      </c>
      <c r="I205" s="18">
        <v>31.08</v>
      </c>
      <c r="J205" s="18">
        <v>0</v>
      </c>
      <c r="K205" s="18">
        <v>4963.45</v>
      </c>
      <c r="L205" s="19">
        <f t="shared" si="0"/>
        <v>253732.49</v>
      </c>
      <c r="M205" s="8"/>
      <c r="N205" s="265"/>
    </row>
    <row r="206" spans="1:14" s="3" customFormat="1" ht="12.2" customHeight="1" x14ac:dyDescent="0.15">
      <c r="A206" s="1" t="s">
        <v>445</v>
      </c>
      <c r="B206" s="2" t="s">
        <v>341</v>
      </c>
      <c r="C206" s="2" t="s">
        <v>297</v>
      </c>
      <c r="D206" s="2" t="s">
        <v>431</v>
      </c>
      <c r="E206" s="6">
        <v>2400</v>
      </c>
      <c r="F206" s="18">
        <v>442893.19</v>
      </c>
      <c r="G206" s="18">
        <v>233344.21</v>
      </c>
      <c r="H206" s="18">
        <v>2980.52</v>
      </c>
      <c r="I206" s="18">
        <v>3186.58</v>
      </c>
      <c r="J206" s="18">
        <v>0</v>
      </c>
      <c r="K206" s="18">
        <v>3369.25</v>
      </c>
      <c r="L206" s="19">
        <f t="shared" si="0"/>
        <v>685773.75</v>
      </c>
      <c r="M206" s="8"/>
      <c r="N206" s="265"/>
    </row>
    <row r="207" spans="1:14" s="3" customFormat="1" ht="12.2" customHeight="1" x14ac:dyDescent="0.15">
      <c r="A207" s="1" t="s">
        <v>446</v>
      </c>
      <c r="B207" s="2" t="s">
        <v>341</v>
      </c>
      <c r="C207" s="2" t="s">
        <v>298</v>
      </c>
      <c r="D207" s="2" t="s">
        <v>431</v>
      </c>
      <c r="E207" s="6">
        <v>2500</v>
      </c>
      <c r="F207" s="18">
        <v>169746.4</v>
      </c>
      <c r="G207" s="18">
        <v>74342.880000000005</v>
      </c>
      <c r="H207" s="18">
        <v>10413.85</v>
      </c>
      <c r="I207" s="18">
        <v>1691.24</v>
      </c>
      <c r="J207" s="18">
        <v>1726.21</v>
      </c>
      <c r="K207" s="18">
        <v>2881.35</v>
      </c>
      <c r="L207" s="19">
        <f t="shared" si="0"/>
        <v>260801.93</v>
      </c>
      <c r="M207" s="8"/>
      <c r="N207" s="265"/>
    </row>
    <row r="208" spans="1:14" s="3" customFormat="1" ht="12.2" customHeight="1" x14ac:dyDescent="0.15">
      <c r="A208" s="1" t="s">
        <v>447</v>
      </c>
      <c r="B208" s="2" t="s">
        <v>341</v>
      </c>
      <c r="C208" s="2" t="s">
        <v>299</v>
      </c>
      <c r="D208" s="2" t="s">
        <v>431</v>
      </c>
      <c r="E208" s="6">
        <v>2600</v>
      </c>
      <c r="F208" s="18">
        <v>360576.72</v>
      </c>
      <c r="G208" s="18">
        <v>161978.1</v>
      </c>
      <c r="H208" s="18">
        <v>273685.30999999994</v>
      </c>
      <c r="I208" s="18">
        <v>208848.09</v>
      </c>
      <c r="J208" s="18">
        <v>6910.46</v>
      </c>
      <c r="K208" s="18">
        <v>236.51</v>
      </c>
      <c r="L208" s="19">
        <f t="shared" si="0"/>
        <v>1012235.1899999998</v>
      </c>
      <c r="M208" s="8"/>
      <c r="N208" s="265"/>
    </row>
    <row r="209" spans="1:14" s="3" customFormat="1" ht="12.2" customHeight="1" x14ac:dyDescent="0.15">
      <c r="A209" s="1" t="s">
        <v>448</v>
      </c>
      <c r="B209" s="2" t="s">
        <v>341</v>
      </c>
      <c r="C209" s="2" t="s">
        <v>300</v>
      </c>
      <c r="D209" s="2" t="s">
        <v>431</v>
      </c>
      <c r="E209" s="6">
        <v>2700</v>
      </c>
      <c r="F209" s="18">
        <v>0</v>
      </c>
      <c r="G209" s="18">
        <v>0</v>
      </c>
      <c r="H209" s="18">
        <v>511273.58999999997</v>
      </c>
      <c r="I209" s="18">
        <v>70443.27</v>
      </c>
      <c r="J209" s="18">
        <v>0</v>
      </c>
      <c r="K209" s="18">
        <v>0</v>
      </c>
      <c r="L209" s="19">
        <f t="shared" si="0"/>
        <v>581716.86</v>
      </c>
      <c r="M209" s="8"/>
      <c r="N209" s="265"/>
    </row>
    <row r="210" spans="1:14" s="3" customFormat="1" ht="12.2" customHeight="1" x14ac:dyDescent="0.15">
      <c r="A210" s="1" t="s">
        <v>449</v>
      </c>
      <c r="B210" s="2" t="s">
        <v>341</v>
      </c>
      <c r="C210" s="2" t="s">
        <v>343</v>
      </c>
      <c r="D210" s="2" t="s">
        <v>431</v>
      </c>
      <c r="E210" s="6">
        <v>2800</v>
      </c>
      <c r="F210" s="18">
        <v>78913.22</v>
      </c>
      <c r="G210" s="18">
        <v>30969.48</v>
      </c>
      <c r="H210" s="18">
        <v>67373.070000000007</v>
      </c>
      <c r="I210" s="18">
        <v>106241.69</v>
      </c>
      <c r="J210" s="18">
        <v>4911.25</v>
      </c>
      <c r="K210" s="18">
        <v>0</v>
      </c>
      <c r="L210" s="19">
        <f>SUM(F210:K210)</f>
        <v>288408.71000000002</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6325420.2500000009</v>
      </c>
      <c r="G212" s="41">
        <f t="shared" si="1"/>
        <v>3271664.6599999997</v>
      </c>
      <c r="H212" s="41">
        <f t="shared" si="1"/>
        <v>1411612.94</v>
      </c>
      <c r="I212" s="41">
        <f t="shared" si="1"/>
        <v>498117.63</v>
      </c>
      <c r="J212" s="41">
        <f t="shared" si="1"/>
        <v>19283.169999999998</v>
      </c>
      <c r="K212" s="41">
        <f t="shared" si="1"/>
        <v>19021.349999999999</v>
      </c>
      <c r="L212" s="41">
        <f t="shared" si="1"/>
        <v>11545120</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1065623.6099999999</v>
      </c>
      <c r="G216" s="18">
        <v>536679.84000000008</v>
      </c>
      <c r="H216" s="18">
        <v>484.81</v>
      </c>
      <c r="I216" s="18">
        <v>20555.86</v>
      </c>
      <c r="J216" s="18">
        <v>13975.45</v>
      </c>
      <c r="K216" s="18">
        <v>0</v>
      </c>
      <c r="L216" s="19">
        <f>SUM(F216:K216)</f>
        <v>1637319.57</v>
      </c>
      <c r="M216" s="8"/>
      <c r="N216" s="265"/>
    </row>
    <row r="217" spans="1:14" s="3" customFormat="1" ht="12.2" customHeight="1" x14ac:dyDescent="0.15">
      <c r="A217" s="1" t="s">
        <v>439</v>
      </c>
      <c r="B217" s="2" t="s">
        <v>346</v>
      </c>
      <c r="C217" s="2" t="s">
        <v>291</v>
      </c>
      <c r="D217" s="2" t="s">
        <v>431</v>
      </c>
      <c r="E217" s="6">
        <v>1200</v>
      </c>
      <c r="F217" s="18">
        <v>553665.91999999993</v>
      </c>
      <c r="G217" s="18">
        <v>310027.65000000002</v>
      </c>
      <c r="H217" s="18">
        <v>73563.850000000006</v>
      </c>
      <c r="I217" s="18">
        <v>1541.35</v>
      </c>
      <c r="J217" s="18">
        <v>411.07</v>
      </c>
      <c r="K217" s="18">
        <v>2774.18</v>
      </c>
      <c r="L217" s="19">
        <f>SUM(F217:K217)</f>
        <v>941984.0199999999</v>
      </c>
      <c r="M217" s="8"/>
      <c r="N217" s="265"/>
    </row>
    <row r="218" spans="1:14" s="3" customFormat="1" ht="12.2" customHeight="1" x14ac:dyDescent="0.15">
      <c r="A218" s="1" t="s">
        <v>440</v>
      </c>
      <c r="B218" s="2" t="s">
        <v>346</v>
      </c>
      <c r="C218" s="2" t="s">
        <v>292</v>
      </c>
      <c r="D218" s="2" t="s">
        <v>431</v>
      </c>
      <c r="E218" s="6">
        <v>1300</v>
      </c>
      <c r="F218" s="18">
        <v>161327.58000000002</v>
      </c>
      <c r="G218" s="18">
        <v>69207.92</v>
      </c>
      <c r="H218" s="18">
        <v>0</v>
      </c>
      <c r="I218" s="18">
        <v>2719.85</v>
      </c>
      <c r="J218" s="18">
        <v>13224</v>
      </c>
      <c r="K218" s="18">
        <v>950</v>
      </c>
      <c r="L218" s="19">
        <f>SUM(F218:K218)</f>
        <v>247429.35</v>
      </c>
      <c r="M218" s="8"/>
      <c r="N218" s="265"/>
    </row>
    <row r="219" spans="1:14" s="3" customFormat="1" ht="12.2" customHeight="1" x14ac:dyDescent="0.15">
      <c r="A219" s="1" t="s">
        <v>441</v>
      </c>
      <c r="B219" s="2" t="s">
        <v>346</v>
      </c>
      <c r="C219" s="2" t="s">
        <v>293</v>
      </c>
      <c r="D219" s="2" t="s">
        <v>431</v>
      </c>
      <c r="E219" s="6">
        <v>1400</v>
      </c>
      <c r="F219" s="18">
        <v>60285.19</v>
      </c>
      <c r="G219" s="18">
        <v>14774.66</v>
      </c>
      <c r="H219" s="18">
        <v>7629</v>
      </c>
      <c r="I219" s="18">
        <v>2423.36</v>
      </c>
      <c r="J219" s="18">
        <v>530</v>
      </c>
      <c r="K219" s="18">
        <v>450</v>
      </c>
      <c r="L219" s="19">
        <f>SUM(F219:K219)</f>
        <v>86092.21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249437.75</v>
      </c>
      <c r="G221" s="18">
        <v>147541.93000000002</v>
      </c>
      <c r="H221" s="18">
        <v>116814.33</v>
      </c>
      <c r="I221" s="18">
        <v>617.11</v>
      </c>
      <c r="J221" s="18">
        <v>0</v>
      </c>
      <c r="K221" s="18">
        <v>0</v>
      </c>
      <c r="L221" s="19">
        <f t="shared" ref="L221:L227" si="2">SUM(F221:K221)</f>
        <v>514411.12000000005</v>
      </c>
      <c r="M221" s="8"/>
      <c r="N221" s="265"/>
    </row>
    <row r="222" spans="1:14" s="3" customFormat="1" ht="12.2" customHeight="1" x14ac:dyDescent="0.15">
      <c r="A222" s="1" t="s">
        <v>443</v>
      </c>
      <c r="B222" s="2" t="s">
        <v>346</v>
      </c>
      <c r="C222" s="2" t="s">
        <v>295</v>
      </c>
      <c r="D222" s="2" t="s">
        <v>431</v>
      </c>
      <c r="E222" s="6">
        <v>2200</v>
      </c>
      <c r="F222" s="18">
        <v>70861.14</v>
      </c>
      <c r="G222" s="18">
        <v>33369.56</v>
      </c>
      <c r="H222" s="18">
        <v>7767.39</v>
      </c>
      <c r="I222" s="18">
        <v>11992.39</v>
      </c>
      <c r="J222" s="18">
        <v>0</v>
      </c>
      <c r="K222" s="18">
        <v>761.82</v>
      </c>
      <c r="L222" s="19">
        <f t="shared" si="2"/>
        <v>124752.3</v>
      </c>
      <c r="M222" s="8"/>
      <c r="N222" s="265"/>
    </row>
    <row r="223" spans="1:14" s="3" customFormat="1" ht="12.2" customHeight="1" x14ac:dyDescent="0.15">
      <c r="A223" s="1" t="s">
        <v>444</v>
      </c>
      <c r="B223" s="2" t="s">
        <v>346</v>
      </c>
      <c r="C223" s="2" t="s">
        <v>296</v>
      </c>
      <c r="D223" s="2" t="s">
        <v>431</v>
      </c>
      <c r="E223" s="6">
        <v>2300</v>
      </c>
      <c r="F223" s="18">
        <v>67940.75</v>
      </c>
      <c r="G223" s="18">
        <v>31170.53</v>
      </c>
      <c r="H223" s="18">
        <v>24492.26</v>
      </c>
      <c r="I223" s="18">
        <v>15.44</v>
      </c>
      <c r="J223" s="18">
        <v>0</v>
      </c>
      <c r="K223" s="18">
        <v>2466.4499999999998</v>
      </c>
      <c r="L223" s="19">
        <f t="shared" si="2"/>
        <v>126085.43</v>
      </c>
      <c r="M223" s="8"/>
      <c r="N223" s="265"/>
    </row>
    <row r="224" spans="1:14" s="3" customFormat="1" ht="12.2" customHeight="1" x14ac:dyDescent="0.15">
      <c r="A224" s="1" t="s">
        <v>445</v>
      </c>
      <c r="B224" s="2" t="s">
        <v>346</v>
      </c>
      <c r="C224" s="2" t="s">
        <v>297</v>
      </c>
      <c r="D224" s="2" t="s">
        <v>431</v>
      </c>
      <c r="E224" s="6">
        <v>2400</v>
      </c>
      <c r="F224" s="18">
        <v>215658.86</v>
      </c>
      <c r="G224" s="18">
        <v>113198.25</v>
      </c>
      <c r="H224" s="18">
        <v>3395.3799999999997</v>
      </c>
      <c r="I224" s="18">
        <v>119.73</v>
      </c>
      <c r="J224" s="18">
        <v>0</v>
      </c>
      <c r="K224" s="18">
        <v>392.5</v>
      </c>
      <c r="L224" s="19">
        <f t="shared" si="2"/>
        <v>332764.71999999997</v>
      </c>
      <c r="M224" s="8"/>
      <c r="N224" s="265"/>
    </row>
    <row r="225" spans="1:14" s="3" customFormat="1" ht="12.2" customHeight="1" x14ac:dyDescent="0.15">
      <c r="A225" s="1" t="s">
        <v>446</v>
      </c>
      <c r="B225" s="2" t="s">
        <v>346</v>
      </c>
      <c r="C225" s="2" t="s">
        <v>298</v>
      </c>
      <c r="D225" s="2" t="s">
        <v>431</v>
      </c>
      <c r="E225" s="6">
        <v>2500</v>
      </c>
      <c r="F225" s="18">
        <v>84350.84</v>
      </c>
      <c r="G225" s="18">
        <v>36942.660000000003</v>
      </c>
      <c r="H225" s="18">
        <v>5174.88</v>
      </c>
      <c r="I225" s="18">
        <v>840.42</v>
      </c>
      <c r="J225" s="18">
        <v>857.8</v>
      </c>
      <c r="K225" s="18">
        <v>1431.81</v>
      </c>
      <c r="L225" s="19">
        <f t="shared" si="2"/>
        <v>129598.41</v>
      </c>
      <c r="M225" s="8"/>
      <c r="N225" s="265"/>
    </row>
    <row r="226" spans="1:14" s="3" customFormat="1" ht="12.2" customHeight="1" x14ac:dyDescent="0.15">
      <c r="A226" s="1" t="s">
        <v>447</v>
      </c>
      <c r="B226" s="2" t="s">
        <v>346</v>
      </c>
      <c r="C226" s="2" t="s">
        <v>299</v>
      </c>
      <c r="D226" s="2" t="s">
        <v>431</v>
      </c>
      <c r="E226" s="6">
        <v>2600</v>
      </c>
      <c r="F226" s="18">
        <v>192594.91</v>
      </c>
      <c r="G226" s="18">
        <v>80349.19</v>
      </c>
      <c r="H226" s="18">
        <v>222455.51999999996</v>
      </c>
      <c r="I226" s="18">
        <v>130758.05</v>
      </c>
      <c r="J226" s="18">
        <v>3433.97</v>
      </c>
      <c r="K226" s="18">
        <v>117.53</v>
      </c>
      <c r="L226" s="19">
        <f t="shared" si="2"/>
        <v>629709.16999999993</v>
      </c>
      <c r="M226" s="8"/>
      <c r="N226" s="265"/>
    </row>
    <row r="227" spans="1:14" s="3" customFormat="1" ht="12.2" customHeight="1" x14ac:dyDescent="0.15">
      <c r="A227" s="1" t="s">
        <v>448</v>
      </c>
      <c r="B227" s="2" t="s">
        <v>346</v>
      </c>
      <c r="C227" s="2" t="s">
        <v>300</v>
      </c>
      <c r="D227" s="2" t="s">
        <v>431</v>
      </c>
      <c r="E227" s="6">
        <v>2700</v>
      </c>
      <c r="F227" s="18">
        <v>0</v>
      </c>
      <c r="G227" s="18">
        <v>0</v>
      </c>
      <c r="H227" s="18">
        <v>226686.93</v>
      </c>
      <c r="I227" s="18">
        <v>35004.86</v>
      </c>
      <c r="J227" s="18">
        <v>0</v>
      </c>
      <c r="K227" s="18">
        <v>0</v>
      </c>
      <c r="L227" s="19">
        <f t="shared" si="2"/>
        <v>261691.78999999998</v>
      </c>
      <c r="M227" s="8"/>
      <c r="N227" s="265"/>
    </row>
    <row r="228" spans="1:14" s="3" customFormat="1" ht="12.2" customHeight="1" x14ac:dyDescent="0.15">
      <c r="A228" s="1" t="s">
        <v>449</v>
      </c>
      <c r="B228" s="2" t="s">
        <v>346</v>
      </c>
      <c r="C228" s="2" t="s">
        <v>343</v>
      </c>
      <c r="D228" s="2" t="s">
        <v>431</v>
      </c>
      <c r="E228" s="6">
        <v>2800</v>
      </c>
      <c r="F228" s="18">
        <v>39213.769999999997</v>
      </c>
      <c r="G228" s="18">
        <v>15389.44</v>
      </c>
      <c r="H228" s="18">
        <v>33479.21</v>
      </c>
      <c r="I228" s="18">
        <v>44476.210000000006</v>
      </c>
      <c r="J228" s="18">
        <v>1576.37</v>
      </c>
      <c r="K228" s="18">
        <v>0</v>
      </c>
      <c r="L228" s="19">
        <f>SUM(F228:K228)</f>
        <v>134135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2760960.32</v>
      </c>
      <c r="G230" s="41">
        <f>SUM(G216:G229)</f>
        <v>1388651.6300000001</v>
      </c>
      <c r="H230" s="41">
        <f>SUM(H216:H229)</f>
        <v>721943.55999999994</v>
      </c>
      <c r="I230" s="41">
        <f>SUM(I216:I229)</f>
        <v>251064.63</v>
      </c>
      <c r="J230" s="41">
        <f>SUM(J216:J229)</f>
        <v>34008.660000000003</v>
      </c>
      <c r="K230" s="41">
        <f t="shared" si="3"/>
        <v>9344.2900000000009</v>
      </c>
      <c r="L230" s="41">
        <f t="shared" si="3"/>
        <v>5165973.09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1321604.1499999999</v>
      </c>
      <c r="G234" s="18">
        <v>681193.42999999993</v>
      </c>
      <c r="H234" s="18">
        <v>10881.25</v>
      </c>
      <c r="I234" s="18">
        <v>27161.29</v>
      </c>
      <c r="J234" s="18">
        <v>30984.47</v>
      </c>
      <c r="K234" s="18">
        <v>4085</v>
      </c>
      <c r="L234" s="19">
        <f>SUM(F234:K234)</f>
        <v>2075909.5899999999</v>
      </c>
      <c r="M234" s="8"/>
      <c r="N234" s="265"/>
    </row>
    <row r="235" spans="1:14" s="3" customFormat="1" ht="12.2" customHeight="1" x14ac:dyDescent="0.15">
      <c r="A235" s="1" t="s">
        <v>439</v>
      </c>
      <c r="B235" s="2" t="s">
        <v>350</v>
      </c>
      <c r="C235" s="2" t="s">
        <v>291</v>
      </c>
      <c r="D235" s="2" t="s">
        <v>431</v>
      </c>
      <c r="E235" s="6">
        <v>1200</v>
      </c>
      <c r="F235" s="18">
        <v>630084.92000000004</v>
      </c>
      <c r="G235" s="18">
        <v>339320.2</v>
      </c>
      <c r="H235" s="18">
        <v>1104453.23</v>
      </c>
      <c r="I235" s="18">
        <v>1539.0500000000002</v>
      </c>
      <c r="J235" s="18">
        <v>1474.08</v>
      </c>
      <c r="K235" s="18">
        <v>3445.2</v>
      </c>
      <c r="L235" s="19">
        <f>SUM(F235:K235)</f>
        <v>2080316.6800000002</v>
      </c>
      <c r="M235" s="8"/>
      <c r="N235" s="265"/>
    </row>
    <row r="236" spans="1:14" s="3" customFormat="1" ht="12.2" customHeight="1" x14ac:dyDescent="0.15">
      <c r="A236" s="1" t="s">
        <v>440</v>
      </c>
      <c r="B236" s="2" t="s">
        <v>350</v>
      </c>
      <c r="C236" s="2" t="s">
        <v>292</v>
      </c>
      <c r="D236" s="2" t="s">
        <v>431</v>
      </c>
      <c r="E236" s="6">
        <v>1300</v>
      </c>
      <c r="F236" s="18">
        <v>139891.09999999998</v>
      </c>
      <c r="G236" s="18">
        <v>61133.329999999987</v>
      </c>
      <c r="H236" s="18">
        <v>29592.25</v>
      </c>
      <c r="I236" s="18">
        <v>16791.77</v>
      </c>
      <c r="J236" s="18">
        <v>0</v>
      </c>
      <c r="K236" s="18">
        <v>2200</v>
      </c>
      <c r="L236" s="19">
        <f>SUM(F236:K236)</f>
        <v>249608.44999999995</v>
      </c>
      <c r="M236" s="8"/>
      <c r="N236" s="265"/>
    </row>
    <row r="237" spans="1:14" s="3" customFormat="1" ht="12.2" customHeight="1" x14ac:dyDescent="0.15">
      <c r="A237" s="1" t="s">
        <v>441</v>
      </c>
      <c r="B237" s="2" t="s">
        <v>350</v>
      </c>
      <c r="C237" s="2" t="s">
        <v>293</v>
      </c>
      <c r="D237" s="2" t="s">
        <v>431</v>
      </c>
      <c r="E237" s="6">
        <v>1400</v>
      </c>
      <c r="F237" s="18">
        <v>158918.23000000001</v>
      </c>
      <c r="G237" s="18">
        <v>28258.910000000003</v>
      </c>
      <c r="H237" s="18">
        <v>19929.57</v>
      </c>
      <c r="I237" s="18">
        <v>15000.99</v>
      </c>
      <c r="J237" s="18">
        <v>2603.94</v>
      </c>
      <c r="K237" s="18">
        <v>9316</v>
      </c>
      <c r="L237" s="19">
        <f>SUM(F237:K237)</f>
        <v>234027.64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330773.85999999993</v>
      </c>
      <c r="G239" s="18">
        <v>176907.74000000002</v>
      </c>
      <c r="H239" s="18">
        <v>79259.59</v>
      </c>
      <c r="I239" s="18">
        <v>21349.730000000003</v>
      </c>
      <c r="J239" s="18">
        <v>265.95</v>
      </c>
      <c r="K239" s="18">
        <v>0</v>
      </c>
      <c r="L239" s="19">
        <f t="shared" ref="L239:L245" si="4">SUM(F239:K239)</f>
        <v>608556.86999999988</v>
      </c>
      <c r="M239" s="8"/>
      <c r="N239" s="265"/>
    </row>
    <row r="240" spans="1:14" s="3" customFormat="1" ht="12.2" customHeight="1" x14ac:dyDescent="0.15">
      <c r="A240" s="1" t="s">
        <v>443</v>
      </c>
      <c r="B240" s="2" t="s">
        <v>350</v>
      </c>
      <c r="C240" s="2" t="s">
        <v>295</v>
      </c>
      <c r="D240" s="2" t="s">
        <v>431</v>
      </c>
      <c r="E240" s="6">
        <v>2200</v>
      </c>
      <c r="F240" s="18">
        <v>76592.88</v>
      </c>
      <c r="G240" s="18">
        <v>34940.409999999996</v>
      </c>
      <c r="H240" s="18">
        <v>9646.18</v>
      </c>
      <c r="I240" s="18">
        <f>28239.88-0.01</f>
        <v>28239.870000000003</v>
      </c>
      <c r="J240" s="18">
        <v>2169.9299999999998</v>
      </c>
      <c r="K240" s="18">
        <f>946.09+0.01</f>
        <v>946.1</v>
      </c>
      <c r="L240" s="19">
        <f t="shared" si="4"/>
        <v>152535.37</v>
      </c>
      <c r="M240" s="8"/>
      <c r="N240" s="265"/>
    </row>
    <row r="241" spans="1:14" s="3" customFormat="1" ht="12.2" customHeight="1" x14ac:dyDescent="0.15">
      <c r="A241" s="1" t="s">
        <v>444</v>
      </c>
      <c r="B241" s="2" t="s">
        <v>350</v>
      </c>
      <c r="C241" s="2" t="s">
        <v>296</v>
      </c>
      <c r="D241" s="2" t="s">
        <v>431</v>
      </c>
      <c r="E241" s="6">
        <v>2300</v>
      </c>
      <c r="F241" s="18">
        <v>84374.43</v>
      </c>
      <c r="G241" s="18">
        <v>38710.14</v>
      </c>
      <c r="H241" s="18">
        <f>30416.51+0.01</f>
        <v>30416.519999999997</v>
      </c>
      <c r="I241" s="18">
        <v>19.18</v>
      </c>
      <c r="J241" s="18">
        <v>0</v>
      </c>
      <c r="K241" s="18">
        <v>3063.04</v>
      </c>
      <c r="L241" s="19">
        <f t="shared" si="4"/>
        <v>156583.31</v>
      </c>
      <c r="M241" s="8"/>
      <c r="N241" s="265"/>
    </row>
    <row r="242" spans="1:14" s="3" customFormat="1" ht="12.2" customHeight="1" x14ac:dyDescent="0.15">
      <c r="A242" s="1" t="s">
        <v>445</v>
      </c>
      <c r="B242" s="2" t="s">
        <v>350</v>
      </c>
      <c r="C242" s="2" t="s">
        <v>297</v>
      </c>
      <c r="D242" s="2" t="s">
        <v>431</v>
      </c>
      <c r="E242" s="6">
        <v>2400</v>
      </c>
      <c r="F242" s="18">
        <v>218808.87</v>
      </c>
      <c r="G242" s="18">
        <v>114110.76</v>
      </c>
      <c r="H242" s="18">
        <v>5678.19</v>
      </c>
      <c r="I242" s="18">
        <v>2892.83</v>
      </c>
      <c r="J242" s="18">
        <v>449.95</v>
      </c>
      <c r="K242" s="18">
        <v>573.75</v>
      </c>
      <c r="L242" s="19">
        <f t="shared" si="4"/>
        <v>342514.35000000003</v>
      </c>
      <c r="M242" s="8"/>
      <c r="N242" s="265"/>
    </row>
    <row r="243" spans="1:14" s="3" customFormat="1" ht="12.2" customHeight="1" x14ac:dyDescent="0.15">
      <c r="A243" s="1" t="s">
        <v>446</v>
      </c>
      <c r="B243" s="2" t="s">
        <v>350</v>
      </c>
      <c r="C243" s="2" t="s">
        <v>298</v>
      </c>
      <c r="D243" s="2" t="s">
        <v>431</v>
      </c>
      <c r="E243" s="6">
        <v>2500</v>
      </c>
      <c r="F243" s="18">
        <v>104753.84</v>
      </c>
      <c r="G243" s="18">
        <v>45878.45</v>
      </c>
      <c r="H243" s="18">
        <v>6426.59</v>
      </c>
      <c r="I243" s="18">
        <v>1043.7</v>
      </c>
      <c r="J243" s="18">
        <v>1065.28</v>
      </c>
      <c r="K243" s="18">
        <v>1778.14</v>
      </c>
      <c r="L243" s="19">
        <f t="shared" si="4"/>
        <v>160946</v>
      </c>
      <c r="M243" s="8"/>
      <c r="N243" s="265"/>
    </row>
    <row r="244" spans="1:14" s="3" customFormat="1" ht="12.2" customHeight="1" x14ac:dyDescent="0.15">
      <c r="A244" s="1" t="s">
        <v>447</v>
      </c>
      <c r="B244" s="2" t="s">
        <v>350</v>
      </c>
      <c r="C244" s="2" t="s">
        <v>299</v>
      </c>
      <c r="D244" s="2" t="s">
        <v>431</v>
      </c>
      <c r="E244" s="6">
        <v>2600</v>
      </c>
      <c r="F244" s="18">
        <f>209108.16-0.01</f>
        <v>209108.15</v>
      </c>
      <c r="G244" s="18">
        <f>89874.66+0.01</f>
        <v>89874.67</v>
      </c>
      <c r="H244" s="18">
        <v>175275.91999999998</v>
      </c>
      <c r="I244" s="18">
        <f>123006.91+0.01</f>
        <v>123006.92</v>
      </c>
      <c r="J244" s="18">
        <v>26214.58</v>
      </c>
      <c r="K244" s="18">
        <v>145.96</v>
      </c>
      <c r="L244" s="19">
        <f t="shared" si="4"/>
        <v>623626.19999999995</v>
      </c>
      <c r="M244" s="8"/>
      <c r="N244" s="265"/>
    </row>
    <row r="245" spans="1:14" s="3" customFormat="1" ht="12.2" customHeight="1" x14ac:dyDescent="0.15">
      <c r="A245" s="1" t="s">
        <v>448</v>
      </c>
      <c r="B245" s="2" t="s">
        <v>350</v>
      </c>
      <c r="C245" s="2" t="s">
        <v>300</v>
      </c>
      <c r="D245" s="2" t="s">
        <v>431</v>
      </c>
      <c r="E245" s="6">
        <v>2700</v>
      </c>
      <c r="F245" s="18">
        <v>0</v>
      </c>
      <c r="G245" s="18">
        <v>0</v>
      </c>
      <c r="H245" s="18">
        <v>500261.58999999997</v>
      </c>
      <c r="I245" s="18">
        <v>43471.92</v>
      </c>
      <c r="J245" s="18">
        <v>0</v>
      </c>
      <c r="K245" s="18">
        <v>0</v>
      </c>
      <c r="L245" s="19">
        <f t="shared" si="4"/>
        <v>543733.51</v>
      </c>
      <c r="M245" s="8"/>
      <c r="N245" s="265"/>
    </row>
    <row r="246" spans="1:14" s="3" customFormat="1" ht="12.2" customHeight="1" x14ac:dyDescent="0.15">
      <c r="A246" s="1" t="s">
        <v>449</v>
      </c>
      <c r="B246" s="2" t="s">
        <v>350</v>
      </c>
      <c r="C246" s="2" t="s">
        <v>343</v>
      </c>
      <c r="D246" s="2" t="s">
        <v>431</v>
      </c>
      <c r="E246" s="6">
        <v>2800</v>
      </c>
      <c r="F246" s="18">
        <f>48698.9+0.01</f>
        <v>48698.91</v>
      </c>
      <c r="G246" s="18">
        <v>19111.87</v>
      </c>
      <c r="H246" s="18">
        <v>41577.24</v>
      </c>
      <c r="I246" s="18">
        <v>60700.909999999996</v>
      </c>
      <c r="J246" s="18">
        <v>5793.42</v>
      </c>
      <c r="K246" s="18">
        <v>0</v>
      </c>
      <c r="L246" s="19">
        <f>SUM(F246:K246)</f>
        <v>175882.35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3323609.34</v>
      </c>
      <c r="G248" s="41">
        <f t="shared" si="5"/>
        <v>1629439.9099999997</v>
      </c>
      <c r="H248" s="41">
        <f t="shared" si="5"/>
        <v>2013398.1199999999</v>
      </c>
      <c r="I248" s="41">
        <f t="shared" si="5"/>
        <v>341218.16</v>
      </c>
      <c r="J248" s="41">
        <f t="shared" si="5"/>
        <v>71021.600000000006</v>
      </c>
      <c r="K248" s="41">
        <f t="shared" si="5"/>
        <v>25553.19</v>
      </c>
      <c r="L248" s="41">
        <f t="shared" si="5"/>
        <v>7404240.3199999984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537362.71</v>
      </c>
      <c r="I256" s="18"/>
      <c r="J256" s="18"/>
      <c r="K256" s="18"/>
      <c r="L256" s="19">
        <f t="shared" si="6"/>
        <v>537362.71</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537362.71</v>
      </c>
      <c r="I257" s="41">
        <f t="shared" si="7"/>
        <v>0</v>
      </c>
      <c r="J257" s="41">
        <f t="shared" si="7"/>
        <v>0</v>
      </c>
      <c r="K257" s="41">
        <f t="shared" si="7"/>
        <v>0</v>
      </c>
      <c r="L257" s="41">
        <f>SUM(F257:K257)</f>
        <v>537362.71</v>
      </c>
      <c r="M257" s="8"/>
      <c r="N257" s="265"/>
    </row>
    <row r="258" spans="1:14" s="3" customFormat="1" ht="12.2" customHeight="1" thickTop="1" x14ac:dyDescent="0.15">
      <c r="A258" s="38" t="s">
        <v>462</v>
      </c>
      <c r="B258" s="40">
        <v>10</v>
      </c>
      <c r="C258" s="40">
        <v>8</v>
      </c>
      <c r="D258" s="39" t="s">
        <v>431</v>
      </c>
      <c r="E258" s="40"/>
      <c r="F258" s="41">
        <f t="shared" ref="F258:L258" si="8">F212+F230+F248+F257</f>
        <v>12409989.91</v>
      </c>
      <c r="G258" s="41">
        <f t="shared" si="8"/>
        <v>6289756.1999999993</v>
      </c>
      <c r="H258" s="41">
        <f t="shared" si="8"/>
        <v>4684317.33</v>
      </c>
      <c r="I258" s="41">
        <f t="shared" si="8"/>
        <v>1090400.42</v>
      </c>
      <c r="J258" s="41">
        <f t="shared" si="8"/>
        <v>124313.43000000001</v>
      </c>
      <c r="K258" s="41">
        <f t="shared" si="8"/>
        <v>53918.83</v>
      </c>
      <c r="L258" s="41">
        <f t="shared" si="8"/>
        <v>24652696.119999997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760000</v>
      </c>
      <c r="L261" s="19">
        <f>SUM(F261:K261)</f>
        <v>760000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48173.75</v>
      </c>
      <c r="L262" s="19">
        <f>SUM(F262:K262)</f>
        <v>48173.75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525000</v>
      </c>
      <c r="L267" s="19">
        <f t="shared" si="9"/>
        <v>525000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1333173.75</v>
      </c>
      <c r="L271" s="41">
        <f t="shared" si="9"/>
        <v>1333173.75</v>
      </c>
      <c r="M271" s="8"/>
      <c r="N271" s="265"/>
    </row>
    <row r="272" spans="1:14" s="34" customFormat="1" ht="12.2" customHeight="1" thickTop="1" x14ac:dyDescent="0.2">
      <c r="A272" s="43" t="s">
        <v>464</v>
      </c>
      <c r="B272" s="40">
        <v>10</v>
      </c>
      <c r="C272" s="40">
        <v>18</v>
      </c>
      <c r="D272" s="39" t="s">
        <v>431</v>
      </c>
      <c r="E272" s="40"/>
      <c r="F272" s="42">
        <f t="shared" ref="F272:L272" si="11">F258+F271</f>
        <v>12409989.91</v>
      </c>
      <c r="G272" s="42">
        <f t="shared" si="11"/>
        <v>6289756.1999999993</v>
      </c>
      <c r="H272" s="42">
        <f t="shared" si="11"/>
        <v>4684317.33</v>
      </c>
      <c r="I272" s="42">
        <f t="shared" si="11"/>
        <v>1090400.42</v>
      </c>
      <c r="J272" s="42">
        <f t="shared" si="11"/>
        <v>124313.43000000001</v>
      </c>
      <c r="K272" s="42">
        <f t="shared" si="11"/>
        <v>1387092.58</v>
      </c>
      <c r="L272" s="42">
        <f t="shared" si="11"/>
        <v>25985869.869999997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151250</v>
      </c>
      <c r="G277" s="18">
        <v>95916.94</v>
      </c>
      <c r="H277" s="18">
        <v>0</v>
      </c>
      <c r="I277" s="18">
        <v>0</v>
      </c>
      <c r="J277" s="18">
        <v>0</v>
      </c>
      <c r="K277" s="18">
        <v>0</v>
      </c>
      <c r="L277" s="19">
        <f>SUM(F277:K277)</f>
        <v>247166.94</v>
      </c>
      <c r="M277" s="8"/>
      <c r="N277" s="265"/>
    </row>
    <row r="278" spans="1:14" s="3" customFormat="1" ht="12.2" customHeight="1" x14ac:dyDescent="0.15">
      <c r="A278" s="1" t="s">
        <v>439</v>
      </c>
      <c r="B278" s="2" t="s">
        <v>357</v>
      </c>
      <c r="C278" s="2" t="s">
        <v>291</v>
      </c>
      <c r="D278" s="2" t="s">
        <v>431</v>
      </c>
      <c r="E278" s="6">
        <v>1200</v>
      </c>
      <c r="F278" s="18">
        <v>150472</v>
      </c>
      <c r="G278" s="18">
        <v>89379.38</v>
      </c>
      <c r="H278" s="18">
        <v>6342.62</v>
      </c>
      <c r="I278" s="18">
        <v>4805.7</v>
      </c>
      <c r="J278" s="18">
        <v>0</v>
      </c>
      <c r="K278" s="18">
        <v>0</v>
      </c>
      <c r="L278" s="19">
        <f>SUM(F278:K278)</f>
        <v>250999.7</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6752.82</v>
      </c>
      <c r="G280" s="18">
        <v>1402.48</v>
      </c>
      <c r="H280" s="18">
        <v>2000.18</v>
      </c>
      <c r="I280" s="18">
        <v>5369.83</v>
      </c>
      <c r="J280" s="18">
        <v>11937.99</v>
      </c>
      <c r="K280" s="18">
        <v>0</v>
      </c>
      <c r="L280" s="19">
        <f>SUM(F280:K280)</f>
        <v>27463.3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19884</v>
      </c>
      <c r="G282" s="18">
        <v>11768.79</v>
      </c>
      <c r="H282" s="18">
        <v>0</v>
      </c>
      <c r="I282" s="18">
        <v>5628.49</v>
      </c>
      <c r="J282" s="18">
        <v>0</v>
      </c>
      <c r="K282" s="18">
        <v>0</v>
      </c>
      <c r="L282" s="19">
        <f t="shared" ref="L282:L288" si="12">SUM(F282:K282)</f>
        <v>37281.279999999999</v>
      </c>
      <c r="M282" s="8"/>
      <c r="N282" s="265"/>
    </row>
    <row r="283" spans="1:14" s="3" customFormat="1" ht="12.2" customHeight="1" x14ac:dyDescent="0.15">
      <c r="A283" s="1" t="s">
        <v>443</v>
      </c>
      <c r="B283" s="2" t="s">
        <v>357</v>
      </c>
      <c r="C283" s="2" t="s">
        <v>295</v>
      </c>
      <c r="D283" s="2" t="s">
        <v>431</v>
      </c>
      <c r="E283" s="6">
        <v>2200</v>
      </c>
      <c r="F283" s="18">
        <v>0</v>
      </c>
      <c r="G283" s="18">
        <v>0</v>
      </c>
      <c r="H283" s="18">
        <v>63023.59</v>
      </c>
      <c r="I283" s="18">
        <v>460.85</v>
      </c>
      <c r="J283" s="18">
        <v>0</v>
      </c>
      <c r="K283" s="18">
        <v>0</v>
      </c>
      <c r="L283" s="19">
        <f t="shared" si="12"/>
        <v>63484.439999999995</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3872.91</v>
      </c>
      <c r="I285" s="18">
        <v>0</v>
      </c>
      <c r="J285" s="18">
        <v>0</v>
      </c>
      <c r="K285" s="18">
        <v>0</v>
      </c>
      <c r="L285" s="19">
        <f t="shared" si="12"/>
        <v>3872.91</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1026.47</v>
      </c>
      <c r="I287" s="18">
        <v>2372.71</v>
      </c>
      <c r="J287" s="18">
        <v>1869.82</v>
      </c>
      <c r="K287" s="18">
        <v>0</v>
      </c>
      <c r="L287" s="19">
        <f t="shared" si="12"/>
        <v>5269</v>
      </c>
      <c r="M287" s="8"/>
      <c r="N287" s="265"/>
    </row>
    <row r="288" spans="1:14" s="3" customFormat="1" ht="12.2" customHeight="1" x14ac:dyDescent="0.15">
      <c r="A288" s="1" t="s">
        <v>448</v>
      </c>
      <c r="B288" s="2" t="s">
        <v>357</v>
      </c>
      <c r="C288" s="2" t="s">
        <v>300</v>
      </c>
      <c r="D288" s="2" t="s">
        <v>431</v>
      </c>
      <c r="E288" s="6">
        <v>2700</v>
      </c>
      <c r="F288" s="18">
        <v>0</v>
      </c>
      <c r="G288" s="18">
        <v>0</v>
      </c>
      <c r="H288" s="18">
        <v>5268.34</v>
      </c>
      <c r="I288" s="18">
        <v>0</v>
      </c>
      <c r="J288" s="18">
        <v>0</v>
      </c>
      <c r="K288" s="18">
        <v>0</v>
      </c>
      <c r="L288" s="19">
        <f t="shared" si="12"/>
        <v>5268.34</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4522.62</v>
      </c>
      <c r="J289" s="18">
        <v>898.73</v>
      </c>
      <c r="K289" s="18">
        <v>0</v>
      </c>
      <c r="L289" s="19">
        <f>SUM(F289:K289)</f>
        <v>5421.35</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328358.82</v>
      </c>
      <c r="G291" s="42">
        <f t="shared" si="13"/>
        <v>198467.59000000003</v>
      </c>
      <c r="H291" s="42">
        <f t="shared" si="13"/>
        <v>81534.11</v>
      </c>
      <c r="I291" s="42">
        <f t="shared" si="13"/>
        <v>23160.199999999997</v>
      </c>
      <c r="J291" s="42">
        <f t="shared" si="13"/>
        <v>14706.539999999999</v>
      </c>
      <c r="K291" s="42">
        <f t="shared" si="13"/>
        <v>0</v>
      </c>
      <c r="L291" s="41">
        <f t="shared" si="13"/>
        <v>646227.26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90371.8</v>
      </c>
      <c r="G297" s="18">
        <v>63715.360000000001</v>
      </c>
      <c r="H297" s="18">
        <v>3151.79</v>
      </c>
      <c r="I297" s="18">
        <v>2382.4299999999998</v>
      </c>
      <c r="J297" s="18">
        <v>0</v>
      </c>
      <c r="K297" s="18">
        <v>0</v>
      </c>
      <c r="L297" s="19">
        <f>SUM(F297:K297)</f>
        <v>159621.38</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4180.83</v>
      </c>
      <c r="G299" s="18">
        <v>760.06</v>
      </c>
      <c r="H299" s="18">
        <v>125.52</v>
      </c>
      <c r="I299" s="18">
        <v>3701.98</v>
      </c>
      <c r="J299" s="18">
        <v>5932.26</v>
      </c>
      <c r="K299" s="18">
        <v>0</v>
      </c>
      <c r="L299" s="19">
        <f>SUM(F299:K299)</f>
        <v>14700.65</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2636.77</v>
      </c>
      <c r="J301" s="18">
        <v>0</v>
      </c>
      <c r="K301" s="18">
        <v>0</v>
      </c>
      <c r="L301" s="19">
        <f t="shared" ref="L301:L307" si="14">SUM(F301:K301)</f>
        <v>2636.77</v>
      </c>
      <c r="M301" s="8"/>
      <c r="N301" s="265"/>
    </row>
    <row r="302" spans="1:14" s="3" customFormat="1" ht="12.2" customHeight="1" x14ac:dyDescent="0.15">
      <c r="A302" s="1" t="s">
        <v>443</v>
      </c>
      <c r="B302" s="2" t="s">
        <v>358</v>
      </c>
      <c r="C302" s="2" t="s">
        <v>295</v>
      </c>
      <c r="D302" s="2" t="s">
        <v>431</v>
      </c>
      <c r="E302" s="6">
        <v>2200</v>
      </c>
      <c r="F302" s="18">
        <v>0</v>
      </c>
      <c r="G302" s="18">
        <v>0</v>
      </c>
      <c r="H302" s="18">
        <v>29469.91</v>
      </c>
      <c r="I302" s="18">
        <v>229</v>
      </c>
      <c r="J302" s="18">
        <v>0</v>
      </c>
      <c r="K302" s="18">
        <v>0</v>
      </c>
      <c r="L302" s="19">
        <f t="shared" si="14"/>
        <v>29698.91</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1924.54</v>
      </c>
      <c r="I304" s="18">
        <v>0</v>
      </c>
      <c r="J304" s="18">
        <v>0</v>
      </c>
      <c r="K304" s="18">
        <v>0</v>
      </c>
      <c r="L304" s="19">
        <f t="shared" si="14"/>
        <v>1924.54</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510.08</v>
      </c>
      <c r="I306" s="18">
        <v>1179.05</v>
      </c>
      <c r="J306" s="18">
        <v>929.15</v>
      </c>
      <c r="K306" s="18">
        <v>0</v>
      </c>
      <c r="L306" s="19">
        <f t="shared" si="14"/>
        <v>2618.2799999999997</v>
      </c>
      <c r="M306" s="8"/>
      <c r="N306" s="265"/>
    </row>
    <row r="307" spans="1:14" s="3" customFormat="1" ht="12.2" customHeight="1" x14ac:dyDescent="0.15">
      <c r="A307" s="1" t="s">
        <v>448</v>
      </c>
      <c r="B307" s="2" t="s">
        <v>358</v>
      </c>
      <c r="C307" s="2" t="s">
        <v>300</v>
      </c>
      <c r="D307" s="2" t="s">
        <v>431</v>
      </c>
      <c r="E307" s="6">
        <v>2700</v>
      </c>
      <c r="F307" s="18">
        <v>0</v>
      </c>
      <c r="G307" s="18">
        <v>0</v>
      </c>
      <c r="H307" s="18">
        <v>2617.96</v>
      </c>
      <c r="I307" s="18">
        <v>0</v>
      </c>
      <c r="J307" s="18">
        <v>0</v>
      </c>
      <c r="K307" s="18">
        <v>0</v>
      </c>
      <c r="L307" s="19">
        <f t="shared" si="14"/>
        <v>2617.96</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2247.39</v>
      </c>
      <c r="J308" s="18">
        <v>446.6</v>
      </c>
      <c r="K308" s="18">
        <v>0</v>
      </c>
      <c r="L308" s="19">
        <f>SUM(F308:K308)</f>
        <v>2693.99</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94552.63</v>
      </c>
      <c r="G310" s="42">
        <f t="shared" si="15"/>
        <v>64475.42</v>
      </c>
      <c r="H310" s="42">
        <f t="shared" si="15"/>
        <v>37799.800000000003</v>
      </c>
      <c r="I310" s="42">
        <f t="shared" si="15"/>
        <v>12376.619999999999</v>
      </c>
      <c r="J310" s="42">
        <f t="shared" si="15"/>
        <v>7308.01</v>
      </c>
      <c r="K310" s="42">
        <f t="shared" si="15"/>
        <v>0</v>
      </c>
      <c r="L310" s="41">
        <f t="shared" si="15"/>
        <v>216512.47999999998</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26494.85</v>
      </c>
      <c r="G316" s="18">
        <v>20472.28</v>
      </c>
      <c r="H316" s="18">
        <v>3914.15</v>
      </c>
      <c r="I316" s="18">
        <v>2958.71</v>
      </c>
      <c r="J316" s="18">
        <v>0</v>
      </c>
      <c r="K316" s="18">
        <v>0</v>
      </c>
      <c r="L316" s="19">
        <f>SUM(F316:K316)</f>
        <v>53839.99</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5192.1000000000004</v>
      </c>
      <c r="G318" s="18">
        <v>943.9</v>
      </c>
      <c r="H318" s="18">
        <v>155.9</v>
      </c>
      <c r="I318" s="18">
        <v>4597.42</v>
      </c>
      <c r="J318" s="18">
        <v>7367.17</v>
      </c>
      <c r="K318" s="18">
        <v>0</v>
      </c>
      <c r="L318" s="19">
        <f>SUM(F318:K318)</f>
        <v>18256.489999999998</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3587.74</v>
      </c>
      <c r="J320" s="18">
        <v>0</v>
      </c>
      <c r="K320" s="18">
        <v>0</v>
      </c>
      <c r="L320" s="19">
        <f t="shared" ref="L320:L326" si="16">SUM(F320:K320)</f>
        <v>3587.74</v>
      </c>
      <c r="M320" s="8"/>
      <c r="N320" s="265"/>
    </row>
    <row r="321" spans="1:14" s="3" customFormat="1" ht="12.2" customHeight="1" x14ac:dyDescent="0.15">
      <c r="A321" s="1" t="s">
        <v>443</v>
      </c>
      <c r="B321" s="2" t="s">
        <v>359</v>
      </c>
      <c r="C321" s="2" t="s">
        <v>295</v>
      </c>
      <c r="D321" s="2" t="s">
        <v>431</v>
      </c>
      <c r="E321" s="6">
        <v>2200</v>
      </c>
      <c r="F321" s="18">
        <v>0</v>
      </c>
      <c r="G321" s="18">
        <v>0</v>
      </c>
      <c r="H321" s="18">
        <v>36598.17</v>
      </c>
      <c r="I321" s="18">
        <v>284.39</v>
      </c>
      <c r="J321" s="18">
        <v>0</v>
      </c>
      <c r="K321" s="18">
        <v>0</v>
      </c>
      <c r="L321" s="19">
        <f t="shared" si="16"/>
        <v>36882.559999999998</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2390.0500000000002</v>
      </c>
      <c r="I323" s="18">
        <v>0</v>
      </c>
      <c r="J323" s="18">
        <v>0</v>
      </c>
      <c r="K323" s="18">
        <v>0</v>
      </c>
      <c r="L323" s="19">
        <f t="shared" si="16"/>
        <v>2390.0500000000002</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633.45000000000005</v>
      </c>
      <c r="I325" s="18">
        <v>1464.25</v>
      </c>
      <c r="J325" s="18">
        <v>1153.9000000000001</v>
      </c>
      <c r="K325" s="18">
        <v>0</v>
      </c>
      <c r="L325" s="19">
        <f t="shared" si="16"/>
        <v>3251.6</v>
      </c>
      <c r="M325" s="8"/>
      <c r="N325" s="265"/>
    </row>
    <row r="326" spans="1:14" s="3" customFormat="1" ht="12.2" customHeight="1" x14ac:dyDescent="0.15">
      <c r="A326" s="1" t="s">
        <v>448</v>
      </c>
      <c r="B326" s="2" t="s">
        <v>359</v>
      </c>
      <c r="C326" s="2" t="s">
        <v>300</v>
      </c>
      <c r="D326" s="2" t="s">
        <v>431</v>
      </c>
      <c r="E326" s="6">
        <v>2700</v>
      </c>
      <c r="F326" s="18">
        <v>0</v>
      </c>
      <c r="G326" s="18">
        <v>0</v>
      </c>
      <c r="H326" s="18">
        <v>3251.2</v>
      </c>
      <c r="I326" s="18">
        <v>0</v>
      </c>
      <c r="J326" s="18">
        <v>0</v>
      </c>
      <c r="K326" s="18">
        <v>0</v>
      </c>
      <c r="L326" s="19">
        <f t="shared" si="16"/>
        <v>3251.2</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2791</v>
      </c>
      <c r="J327" s="18">
        <v>554.62</v>
      </c>
      <c r="K327" s="18">
        <v>0</v>
      </c>
      <c r="L327" s="19">
        <f>SUM(F327:K327)</f>
        <v>3345.62</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31686.949999999997</v>
      </c>
      <c r="G329" s="42">
        <f t="shared" si="17"/>
        <v>21416.18</v>
      </c>
      <c r="H329" s="42">
        <f t="shared" si="17"/>
        <v>46942.92</v>
      </c>
      <c r="I329" s="42">
        <f t="shared" si="17"/>
        <v>15683.509999999998</v>
      </c>
      <c r="J329" s="42">
        <f t="shared" si="17"/>
        <v>9075.69</v>
      </c>
      <c r="K329" s="42">
        <f t="shared" si="17"/>
        <v>0</v>
      </c>
      <c r="L329" s="41">
        <f t="shared" si="17"/>
        <v>124805.25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2020395.65</v>
      </c>
      <c r="I337" s="18"/>
      <c r="J337" s="18"/>
      <c r="K337" s="18"/>
      <c r="L337" s="19">
        <f t="shared" si="18"/>
        <v>2020395.65</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2020395.65</v>
      </c>
      <c r="I338" s="41">
        <f t="shared" si="19"/>
        <v>0</v>
      </c>
      <c r="J338" s="41">
        <f t="shared" si="19"/>
        <v>0</v>
      </c>
      <c r="K338" s="41">
        <f t="shared" si="19"/>
        <v>0</v>
      </c>
      <c r="L338" s="41">
        <f t="shared" si="18"/>
        <v>2020395.65</v>
      </c>
      <c r="M338" s="8"/>
      <c r="N338" s="265"/>
    </row>
    <row r="339" spans="1:43" s="3" customFormat="1" ht="12.2" customHeight="1" thickTop="1" x14ac:dyDescent="0.15">
      <c r="A339" s="38" t="s">
        <v>468</v>
      </c>
      <c r="B339" s="40">
        <v>14</v>
      </c>
      <c r="C339" s="40">
        <v>7</v>
      </c>
      <c r="D339" s="39" t="s">
        <v>431</v>
      </c>
      <c r="E339" s="40"/>
      <c r="F339" s="41">
        <f t="shared" ref="F339:L339" si="20">F291+F310+F329+F338</f>
        <v>454598.40000000002</v>
      </c>
      <c r="G339" s="41">
        <f t="shared" si="20"/>
        <v>284359.19</v>
      </c>
      <c r="H339" s="41">
        <f t="shared" si="20"/>
        <v>2186672.48</v>
      </c>
      <c r="I339" s="41">
        <f t="shared" si="20"/>
        <v>51220.329999999987</v>
      </c>
      <c r="J339" s="41">
        <f t="shared" si="20"/>
        <v>31090.239999999998</v>
      </c>
      <c r="K339" s="41">
        <f t="shared" si="20"/>
        <v>0</v>
      </c>
      <c r="L339" s="41">
        <f t="shared" si="20"/>
        <v>3007940.6399999997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25910.28</v>
      </c>
      <c r="L345" s="19">
        <f t="shared" ref="L345:L351" si="21">SUM(F345:K345)</f>
        <v>25910.28</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25910.28</v>
      </c>
      <c r="L352" s="41">
        <f>SUM(L342:L351)</f>
        <v>25910.28</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454598.40000000002</v>
      </c>
      <c r="G353" s="41">
        <f>G339</f>
        <v>284359.19</v>
      </c>
      <c r="H353" s="41">
        <f>H339</f>
        <v>2186672.48</v>
      </c>
      <c r="I353" s="41">
        <f>I339</f>
        <v>51220.329999999987</v>
      </c>
      <c r="J353" s="41">
        <f>J339</f>
        <v>31090.239999999998</v>
      </c>
      <c r="K353" s="47">
        <f>K339+K352</f>
        <v>25910.28</v>
      </c>
      <c r="L353" s="41">
        <f>L339+L352</f>
        <v>3033850.9199999995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749.28</v>
      </c>
      <c r="G359" s="18">
        <v>57.33</v>
      </c>
      <c r="H359" s="18">
        <f>331926.74-0.01</f>
        <v>331926.73</v>
      </c>
      <c r="I359" s="18">
        <f>2978.77-0.01</f>
        <v>2978.7599999999998</v>
      </c>
      <c r="J359" s="18">
        <v>5769.99</v>
      </c>
      <c r="K359" s="18">
        <v>0</v>
      </c>
      <c r="L359" s="13">
        <f>SUM(F359:K359)</f>
        <v>341482.08999999997</v>
      </c>
      <c r="M359" s="8"/>
      <c r="N359" s="265"/>
    </row>
    <row r="360" spans="1:22" s="3" customFormat="1" ht="12.2" customHeight="1" x14ac:dyDescent="0.15">
      <c r="A360" s="1" t="s">
        <v>542</v>
      </c>
      <c r="B360" s="2" t="s">
        <v>366</v>
      </c>
      <c r="C360" s="6">
        <v>2</v>
      </c>
      <c r="D360" s="2" t="s">
        <v>431</v>
      </c>
      <c r="E360" s="6"/>
      <c r="F360" s="18">
        <v>372.34</v>
      </c>
      <c r="G360" s="18">
        <v>28.49</v>
      </c>
      <c r="H360" s="18">
        <v>164941.94</v>
      </c>
      <c r="I360" s="18">
        <v>1480.22</v>
      </c>
      <c r="J360" s="18">
        <v>2867.24</v>
      </c>
      <c r="K360" s="18">
        <v>0</v>
      </c>
      <c r="L360" s="19">
        <f>SUM(F360:K360)</f>
        <v>169690.22999999998</v>
      </c>
      <c r="M360" s="8"/>
      <c r="N360" s="265"/>
    </row>
    <row r="361" spans="1:22" s="3" customFormat="1" ht="12.2" customHeight="1" x14ac:dyDescent="0.15">
      <c r="A361" s="3" t="s">
        <v>543</v>
      </c>
      <c r="B361" s="2" t="s">
        <v>366</v>
      </c>
      <c r="C361" s="6">
        <v>3</v>
      </c>
      <c r="D361" s="2" t="s">
        <v>431</v>
      </c>
      <c r="E361" s="6"/>
      <c r="F361" s="18">
        <v>462.4</v>
      </c>
      <c r="G361" s="18">
        <v>35.380000000000003</v>
      </c>
      <c r="H361" s="18">
        <v>204838.52</v>
      </c>
      <c r="I361" s="18">
        <v>1838.26</v>
      </c>
      <c r="J361" s="18">
        <v>3560.77</v>
      </c>
      <c r="K361" s="18">
        <v>0</v>
      </c>
      <c r="L361" s="19">
        <f>SUM(F361:K361)</f>
        <v>210735.33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1584.02</v>
      </c>
      <c r="G363" s="47">
        <f t="shared" si="22"/>
        <v>121.19999999999999</v>
      </c>
      <c r="H363" s="47">
        <f t="shared" si="22"/>
        <v>701707.19</v>
      </c>
      <c r="I363" s="47">
        <f t="shared" si="22"/>
        <v>6297.24</v>
      </c>
      <c r="J363" s="47">
        <f t="shared" si="22"/>
        <v>12198</v>
      </c>
      <c r="K363" s="47">
        <f t="shared" si="22"/>
        <v>0</v>
      </c>
      <c r="L363" s="47">
        <f t="shared" si="22"/>
        <v>721907.64999999991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2978.76</v>
      </c>
      <c r="G369" s="63">
        <v>1480.22</v>
      </c>
      <c r="H369" s="63">
        <v>1838.26</v>
      </c>
      <c r="I369" s="56">
        <f>SUM(F369:H369)</f>
        <v>6297.2400000000007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2978.76</v>
      </c>
      <c r="G370" s="47">
        <f>SUM(G368:G369)</f>
        <v>1480.22</v>
      </c>
      <c r="H370" s="47">
        <f>SUM(H368:H369)</f>
        <v>1838.26</v>
      </c>
      <c r="I370" s="47">
        <f>SUM(I368:I369)</f>
        <v>6297.2400000000007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500000</v>
      </c>
      <c r="H390" s="18">
        <f>2314.77-173.11</f>
        <v>2141.66</v>
      </c>
      <c r="I390" s="18"/>
      <c r="J390" s="24" t="s">
        <v>288</v>
      </c>
      <c r="K390" s="24" t="s">
        <v>288</v>
      </c>
      <c r="L390" s="56">
        <f t="shared" si="25"/>
        <v>502141.66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500000</v>
      </c>
      <c r="H394" s="139">
        <f>SUM(H388:H393)</f>
        <v>2141.66</v>
      </c>
      <c r="I394" s="65">
        <f>SUM(I388:I393)</f>
        <v>0</v>
      </c>
      <c r="J394" s="45" t="s">
        <v>288</v>
      </c>
      <c r="K394" s="45" t="s">
        <v>288</v>
      </c>
      <c r="L394" s="47">
        <f>SUM(L388:L393)</f>
        <v>502141.66</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f>4957.84-189.47</f>
        <v>4768.37</v>
      </c>
      <c r="I398" s="18"/>
      <c r="J398" s="24" t="s">
        <v>288</v>
      </c>
      <c r="K398" s="24" t="s">
        <v>288</v>
      </c>
      <c r="L398" s="56">
        <f t="shared" si="26"/>
        <v>29768.37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f>37146.89+167961.15-2141.66-4768.37</f>
        <v>198198.00999999998</v>
      </c>
      <c r="I401" s="18"/>
      <c r="J401" s="24" t="s">
        <v>288</v>
      </c>
      <c r="K401" s="24" t="s">
        <v>288</v>
      </c>
      <c r="L401" s="56">
        <f t="shared" si="26"/>
        <v>198198.00999999998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202966.37999999998</v>
      </c>
      <c r="I402" s="47">
        <f>SUM(I396:I401)</f>
        <v>0</v>
      </c>
      <c r="J402" s="45" t="s">
        <v>288</v>
      </c>
      <c r="K402" s="45" t="s">
        <v>288</v>
      </c>
      <c r="L402" s="47">
        <f>SUM(L396:L401)</f>
        <v>227966.37999999998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1802</v>
      </c>
      <c r="B404" s="2" t="s">
        <v>381</v>
      </c>
      <c r="C404" s="6">
        <v>15</v>
      </c>
      <c r="D404" s="2" t="s">
        <v>432</v>
      </c>
      <c r="E404" s="6"/>
      <c r="F404" s="18"/>
      <c r="G404" s="18"/>
      <c r="H404" s="18">
        <f>28129.08+159165.35</f>
        <v>187294.43</v>
      </c>
      <c r="I404" s="18"/>
      <c r="J404" s="24" t="s">
        <v>288</v>
      </c>
      <c r="K404" s="24" t="s">
        <v>288</v>
      </c>
      <c r="L404" s="56">
        <f>SUM(F404:K404)</f>
        <v>187294.43</v>
      </c>
      <c r="M404" s="8"/>
      <c r="N404" s="265"/>
    </row>
    <row r="405" spans="1:21" s="3" customFormat="1" ht="12.2" customHeight="1" x14ac:dyDescent="0.15">
      <c r="A405" s="110" t="s">
        <v>1803</v>
      </c>
      <c r="B405" s="2" t="s">
        <v>381</v>
      </c>
      <c r="C405" s="6">
        <v>16</v>
      </c>
      <c r="D405" s="2" t="s">
        <v>432</v>
      </c>
      <c r="E405" s="6"/>
      <c r="F405" s="18"/>
      <c r="G405" s="18"/>
      <c r="H405" s="18">
        <f>745.26+4211.85</f>
        <v>4957.1100000000006</v>
      </c>
      <c r="I405" s="18"/>
      <c r="J405" s="24" t="s">
        <v>288</v>
      </c>
      <c r="K405" s="24" t="s">
        <v>288</v>
      </c>
      <c r="L405" s="56">
        <f>SUM(F405:K405)</f>
        <v>4957.1100000000006</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192251.53999999998</v>
      </c>
      <c r="I408" s="47">
        <f>SUM(I404:I407)</f>
        <v>0</v>
      </c>
      <c r="J408" s="49" t="s">
        <v>288</v>
      </c>
      <c r="K408" s="49" t="s">
        <v>288</v>
      </c>
      <c r="L408" s="47">
        <f>SUM(L404:L407)</f>
        <v>192251.53999999998</v>
      </c>
      <c r="M408" s="8"/>
      <c r="N408" s="265"/>
    </row>
    <row r="409" spans="1:21" s="3" customFormat="1" ht="12.2" customHeight="1" thickTop="1" x14ac:dyDescent="0.15">
      <c r="A409" s="78" t="s">
        <v>421</v>
      </c>
      <c r="B409" s="2" t="s">
        <v>381</v>
      </c>
      <c r="C409" s="6">
        <v>20</v>
      </c>
      <c r="D409" s="6"/>
      <c r="E409" s="40"/>
      <c r="F409" s="47">
        <f>F394+F402+F408</f>
        <v>0</v>
      </c>
      <c r="G409" s="47">
        <f>G394+G402+G408</f>
        <v>525000</v>
      </c>
      <c r="H409" s="47">
        <f>H394+H402+H408</f>
        <v>397359.57999999996</v>
      </c>
      <c r="I409" s="47">
        <f>I394+I402+I408</f>
        <v>0</v>
      </c>
      <c r="J409" s="24" t="s">
        <v>288</v>
      </c>
      <c r="K409" s="24" t="s">
        <v>288</v>
      </c>
      <c r="L409" s="47">
        <f>L394+L402+L408</f>
        <v>922359.57999999984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f>11717.72+760506.74+1596.57</f>
        <v>773821.02999999991</v>
      </c>
      <c r="I416" s="18"/>
      <c r="J416" s="18"/>
      <c r="K416" s="18"/>
      <c r="L416" s="56">
        <f t="shared" si="27"/>
        <v>773821.02999999991</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773821.02999999991</v>
      </c>
      <c r="I420" s="139">
        <f t="shared" si="28"/>
        <v>0</v>
      </c>
      <c r="J420" s="139">
        <f t="shared" si="28"/>
        <v>0</v>
      </c>
      <c r="K420" s="139">
        <f t="shared" si="28"/>
        <v>0</v>
      </c>
      <c r="L420" s="47">
        <f t="shared" si="28"/>
        <v>773821.02999999991</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f>45775+132708+37204.79+2743.23</f>
        <v>218431.02000000002</v>
      </c>
      <c r="I424" s="18"/>
      <c r="J424" s="18"/>
      <c r="K424" s="18"/>
      <c r="L424" s="56">
        <f t="shared" si="29"/>
        <v>218431.02000000002</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f>27429.89-1596.57-2743.23</f>
        <v>23090.09</v>
      </c>
      <c r="I427" s="18">
        <v>21360.19</v>
      </c>
      <c r="J427" s="18">
        <v>51846.67</v>
      </c>
      <c r="K427" s="18"/>
      <c r="L427" s="56">
        <f t="shared" si="29"/>
        <v>96296.95</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241521.11000000002</v>
      </c>
      <c r="I428" s="47">
        <f t="shared" si="30"/>
        <v>21360.19</v>
      </c>
      <c r="J428" s="47">
        <f t="shared" si="30"/>
        <v>51846.67</v>
      </c>
      <c r="K428" s="47">
        <f t="shared" si="30"/>
        <v>0</v>
      </c>
      <c r="L428" s="47">
        <f t="shared" si="30"/>
        <v>314727.97000000003</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1802</v>
      </c>
      <c r="B430" s="6">
        <v>17</v>
      </c>
      <c r="C430" s="6">
        <v>15</v>
      </c>
      <c r="D430" s="2" t="s">
        <v>432</v>
      </c>
      <c r="E430" s="6"/>
      <c r="F430" s="18"/>
      <c r="G430" s="18"/>
      <c r="H430" s="18">
        <f>17200+8130.13</f>
        <v>25330.13</v>
      </c>
      <c r="I430" s="18"/>
      <c r="J430" s="18"/>
      <c r="K430" s="18"/>
      <c r="L430" s="56">
        <f>SUM(F430:K430)</f>
        <v>25330.13</v>
      </c>
      <c r="M430" s="68"/>
      <c r="N430" s="226"/>
    </row>
    <row r="431" spans="1:21" ht="12.2" customHeight="1" x14ac:dyDescent="0.2">
      <c r="A431" s="110" t="s">
        <v>1803</v>
      </c>
      <c r="B431" s="6">
        <v>17</v>
      </c>
      <c r="C431" s="6">
        <v>16</v>
      </c>
      <c r="D431" s="2" t="s">
        <v>432</v>
      </c>
      <c r="E431" s="6"/>
      <c r="F431" s="18"/>
      <c r="G431" s="18"/>
      <c r="H431" s="18">
        <v>709.74</v>
      </c>
      <c r="I431" s="18"/>
      <c r="J431" s="18"/>
      <c r="K431" s="18"/>
      <c r="L431" s="56">
        <f>SUM(F431:K431)</f>
        <v>709.74</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26039.870000000003</v>
      </c>
      <c r="I434" s="47">
        <f t="shared" si="31"/>
        <v>0</v>
      </c>
      <c r="J434" s="47">
        <f t="shared" si="31"/>
        <v>0</v>
      </c>
      <c r="K434" s="47">
        <f t="shared" si="31"/>
        <v>0</v>
      </c>
      <c r="L434" s="47">
        <f t="shared" si="31"/>
        <v>26039.870000000003</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1041382.0099999999</v>
      </c>
      <c r="I435" s="47">
        <f t="shared" si="32"/>
        <v>21360.19</v>
      </c>
      <c r="J435" s="47">
        <f t="shared" si="32"/>
        <v>51846.67</v>
      </c>
      <c r="K435" s="47">
        <f t="shared" si="32"/>
        <v>0</v>
      </c>
      <c r="L435" s="47">
        <f t="shared" si="32"/>
        <v>1114588.8700000001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31377.84</v>
      </c>
      <c r="G441" s="18">
        <f>1701356.44-31377.84</f>
        <v>1669978.5999999999</v>
      </c>
      <c r="H441" s="18">
        <f>1268547.61+33493.03</f>
        <v>1302040.6400000001</v>
      </c>
      <c r="I441" s="56">
        <f t="shared" si="33"/>
        <v>3003397.08</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64135.21</v>
      </c>
      <c r="H442" s="18"/>
      <c r="I442" s="56">
        <f t="shared" si="33"/>
        <v>64135.21</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31377.84</v>
      </c>
      <c r="G447" s="13">
        <f>SUM(G440:G446)</f>
        <v>1734113.8099999998</v>
      </c>
      <c r="H447" s="13">
        <f>SUM(H440:H446)</f>
        <v>1302040.6400000001</v>
      </c>
      <c r="I447" s="13">
        <f>SUM(I440:I446)</f>
        <v>3067532.29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v>161721.31</v>
      </c>
      <c r="H450" s="18"/>
      <c r="I450" s="56">
        <f>SUM(F450:H450)</f>
        <v>161721.31</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v>64135.21</v>
      </c>
      <c r="H451" s="18"/>
      <c r="I451" s="56">
        <f>SUM(F451:H451)</f>
        <v>64135.21</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225856.52</v>
      </c>
      <c r="H453" s="72">
        <f>SUM(H449:H452)</f>
        <v>0</v>
      </c>
      <c r="I453" s="72">
        <f>SUM(I449:I452)</f>
        <v>225856.52</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31377.84</v>
      </c>
      <c r="G457" s="18">
        <f>1669978.6-161721.31</f>
        <v>1508257.29</v>
      </c>
      <c r="H457" s="18">
        <v>1302040.6399999999</v>
      </c>
      <c r="I457" s="56">
        <f t="shared" si="34"/>
        <v>2841675.77</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31377.84</v>
      </c>
      <c r="G461" s="83">
        <f>SUM(G455:G460)</f>
        <v>1508257.29</v>
      </c>
      <c r="H461" s="83">
        <f>SUM(H455:H460)</f>
        <v>1302040.6399999999</v>
      </c>
      <c r="I461" s="83">
        <f>SUM(I455:I460)</f>
        <v>2841675.77</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31377.84</v>
      </c>
      <c r="G462" s="42">
        <f>G453+G461</f>
        <v>1734113.81</v>
      </c>
      <c r="H462" s="42">
        <f>H453+H461</f>
        <v>1302040.6399999999</v>
      </c>
      <c r="I462" s="42">
        <f>I453+I461</f>
        <v>3067532.29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2019935.01</v>
      </c>
      <c r="G466" s="18">
        <v>49528.54</v>
      </c>
      <c r="H466" s="18">
        <v>0</v>
      </c>
      <c r="I466" s="18">
        <v>0</v>
      </c>
      <c r="J466" s="18">
        <v>3033905.06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25013252.66</v>
      </c>
      <c r="G469" s="18">
        <v>889164.57</v>
      </c>
      <c r="H469" s="18">
        <v>3033850.92</v>
      </c>
      <c r="I469" s="18">
        <v>0</v>
      </c>
      <c r="J469" s="18">
        <v>922359.58</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25013252.66</v>
      </c>
      <c r="G471" s="53">
        <f>SUM(G469:G470)</f>
        <v>889164.57</v>
      </c>
      <c r="H471" s="53">
        <f>SUM(H469:H470)</f>
        <v>3033850.92</v>
      </c>
      <c r="I471" s="53">
        <f>SUM(I469:I470)</f>
        <v>0</v>
      </c>
      <c r="J471" s="53">
        <f>SUM(J469:J470)</f>
        <v>922359.58</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25985869.870000001</v>
      </c>
      <c r="G473" s="18">
        <v>721907.65</v>
      </c>
      <c r="H473" s="18">
        <v>3033850.92</v>
      </c>
      <c r="I473" s="18">
        <v>0</v>
      </c>
      <c r="J473" s="18">
        <v>1114588.8700000001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25985869.870000001</v>
      </c>
      <c r="G475" s="53">
        <f>SUM(G473:G474)</f>
        <v>721907.65</v>
      </c>
      <c r="H475" s="53">
        <f>SUM(H473:H474)</f>
        <v>3033850.92</v>
      </c>
      <c r="I475" s="53">
        <f>SUM(I473:I474)</f>
        <v>0</v>
      </c>
      <c r="J475" s="53">
        <f>SUM(J473:J474)</f>
        <v>1114588.8700000001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1047317.8000000007</v>
      </c>
      <c r="G477" s="53">
        <f>(G466+G471)- G475</f>
        <v>216785.45999999996</v>
      </c>
      <c r="H477" s="53">
        <f>(H466+H471)- H475</f>
        <v>0</v>
      </c>
      <c r="I477" s="53">
        <f>(I466+I471)- I475</f>
        <v>0</v>
      </c>
      <c r="J477" s="53">
        <f>(J466+J471)- J475</f>
        <v>2841675.77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15</v>
      </c>
      <c r="G491" s="154">
        <v>10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1804</v>
      </c>
      <c r="G492" s="155" t="s">
        <v>1805</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1806</v>
      </c>
      <c r="G493" s="155" t="s">
        <v>1807</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9247684</v>
      </c>
      <c r="G494" s="18">
        <v>1446400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5</v>
      </c>
      <c r="G495" s="18">
        <v>5.0999999999999996</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615000</v>
      </c>
      <c r="G496" s="18">
        <v>1015000</v>
      </c>
      <c r="H496" s="18"/>
      <c r="I496" s="18"/>
      <c r="J496" s="18"/>
      <c r="K496" s="53">
        <f>SUM(F496:J496)</f>
        <v>1630000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615000</v>
      </c>
      <c r="G498" s="18">
        <v>145000</v>
      </c>
      <c r="H498" s="18"/>
      <c r="I498" s="18"/>
      <c r="J498" s="18"/>
      <c r="K498" s="53">
        <f t="shared" si="35"/>
        <v>760000</v>
      </c>
      <c r="L498" s="24" t="s">
        <v>288</v>
      </c>
      <c r="N498" s="264"/>
    </row>
    <row r="499" spans="1:14" s="52" customFormat="1" ht="12.2" customHeight="1" x14ac:dyDescent="0.2">
      <c r="A499" s="199" t="s">
        <v>622</v>
      </c>
      <c r="B499" s="200">
        <v>20</v>
      </c>
      <c r="C499" s="201">
        <v>9</v>
      </c>
      <c r="D499" s="202" t="s">
        <v>432</v>
      </c>
      <c r="E499" s="201"/>
      <c r="F499" s="203">
        <v>0</v>
      </c>
      <c r="G499" s="203">
        <v>870000</v>
      </c>
      <c r="H499" s="203"/>
      <c r="I499" s="203"/>
      <c r="J499" s="203"/>
      <c r="K499" s="204">
        <f t="shared" si="35"/>
        <v>870000</v>
      </c>
      <c r="L499" s="205" t="s">
        <v>288</v>
      </c>
      <c r="N499" s="264"/>
    </row>
    <row r="500" spans="1:14" s="52" customFormat="1" ht="12.2" customHeight="1" thickBot="1" x14ac:dyDescent="0.25">
      <c r="A500" s="22" t="s">
        <v>623</v>
      </c>
      <c r="B500" s="75">
        <v>20</v>
      </c>
      <c r="C500" s="115">
        <v>10</v>
      </c>
      <c r="D500" s="2" t="s">
        <v>432</v>
      </c>
      <c r="E500" s="115"/>
      <c r="F500" s="18">
        <v>0</v>
      </c>
      <c r="G500" s="18">
        <v>133110</v>
      </c>
      <c r="H500" s="18"/>
      <c r="I500" s="18"/>
      <c r="J500" s="18"/>
      <c r="K500" s="53">
        <f t="shared" si="35"/>
        <v>133110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1003110</v>
      </c>
      <c r="H501" s="42">
        <f>SUM(H499:H500)</f>
        <v>0</v>
      </c>
      <c r="I501" s="42">
        <f>SUM(I499:I500)</f>
        <v>0</v>
      </c>
      <c r="J501" s="42">
        <f>SUM(J499:J500)</f>
        <v>0</v>
      </c>
      <c r="K501" s="42">
        <f t="shared" si="35"/>
        <v>1003110</v>
      </c>
      <c r="L501" s="45" t="s">
        <v>288</v>
      </c>
      <c r="N501" s="264"/>
    </row>
    <row r="502" spans="1:14" s="52" customFormat="1" ht="12.2" customHeight="1" x14ac:dyDescent="0.2">
      <c r="A502" s="199" t="s">
        <v>651</v>
      </c>
      <c r="B502" s="200">
        <v>20</v>
      </c>
      <c r="C502" s="201">
        <v>12</v>
      </c>
      <c r="D502" s="202" t="s">
        <v>432</v>
      </c>
      <c r="E502" s="201"/>
      <c r="F502" s="203">
        <v>0</v>
      </c>
      <c r="G502" s="203">
        <v>145000</v>
      </c>
      <c r="H502" s="203"/>
      <c r="I502" s="203"/>
      <c r="J502" s="203"/>
      <c r="K502" s="204">
        <f t="shared" si="35"/>
        <v>145000</v>
      </c>
      <c r="L502" s="205" t="s">
        <v>288</v>
      </c>
      <c r="N502" s="264"/>
    </row>
    <row r="503" spans="1:14" s="52" customFormat="1" ht="12.2" customHeight="1" thickBot="1" x14ac:dyDescent="0.25">
      <c r="A503" s="22" t="s">
        <v>625</v>
      </c>
      <c r="B503" s="75">
        <v>20</v>
      </c>
      <c r="C503" s="115">
        <v>13</v>
      </c>
      <c r="D503" s="2" t="s">
        <v>432</v>
      </c>
      <c r="E503" s="115"/>
      <c r="F503" s="18">
        <v>0</v>
      </c>
      <c r="G503" s="18">
        <f>22185+18487.5</f>
        <v>40672.5</v>
      </c>
      <c r="H503" s="18"/>
      <c r="I503" s="18"/>
      <c r="J503" s="18"/>
      <c r="K503" s="53">
        <f t="shared" si="35"/>
        <v>40672.5</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185672.5</v>
      </c>
      <c r="H504" s="42">
        <f>SUM(H502:H503)</f>
        <v>0</v>
      </c>
      <c r="I504" s="42">
        <f>SUM(I502:I503)</f>
        <v>0</v>
      </c>
      <c r="J504" s="42">
        <f>SUM(J502:J503)</f>
        <v>0</v>
      </c>
      <c r="K504" s="42">
        <f t="shared" si="35"/>
        <v>185672.5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1259022.53</v>
      </c>
      <c r="G508" s="144"/>
      <c r="H508" s="144">
        <v>180712.88</v>
      </c>
      <c r="I508" s="144">
        <f>47309.48+1031000.17</f>
        <v>1078309.6500000001</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750120.15</v>
      </c>
      <c r="G512" s="24" t="s">
        <v>288</v>
      </c>
      <c r="H512" s="18">
        <v>750120.15</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267254.40000000002</v>
      </c>
      <c r="G513" s="24" t="s">
        <v>288</v>
      </c>
      <c r="H513" s="18">
        <v>1535172.35</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29018778.68</v>
      </c>
      <c r="G514" s="24" t="s">
        <v>288</v>
      </c>
      <c r="H514" s="18">
        <v>29018778.68</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1493229.49</v>
      </c>
      <c r="G515" s="24" t="s">
        <v>288</v>
      </c>
      <c r="H515" s="18">
        <v>1454564.69</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v>1995708.15</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v>31529382.719999999</v>
      </c>
      <c r="H517" s="24" t="s">
        <v>288</v>
      </c>
      <c r="I517" s="18">
        <f>2745828.3+32008515.72</f>
        <v>34754344.019999996</v>
      </c>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31529382.719999999</v>
      </c>
      <c r="G518" s="42">
        <f>SUM(G512:G517)</f>
        <v>31529382.719999999</v>
      </c>
      <c r="H518" s="42">
        <f>SUM(H512:H517)</f>
        <v>34754344.020000003</v>
      </c>
      <c r="I518" s="42">
        <f>SUM(I512:I517)</f>
        <v>34754344.019999996</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1216546.5+709.54+149762.46</f>
        <v>1367018.5</v>
      </c>
      <c r="G522" s="18">
        <f>580234.25+199.29+89180.09</f>
        <v>669613.63</v>
      </c>
      <c r="H522" s="18">
        <f>276009.09+6342.62</f>
        <v>282351.71000000002</v>
      </c>
      <c r="I522" s="18">
        <f>3603.42+4794.37+11.34</f>
        <v>8409.130000000001</v>
      </c>
      <c r="J522" s="18">
        <v>1290.1300000000001</v>
      </c>
      <c r="K522" s="18">
        <v>80</v>
      </c>
      <c r="L522" s="88">
        <f>SUM(F522:K522)</f>
        <v>2328763.0999999996</v>
      </c>
      <c r="N522" s="264"/>
    </row>
    <row r="523" spans="1:14" s="52" customFormat="1" ht="12.2" customHeight="1" x14ac:dyDescent="0.2">
      <c r="A523" s="22" t="s">
        <v>634</v>
      </c>
      <c r="B523" s="105">
        <v>21</v>
      </c>
      <c r="C523" s="115">
        <v>2</v>
      </c>
      <c r="D523" s="2" t="s">
        <v>432</v>
      </c>
      <c r="E523" s="115"/>
      <c r="F523" s="18">
        <f>473445.48+352.59+90019.21</f>
        <v>563817.28</v>
      </c>
      <c r="G523" s="18">
        <f>261484.81+99.03+63616.33</f>
        <v>325200.17</v>
      </c>
      <c r="H523" s="18">
        <f>69941.57+3151.79</f>
        <v>73093.36</v>
      </c>
      <c r="I523" s="18">
        <f>1426.29+2382.43</f>
        <v>3808.72</v>
      </c>
      <c r="J523" s="18">
        <v>411.07</v>
      </c>
      <c r="K523" s="18">
        <v>0</v>
      </c>
      <c r="L523" s="88">
        <f>SUM(F523:K523)</f>
        <v>966330.59999999986</v>
      </c>
      <c r="N523" s="264"/>
    </row>
    <row r="524" spans="1:14" s="52" customFormat="1" ht="12.2" customHeight="1" thickBot="1" x14ac:dyDescent="0.25">
      <c r="A524" s="22" t="s">
        <v>635</v>
      </c>
      <c r="B524" s="105">
        <v>21</v>
      </c>
      <c r="C524" s="115">
        <v>3</v>
      </c>
      <c r="D524" s="2" t="s">
        <v>432</v>
      </c>
      <c r="E524" s="115"/>
      <c r="F524" s="18">
        <f>528959.6+437.87+26056.98</f>
        <v>555454.44999999995</v>
      </c>
      <c r="G524" s="18">
        <f>277926.81+122.98+20349.3</f>
        <v>298399.08999999997</v>
      </c>
      <c r="H524" s="18">
        <f>1099954.79+3914.15+45775+132708</f>
        <v>1282351.94</v>
      </c>
      <c r="I524" s="18">
        <f>1396.16+2958.7</f>
        <v>4354.8599999999997</v>
      </c>
      <c r="J524" s="18">
        <v>1474.08</v>
      </c>
      <c r="K524" s="18">
        <v>0</v>
      </c>
      <c r="L524" s="88">
        <f>SUM(F524:K524)</f>
        <v>2142034.42</v>
      </c>
      <c r="N524" s="264"/>
    </row>
    <row r="525" spans="1:14" s="52" customFormat="1" ht="12.2" customHeight="1" thickTop="1" x14ac:dyDescent="0.2">
      <c r="A525" s="139" t="s">
        <v>63</v>
      </c>
      <c r="B525" s="107">
        <v>21</v>
      </c>
      <c r="C525" s="194">
        <v>4</v>
      </c>
      <c r="D525" s="195" t="s">
        <v>432</v>
      </c>
      <c r="E525" s="194"/>
      <c r="F525" s="108">
        <f>SUM(F522:F524)</f>
        <v>2486290.23</v>
      </c>
      <c r="G525" s="108">
        <f t="shared" ref="G525:L525" si="36">SUM(G522:G524)</f>
        <v>1293212.8900000001</v>
      </c>
      <c r="H525" s="108">
        <f t="shared" si="36"/>
        <v>1637797.01</v>
      </c>
      <c r="I525" s="108">
        <f t="shared" si="36"/>
        <v>16572.71</v>
      </c>
      <c r="J525" s="108">
        <f t="shared" si="36"/>
        <v>3175.2799999999997</v>
      </c>
      <c r="K525" s="108">
        <f t="shared" si="36"/>
        <v>80</v>
      </c>
      <c r="L525" s="89">
        <f t="shared" si="36"/>
        <v>5437128.1199999992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101140.14</v>
      </c>
      <c r="G527" s="18">
        <v>59906.86</v>
      </c>
      <c r="H527" s="18">
        <f>167103.06+5877+763.78</f>
        <v>173743.84</v>
      </c>
      <c r="I527" s="18">
        <f>5167+1470.64+322.3</f>
        <v>6959.9400000000005</v>
      </c>
      <c r="J527" s="18">
        <v>0</v>
      </c>
      <c r="K527" s="18">
        <v>3784.22</v>
      </c>
      <c r="L527" s="88">
        <f>SUM(F527:K527)</f>
        <v>345534.99999999994</v>
      </c>
      <c r="M527" s="8"/>
      <c r="N527" s="265"/>
    </row>
    <row r="528" spans="1:14" s="3" customFormat="1" ht="12.2" customHeight="1" x14ac:dyDescent="0.15">
      <c r="A528" s="22" t="s">
        <v>634</v>
      </c>
      <c r="B528" s="105">
        <v>21</v>
      </c>
      <c r="C528" s="115">
        <v>6</v>
      </c>
      <c r="D528" s="2" t="s">
        <v>432</v>
      </c>
      <c r="E528" s="115"/>
      <c r="F528" s="18">
        <v>98165.13</v>
      </c>
      <c r="G528" s="18">
        <v>58144.43</v>
      </c>
      <c r="H528" s="18">
        <f>108463.19+2920.41</f>
        <v>111383.6</v>
      </c>
      <c r="I528" s="18">
        <f>1012.48+730.8</f>
        <v>1743.28</v>
      </c>
      <c r="J528" s="18">
        <v>0</v>
      </c>
      <c r="K528" s="18">
        <v>1880.46</v>
      </c>
      <c r="L528" s="88">
        <f>SUM(F528:K528)</f>
        <v>271316.90000000008</v>
      </c>
      <c r="M528" s="8"/>
      <c r="N528" s="265"/>
    </row>
    <row r="529" spans="1:14" s="3" customFormat="1" ht="12.2" customHeight="1" thickBot="1" x14ac:dyDescent="0.2">
      <c r="A529" s="22" t="s">
        <v>635</v>
      </c>
      <c r="B529" s="118">
        <v>21</v>
      </c>
      <c r="C529" s="118">
        <v>7</v>
      </c>
      <c r="D529" s="2" t="s">
        <v>432</v>
      </c>
      <c r="E529" s="118"/>
      <c r="F529" s="18">
        <v>98164.73</v>
      </c>
      <c r="G529" s="18">
        <v>58145.96</v>
      </c>
      <c r="H529" s="18">
        <f>68198.99+3626.81+37204.79</f>
        <v>109030.59</v>
      </c>
      <c r="I529" s="18">
        <f>1707.41+907.56+313.18</f>
        <v>2928.15</v>
      </c>
      <c r="J529" s="18">
        <v>0</v>
      </c>
      <c r="K529" s="18">
        <v>2335.3200000000002</v>
      </c>
      <c r="L529" s="88">
        <f>SUM(F529:K529)</f>
        <v>270604.75000000006</v>
      </c>
      <c r="M529" s="8"/>
      <c r="N529" s="265"/>
    </row>
    <row r="530" spans="1:14" s="3" customFormat="1" ht="12.2" customHeight="1" thickTop="1" x14ac:dyDescent="0.15">
      <c r="A530" s="139" t="s">
        <v>65</v>
      </c>
      <c r="B530" s="107">
        <v>21</v>
      </c>
      <c r="C530" s="107">
        <v>8</v>
      </c>
      <c r="D530" s="158" t="s">
        <v>432</v>
      </c>
      <c r="E530" s="107"/>
      <c r="F530" s="89">
        <f>SUM(F527:F529)</f>
        <v>297470</v>
      </c>
      <c r="G530" s="89">
        <f t="shared" ref="G530:L530" si="37">SUM(G527:G529)</f>
        <v>176197.25</v>
      </c>
      <c r="H530" s="89">
        <f t="shared" si="37"/>
        <v>394158.03</v>
      </c>
      <c r="I530" s="89">
        <f t="shared" si="37"/>
        <v>11631.37</v>
      </c>
      <c r="J530" s="89">
        <f t="shared" si="37"/>
        <v>0</v>
      </c>
      <c r="K530" s="89">
        <f t="shared" si="37"/>
        <v>8000</v>
      </c>
      <c r="L530" s="89">
        <f t="shared" si="37"/>
        <v>887456.65000000014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171732.37</v>
      </c>
      <c r="G532" s="18">
        <v>100639.24</v>
      </c>
      <c r="H532" s="18">
        <v>12409.04</v>
      </c>
      <c r="I532" s="18">
        <v>2104.7399999999998</v>
      </c>
      <c r="J532" s="18">
        <v>0</v>
      </c>
      <c r="K532" s="18">
        <v>5582.71</v>
      </c>
      <c r="L532" s="88">
        <f>SUM(F532:K532)</f>
        <v>292468.09999999998</v>
      </c>
      <c r="M532" s="8"/>
      <c r="N532" s="265"/>
    </row>
    <row r="533" spans="1:14" s="3" customFormat="1" ht="12.2" customHeight="1" x14ac:dyDescent="0.15">
      <c r="A533" s="22" t="s">
        <v>634</v>
      </c>
      <c r="B533" s="105">
        <v>21</v>
      </c>
      <c r="C533" s="105">
        <v>10</v>
      </c>
      <c r="D533" s="2" t="s">
        <v>432</v>
      </c>
      <c r="E533" s="105"/>
      <c r="F533" s="18">
        <v>85337.71</v>
      </c>
      <c r="G533" s="18">
        <v>50009.93</v>
      </c>
      <c r="H533" s="18">
        <v>6166.34</v>
      </c>
      <c r="I533" s="18">
        <v>1045.8900000000001</v>
      </c>
      <c r="J533" s="18">
        <v>0</v>
      </c>
      <c r="K533" s="18">
        <v>2774.18</v>
      </c>
      <c r="L533" s="88">
        <f>SUM(F533:K533)</f>
        <v>145334.05000000002</v>
      </c>
      <c r="M533" s="8"/>
      <c r="N533" s="265"/>
    </row>
    <row r="534" spans="1:14" s="3" customFormat="1" ht="12.2" customHeight="1" thickBot="1" x14ac:dyDescent="0.2">
      <c r="A534" s="22" t="s">
        <v>635</v>
      </c>
      <c r="B534" s="105">
        <v>21</v>
      </c>
      <c r="C534" s="105">
        <v>11</v>
      </c>
      <c r="D534" s="2" t="s">
        <v>432</v>
      </c>
      <c r="E534" s="105"/>
      <c r="F534" s="18">
        <v>105979.42</v>
      </c>
      <c r="G534" s="18">
        <v>62106.45</v>
      </c>
      <c r="H534" s="18">
        <v>7657.87</v>
      </c>
      <c r="I534" s="18">
        <v>1298.8699999999999</v>
      </c>
      <c r="J534" s="18">
        <v>0</v>
      </c>
      <c r="K534" s="18">
        <v>3445.2</v>
      </c>
      <c r="L534" s="88">
        <f>SUM(F534:K534)</f>
        <v>180487.81</v>
      </c>
      <c r="M534" s="8"/>
      <c r="N534" s="265"/>
    </row>
    <row r="535" spans="1:14" s="3" customFormat="1" ht="12.2" customHeight="1" thickTop="1" x14ac:dyDescent="0.15">
      <c r="A535" s="139" t="s">
        <v>67</v>
      </c>
      <c r="B535" s="107">
        <v>21</v>
      </c>
      <c r="C535" s="107">
        <v>12</v>
      </c>
      <c r="D535" s="158" t="s">
        <v>432</v>
      </c>
      <c r="E535" s="107"/>
      <c r="F535" s="89">
        <f>SUM(F532:F534)</f>
        <v>363049.5</v>
      </c>
      <c r="G535" s="89">
        <f t="shared" ref="G535:L535" si="38">SUM(G532:G534)</f>
        <v>212755.62</v>
      </c>
      <c r="H535" s="89">
        <f t="shared" si="38"/>
        <v>26233.25</v>
      </c>
      <c r="I535" s="89">
        <f t="shared" si="38"/>
        <v>4449.5</v>
      </c>
      <c r="J535" s="89">
        <f t="shared" si="38"/>
        <v>0</v>
      </c>
      <c r="K535" s="89">
        <f t="shared" si="38"/>
        <v>11802.09</v>
      </c>
      <c r="L535" s="89">
        <f t="shared" si="38"/>
        <v>618289.96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2353.5500000000002</v>
      </c>
      <c r="I537" s="18"/>
      <c r="J537" s="18"/>
      <c r="K537" s="18"/>
      <c r="L537" s="88">
        <f>SUM(F537:K537)</f>
        <v>2353.5500000000002</v>
      </c>
      <c r="M537" s="8"/>
      <c r="N537" s="265"/>
    </row>
    <row r="538" spans="1:14" s="3" customFormat="1" ht="12.2" customHeight="1" x14ac:dyDescent="0.15">
      <c r="A538" s="22" t="s">
        <v>634</v>
      </c>
      <c r="B538" s="105">
        <v>21</v>
      </c>
      <c r="C538" s="105">
        <v>14</v>
      </c>
      <c r="D538" s="2" t="s">
        <v>432</v>
      </c>
      <c r="E538" s="105"/>
      <c r="F538" s="18"/>
      <c r="G538" s="18"/>
      <c r="H538" s="18">
        <v>1169.53</v>
      </c>
      <c r="I538" s="18"/>
      <c r="J538" s="18"/>
      <c r="K538" s="18"/>
      <c r="L538" s="88">
        <f>SUM(F538:K538)</f>
        <v>1169.53</v>
      </c>
      <c r="M538" s="8"/>
      <c r="N538" s="265"/>
    </row>
    <row r="539" spans="1:14" s="3" customFormat="1" ht="12.2" customHeight="1" thickBot="1" x14ac:dyDescent="0.2">
      <c r="A539" s="22" t="s">
        <v>635</v>
      </c>
      <c r="B539" s="105">
        <v>21</v>
      </c>
      <c r="C539" s="105">
        <v>15</v>
      </c>
      <c r="D539" s="2" t="s">
        <v>432</v>
      </c>
      <c r="E539" s="105"/>
      <c r="F539" s="18"/>
      <c r="G539" s="18"/>
      <c r="H539" s="18">
        <v>1452.42</v>
      </c>
      <c r="I539" s="18"/>
      <c r="J539" s="18"/>
      <c r="K539" s="18"/>
      <c r="L539" s="88">
        <f>SUM(F539:K539)</f>
        <v>1452.42</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4975.5</v>
      </c>
      <c r="I540" s="89">
        <f t="shared" si="39"/>
        <v>0</v>
      </c>
      <c r="J540" s="89">
        <f t="shared" si="39"/>
        <v>0</v>
      </c>
      <c r="K540" s="89">
        <f t="shared" si="39"/>
        <v>0</v>
      </c>
      <c r="L540" s="89">
        <f t="shared" si="39"/>
        <v>4975.5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225716.76</v>
      </c>
      <c r="I542" s="18"/>
      <c r="J542" s="18"/>
      <c r="K542" s="18"/>
      <c r="L542" s="88">
        <f>SUM(F542:K542)</f>
        <v>225716.76</v>
      </c>
      <c r="M542" s="8"/>
      <c r="N542" s="265"/>
    </row>
    <row r="543" spans="1:14" s="3" customFormat="1" ht="12.2" customHeight="1" x14ac:dyDescent="0.15">
      <c r="A543" s="22" t="s">
        <v>634</v>
      </c>
      <c r="B543" s="105">
        <v>21</v>
      </c>
      <c r="C543" s="105">
        <v>18</v>
      </c>
      <c r="D543" s="2" t="s">
        <v>432</v>
      </c>
      <c r="E543" s="105"/>
      <c r="F543" s="18"/>
      <c r="G543" s="18"/>
      <c r="H543" s="18">
        <v>79634.52</v>
      </c>
      <c r="I543" s="18"/>
      <c r="J543" s="18"/>
      <c r="K543" s="18"/>
      <c r="L543" s="88">
        <f>SUM(F543:K543)</f>
        <v>79634.52</v>
      </c>
      <c r="M543" s="8"/>
      <c r="N543" s="265"/>
    </row>
    <row r="544" spans="1:14" s="3" customFormat="1" ht="12.2" customHeight="1" thickBot="1" x14ac:dyDescent="0.2">
      <c r="A544" s="22" t="s">
        <v>635</v>
      </c>
      <c r="B544" s="105">
        <v>21</v>
      </c>
      <c r="C544" s="105">
        <v>19</v>
      </c>
      <c r="D544" s="2" t="s">
        <v>432</v>
      </c>
      <c r="E544" s="105"/>
      <c r="F544" s="18"/>
      <c r="G544" s="18"/>
      <c r="H544" s="18">
        <v>252896.72</v>
      </c>
      <c r="I544" s="18"/>
      <c r="J544" s="18"/>
      <c r="K544" s="18"/>
      <c r="L544" s="88">
        <f>SUM(F544:K544)</f>
        <v>252896.72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558248</v>
      </c>
      <c r="I545" s="192">
        <f t="shared" si="40"/>
        <v>0</v>
      </c>
      <c r="J545" s="192">
        <f t="shared" si="40"/>
        <v>0</v>
      </c>
      <c r="K545" s="192">
        <f t="shared" si="40"/>
        <v>0</v>
      </c>
      <c r="L545" s="192">
        <f t="shared" si="40"/>
        <v>558248</v>
      </c>
      <c r="M545" s="8"/>
      <c r="N545" s="265"/>
    </row>
    <row r="546" spans="1:14" s="3" customFormat="1" ht="12.2" customHeight="1" thickTop="1" x14ac:dyDescent="0.15">
      <c r="A546" s="98" t="s">
        <v>72</v>
      </c>
      <c r="B546" s="107">
        <v>21</v>
      </c>
      <c r="C546" s="107">
        <v>21</v>
      </c>
      <c r="D546" s="158" t="s">
        <v>432</v>
      </c>
      <c r="E546" s="107"/>
      <c r="F546" s="89">
        <f>F525+F530+F535+F540+F545</f>
        <v>3146809.73</v>
      </c>
      <c r="G546" s="89">
        <f t="shared" ref="G546:L546" si="41">G525+G530+G535+G540+G545</f>
        <v>1682165.7600000002</v>
      </c>
      <c r="H546" s="89">
        <f t="shared" si="41"/>
        <v>2621411.79</v>
      </c>
      <c r="I546" s="89">
        <f t="shared" si="41"/>
        <v>32653.58</v>
      </c>
      <c r="J546" s="89">
        <f t="shared" si="41"/>
        <v>3175.2799999999997</v>
      </c>
      <c r="K546" s="89">
        <f t="shared" si="41"/>
        <v>19882.09</v>
      </c>
      <c r="L546" s="89">
        <f t="shared" si="41"/>
        <v>7506098.2299999995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2328763.0999999996</v>
      </c>
      <c r="G550" s="87">
        <f>L527</f>
        <v>345534.99999999994</v>
      </c>
      <c r="H550" s="87">
        <f>L532</f>
        <v>292468.09999999998</v>
      </c>
      <c r="I550" s="87">
        <f>L537</f>
        <v>2353.5500000000002</v>
      </c>
      <c r="J550" s="87">
        <f>L542</f>
        <v>225716.76</v>
      </c>
      <c r="K550" s="87">
        <f>SUM(F550:J550)</f>
        <v>3194836.51</v>
      </c>
      <c r="L550" s="24" t="s">
        <v>288</v>
      </c>
      <c r="M550" s="8"/>
      <c r="N550" s="265"/>
    </row>
    <row r="551" spans="1:14" s="3" customFormat="1" ht="12.2" customHeight="1" x14ac:dyDescent="0.15">
      <c r="A551" s="22" t="s">
        <v>634</v>
      </c>
      <c r="B551" s="75">
        <v>21</v>
      </c>
      <c r="C551" s="75">
        <v>23</v>
      </c>
      <c r="D551" s="2" t="s">
        <v>432</v>
      </c>
      <c r="E551" s="75"/>
      <c r="F551" s="87">
        <f>L523</f>
        <v>966330.59999999986</v>
      </c>
      <c r="G551" s="87">
        <f>L528</f>
        <v>271316.90000000008</v>
      </c>
      <c r="H551" s="87">
        <f>L533</f>
        <v>145334.05000000002</v>
      </c>
      <c r="I551" s="87">
        <f>L538</f>
        <v>1169.53</v>
      </c>
      <c r="J551" s="87">
        <f>L543</f>
        <v>79634.52</v>
      </c>
      <c r="K551" s="87">
        <f>SUM(F551:J551)</f>
        <v>1463785.6</v>
      </c>
      <c r="L551" s="24" t="s">
        <v>288</v>
      </c>
      <c r="M551" s="8"/>
      <c r="N551" s="265"/>
    </row>
    <row r="552" spans="1:14" s="3" customFormat="1" ht="12.2" customHeight="1" thickBot="1" x14ac:dyDescent="0.2">
      <c r="A552" s="22" t="s">
        <v>635</v>
      </c>
      <c r="B552" s="75">
        <v>21</v>
      </c>
      <c r="C552" s="75">
        <v>24</v>
      </c>
      <c r="D552" s="2" t="s">
        <v>432</v>
      </c>
      <c r="E552" s="75"/>
      <c r="F552" s="87">
        <f>L524</f>
        <v>2142034.42</v>
      </c>
      <c r="G552" s="87">
        <f>L529</f>
        <v>270604.75000000006</v>
      </c>
      <c r="H552" s="87">
        <f>L534</f>
        <v>180487.81</v>
      </c>
      <c r="I552" s="87">
        <f>L539</f>
        <v>1452.42</v>
      </c>
      <c r="J552" s="87">
        <f>L544</f>
        <v>252896.72</v>
      </c>
      <c r="K552" s="87">
        <f>SUM(F552:J552)</f>
        <v>2847476.12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5437128.1199999992</v>
      </c>
      <c r="G553" s="89">
        <f t="shared" si="42"/>
        <v>887456.65000000014</v>
      </c>
      <c r="H553" s="89">
        <f t="shared" si="42"/>
        <v>618289.96</v>
      </c>
      <c r="I553" s="89">
        <f t="shared" si="42"/>
        <v>4975.5</v>
      </c>
      <c r="J553" s="89">
        <f t="shared" si="42"/>
        <v>558248</v>
      </c>
      <c r="K553" s="89">
        <f t="shared" si="42"/>
        <v>7506098.2299999995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v>16805.71</v>
      </c>
      <c r="I563" s="18"/>
      <c r="J563" s="18"/>
      <c r="K563" s="18"/>
      <c r="L563" s="88">
        <f>SUM(F563:K563)</f>
        <v>16805.71</v>
      </c>
      <c r="M563" s="8"/>
      <c r="N563" s="265"/>
    </row>
    <row r="564" spans="1:14" s="3" customFormat="1" ht="12.2" customHeight="1" x14ac:dyDescent="0.15">
      <c r="A564" s="22" t="s">
        <v>634</v>
      </c>
      <c r="B564" s="105">
        <v>22</v>
      </c>
      <c r="C564" s="115">
        <v>6</v>
      </c>
      <c r="D564" s="2" t="s">
        <v>432</v>
      </c>
      <c r="E564" s="115"/>
      <c r="F564" s="18"/>
      <c r="G564" s="18"/>
      <c r="H564" s="18">
        <v>8351.14</v>
      </c>
      <c r="I564" s="18"/>
      <c r="J564" s="18"/>
      <c r="K564" s="18"/>
      <c r="L564" s="88">
        <f>SUM(F564:K564)</f>
        <v>8351.14</v>
      </c>
      <c r="M564" s="8"/>
      <c r="N564" s="265"/>
    </row>
    <row r="565" spans="1:14" s="3" customFormat="1" ht="12.2" customHeight="1" thickBot="1" x14ac:dyDescent="0.2">
      <c r="A565" s="22" t="s">
        <v>635</v>
      </c>
      <c r="B565" s="105">
        <v>22</v>
      </c>
      <c r="C565" s="118">
        <v>7</v>
      </c>
      <c r="D565" s="2" t="s">
        <v>432</v>
      </c>
      <c r="E565" s="118"/>
      <c r="F565" s="18"/>
      <c r="G565" s="18"/>
      <c r="H565" s="18">
        <v>10371.129999999999</v>
      </c>
      <c r="I565" s="18"/>
      <c r="J565" s="18"/>
      <c r="K565" s="18"/>
      <c r="L565" s="88">
        <f>SUM(F565:K565)</f>
        <v>10371.129999999999</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35527.979999999996</v>
      </c>
      <c r="I566" s="89">
        <f t="shared" si="44"/>
        <v>0</v>
      </c>
      <c r="J566" s="89">
        <f t="shared" si="44"/>
        <v>0</v>
      </c>
      <c r="K566" s="89">
        <f t="shared" si="44"/>
        <v>0</v>
      </c>
      <c r="L566" s="89">
        <f t="shared" si="44"/>
        <v>35527.979999999996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35527.979999999996</v>
      </c>
      <c r="I572" s="89">
        <f t="shared" si="46"/>
        <v>0</v>
      </c>
      <c r="J572" s="89">
        <f t="shared" si="46"/>
        <v>0</v>
      </c>
      <c r="K572" s="89">
        <f t="shared" si="46"/>
        <v>0</v>
      </c>
      <c r="L572" s="89">
        <f t="shared" si="46"/>
        <v>35527.979999999996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6475</v>
      </c>
      <c r="I579" s="87">
        <f t="shared" si="47"/>
        <v>6475</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156845.95000000001</v>
      </c>
      <c r="G581" s="18"/>
      <c r="H581" s="18">
        <v>121263.48</v>
      </c>
      <c r="I581" s="87">
        <f t="shared" si="47"/>
        <v>278109.43</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83418.38+3275.01</f>
        <v>86693.39</v>
      </c>
      <c r="G583" s="18">
        <v>59320.32</v>
      </c>
      <c r="H583" s="18">
        <f>728174.03+45775</f>
        <v>773949.03</v>
      </c>
      <c r="I583" s="87">
        <f t="shared" si="47"/>
        <v>919962.74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371288.48</v>
      </c>
      <c r="I584" s="87">
        <f t="shared" si="47"/>
        <v>371288.48</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29712.61</v>
      </c>
      <c r="I585" s="87">
        <f t="shared" si="47"/>
        <v>29712.61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348383.06</v>
      </c>
      <c r="I592" s="18">
        <v>173119.46</v>
      </c>
      <c r="J592" s="18">
        <v>214994.03</v>
      </c>
      <c r="K592" s="104">
        <f t="shared" ref="K592:K598" si="48">SUM(H592:J592)</f>
        <v>736496.55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225716.76</v>
      </c>
      <c r="I593" s="18">
        <v>79634.52</v>
      </c>
      <c r="J593" s="18">
        <v>252896.72</v>
      </c>
      <c r="K593" s="104">
        <f t="shared" si="48"/>
        <v>558248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45866</v>
      </c>
      <c r="K594" s="104">
        <f t="shared" si="48"/>
        <v>45866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8937.81</v>
      </c>
      <c r="J595" s="18">
        <v>27688.26</v>
      </c>
      <c r="K595" s="104">
        <f t="shared" si="48"/>
        <v>36626.07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7617.04</v>
      </c>
      <c r="I596" s="18"/>
      <c r="J596" s="18">
        <v>2288.5</v>
      </c>
      <c r="K596" s="104">
        <f t="shared" si="48"/>
        <v>9905.5400000000009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581716.8600000001</v>
      </c>
      <c r="I599" s="108">
        <f>SUM(I592:I598)</f>
        <v>261691.78999999998</v>
      </c>
      <c r="J599" s="108">
        <f>SUM(J592:J598)</f>
        <v>543733.51</v>
      </c>
      <c r="K599" s="108">
        <f>SUM(K592:K598)</f>
        <v>1387142.1600000001</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33989.72</v>
      </c>
      <c r="I605" s="18">
        <v>41316.660000000003</v>
      </c>
      <c r="J605" s="18">
        <v>80097.289999999994</v>
      </c>
      <c r="K605" s="104">
        <f>SUM(H605:J605)</f>
        <v>155403.66999999998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33989.72</v>
      </c>
      <c r="I606" s="108">
        <f>SUM(I603:I605)</f>
        <v>41316.660000000003</v>
      </c>
      <c r="J606" s="108">
        <f>SUM(J603:J605)</f>
        <v>80097.289999999994</v>
      </c>
      <c r="K606" s="108">
        <f>SUM(K603:K605)</f>
        <v>155403.66999999998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59055.1</v>
      </c>
      <c r="G612" s="18">
        <v>14035.49</v>
      </c>
      <c r="H612" s="18">
        <v>2000.18</v>
      </c>
      <c r="I612" s="18">
        <v>383.4</v>
      </c>
      <c r="J612" s="18"/>
      <c r="K612" s="18"/>
      <c r="L612" s="88">
        <f>SUM(F612:K612)</f>
        <v>75474.169999999984</v>
      </c>
      <c r="M612" s="8"/>
      <c r="N612" s="265"/>
    </row>
    <row r="613" spans="1:14" s="3" customFormat="1" ht="12.2" customHeight="1" x14ac:dyDescent="0.15">
      <c r="A613" s="22" t="s">
        <v>634</v>
      </c>
      <c r="B613" s="75">
        <v>23</v>
      </c>
      <c r="C613" s="75">
        <v>14</v>
      </c>
      <c r="D613" s="2" t="s">
        <v>432</v>
      </c>
      <c r="E613" s="75"/>
      <c r="F613" s="18">
        <v>7203.59</v>
      </c>
      <c r="G613" s="18">
        <v>1942.61</v>
      </c>
      <c r="H613" s="18"/>
      <c r="I613" s="18"/>
      <c r="J613" s="18"/>
      <c r="K613" s="18"/>
      <c r="L613" s="88">
        <f>SUM(F613:K613)</f>
        <v>9146.2000000000007</v>
      </c>
      <c r="M613" s="8"/>
      <c r="N613" s="265"/>
    </row>
    <row r="614" spans="1:14" s="3" customFormat="1" ht="12.2" customHeight="1" thickBot="1" x14ac:dyDescent="0.2">
      <c r="A614" s="22" t="s">
        <v>645</v>
      </c>
      <c r="B614" s="75">
        <v>23</v>
      </c>
      <c r="C614" s="75">
        <v>15</v>
      </c>
      <c r="D614" s="2" t="s">
        <v>432</v>
      </c>
      <c r="E614" s="75"/>
      <c r="F614" s="18">
        <v>7445.06</v>
      </c>
      <c r="G614" s="18">
        <v>1303.5999999999999</v>
      </c>
      <c r="H614" s="18"/>
      <c r="I614" s="18"/>
      <c r="J614" s="18"/>
      <c r="K614" s="18"/>
      <c r="L614" s="88">
        <f>SUM(F614:K614)</f>
        <v>8748.66</v>
      </c>
      <c r="M614" s="8"/>
      <c r="N614" s="265"/>
    </row>
    <row r="615" spans="1:14" s="3" customFormat="1" ht="12.2" customHeight="1" thickTop="1" x14ac:dyDescent="0.15">
      <c r="A615" s="98" t="s">
        <v>340</v>
      </c>
      <c r="B615" s="107">
        <v>23</v>
      </c>
      <c r="C615" s="107">
        <v>16</v>
      </c>
      <c r="D615" s="39" t="s">
        <v>432</v>
      </c>
      <c r="E615" s="107"/>
      <c r="F615" s="108">
        <f t="shared" ref="F615:L615" si="49">SUM(F612:F614)</f>
        <v>73703.75</v>
      </c>
      <c r="G615" s="108">
        <f t="shared" si="49"/>
        <v>17281.7</v>
      </c>
      <c r="H615" s="108">
        <f t="shared" si="49"/>
        <v>2000.18</v>
      </c>
      <c r="I615" s="108">
        <f t="shared" si="49"/>
        <v>383.4</v>
      </c>
      <c r="J615" s="108">
        <f t="shared" si="49"/>
        <v>0</v>
      </c>
      <c r="K615" s="108">
        <f t="shared" si="49"/>
        <v>0</v>
      </c>
      <c r="L615" s="89">
        <f t="shared" si="49"/>
        <v>93369.029999999984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1329421.8499999999</v>
      </c>
      <c r="H618" s="109">
        <f>SUM(F52)</f>
        <v>1329421.8500000001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282332.14</v>
      </c>
      <c r="H619" s="109">
        <f>SUM(G52)</f>
        <v>282332.14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1173813.18</v>
      </c>
      <c r="H620" s="109">
        <f>SUM(H52)</f>
        <v>1173813.18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3067532.29</v>
      </c>
      <c r="H622" s="109">
        <f>SUM(J52)</f>
        <v>3067532.29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1047317.8</v>
      </c>
      <c r="H623" s="109">
        <f>F477</f>
        <v>1047317.8000000007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216785.46000000002</v>
      </c>
      <c r="H624" s="109">
        <f>G477</f>
        <v>216785.45999999996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2841675.77</v>
      </c>
      <c r="H627" s="109">
        <f>J477</f>
        <v>2841675.77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25013252.66</v>
      </c>
      <c r="H628" s="104">
        <f>SUM(F469)</f>
        <v>25013252.66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889164.56999999983</v>
      </c>
      <c r="H629" s="104">
        <f>SUM(G469)</f>
        <v>889164.57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3033850.92</v>
      </c>
      <c r="H630" s="104">
        <f>SUM(H469)</f>
        <v>3033850.92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922359.58</v>
      </c>
      <c r="H632" s="104">
        <f>SUM(J469)</f>
        <v>922359.58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25985869.869999997</v>
      </c>
      <c r="H633" s="104">
        <f>SUM(F473)</f>
        <v>25985869.870000001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3033850.9199999995</v>
      </c>
      <c r="H634" s="104">
        <f>SUM(H473)</f>
        <v>3033850.92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6297.24</v>
      </c>
      <c r="H635" s="104">
        <f>I370</f>
        <v>6297.2400000000007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721907.64999999991</v>
      </c>
      <c r="H636" s="104">
        <f>SUM(G473)</f>
        <v>721907.65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922359.57999999984</v>
      </c>
      <c r="H638" s="164">
        <f>SUM(J469)</f>
        <v>922359.58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1114588.8700000001</v>
      </c>
      <c r="H639" s="164">
        <f>SUM(J473)</f>
        <v>1114588.8700000001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31377.84</v>
      </c>
      <c r="H640" s="104">
        <f>SUM(F462)</f>
        <v>31377.84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1734113.8099999998</v>
      </c>
      <c r="H641" s="104">
        <f>SUM(G462)</f>
        <v>1734113.81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1302040.6400000001</v>
      </c>
      <c r="H642" s="104">
        <f>SUM(H462)</f>
        <v>1302040.6399999999</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3067532.29</v>
      </c>
      <c r="H643" s="104">
        <f>SUM(I462)</f>
        <v>3067532.29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397359.57999999996</v>
      </c>
      <c r="H645" s="104">
        <f>H409</f>
        <v>397359.57999999996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525000</v>
      </c>
      <c r="H646" s="104">
        <f>G409</f>
        <v>525000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922359.58</v>
      </c>
      <c r="H647" s="104">
        <f>L409</f>
        <v>922359.57999999984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1387142.1600000001</v>
      </c>
      <c r="H648" s="104">
        <f>L209+L227+L245</f>
        <v>1387142.16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155403.66999999998</v>
      </c>
      <c r="H649" s="104">
        <f>(J258+J339)-(J256+J337)</f>
        <v>155403.67000000001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581716.86</v>
      </c>
      <c r="H650" s="104">
        <f>H599</f>
        <v>581716.8600000001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261691.78999999998</v>
      </c>
      <c r="H651" s="104">
        <f>I599</f>
        <v>261691.78999999998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543733.51</v>
      </c>
      <c r="H652" s="104">
        <f>J599</f>
        <v>543733.51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525000</v>
      </c>
      <c r="H656" s="104">
        <f>K267+K348</f>
        <v>525000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12532829.35</v>
      </c>
      <c r="G661" s="19">
        <f>(L230+L310+L360)</f>
        <v>5552175.8000000007</v>
      </c>
      <c r="H661" s="19">
        <f>(L248+L329+L361)</f>
        <v>7739780.8999999985</v>
      </c>
      <c r="I661" s="19">
        <f>SUM(F661:H661)</f>
        <v>25824786.049999997</v>
      </c>
      <c r="J661" s="13"/>
      <c r="K661" s="13"/>
      <c r="L661" s="13"/>
      <c r="M661" s="9"/>
    </row>
    <row r="662" spans="1:13" s="3" customFormat="1" ht="12.2" customHeight="1" x14ac:dyDescent="0.2">
      <c r="A662" s="1" t="s">
        <v>127</v>
      </c>
      <c r="F662" s="19">
        <f>(L359/IF(SUM(L359:L361)=0,1,SUM(L359:L361))*(SUM(G97:G110)))</f>
        <v>11388.134364208498</v>
      </c>
      <c r="G662" s="19">
        <f>(L360/IF(SUM(L359:L361)=0,1,SUM(L359:L361))*(SUM(G97:G110)))</f>
        <v>5659.0234045171846</v>
      </c>
      <c r="H662" s="19">
        <f>(L361/IF(SUM(L359:L361)=0,1,SUM(L359:L361))*(SUM(G97:G110)))</f>
        <v>7027.8422312743196</v>
      </c>
      <c r="I662" s="19">
        <f>SUM(F662:H662)</f>
        <v>24075.000000000004</v>
      </c>
      <c r="J662"/>
      <c r="K662" s="13"/>
      <c r="L662" s="13"/>
      <c r="M662" s="8"/>
    </row>
    <row r="663" spans="1:13" s="3" customFormat="1" ht="12.2" customHeight="1" x14ac:dyDescent="0.2">
      <c r="A663" s="1" t="s">
        <v>128</v>
      </c>
      <c r="F663" s="19">
        <f>(L209+L288)-(J209+J288)</f>
        <v>586985.19999999995</v>
      </c>
      <c r="G663" s="19">
        <f>(L227+L307)-(J227+J307)</f>
        <v>264309.75</v>
      </c>
      <c r="H663" s="19">
        <f>(L245+L326)-(J245+J326)</f>
        <v>546984.71</v>
      </c>
      <c r="I663" s="19">
        <f>SUM(F663:H663)</f>
        <v>1398279.66</v>
      </c>
      <c r="J663"/>
      <c r="K663" s="13"/>
      <c r="L663" s="13"/>
      <c r="M663" s="9"/>
    </row>
    <row r="664" spans="1:13" s="3" customFormat="1" ht="12.2" customHeight="1" x14ac:dyDescent="0.15">
      <c r="A664" s="197" t="s">
        <v>129</v>
      </c>
      <c r="B664" s="169"/>
      <c r="C664" s="169"/>
      <c r="D664" s="169"/>
      <c r="E664" s="169"/>
      <c r="F664" s="198">
        <f>SUM(F576:F588)+SUM(H603:H605)+SUM(L612)</f>
        <v>353003.23000000004</v>
      </c>
      <c r="G664" s="198">
        <f>SUM(G576:G588)+SUM(I603:I605)+L613</f>
        <v>109783.18000000001</v>
      </c>
      <c r="H664" s="198">
        <f>SUM(H576:H588)+SUM(J603:J605)+L614</f>
        <v>1391534.55</v>
      </c>
      <c r="I664" s="19">
        <f>SUM(F664:H664)</f>
        <v>1854320.96</v>
      </c>
      <c r="J664" s="13"/>
      <c r="K664" s="13"/>
      <c r="L664" s="13"/>
      <c r="M664" s="9"/>
    </row>
    <row r="665" spans="1:13" s="3" customFormat="1" ht="12.2" customHeight="1" x14ac:dyDescent="0.15">
      <c r="A665" s="1" t="s">
        <v>130</v>
      </c>
      <c r="F665" s="19">
        <f>F661-SUM(F662:F664)</f>
        <v>11581452.785635792</v>
      </c>
      <c r="G665" s="19">
        <f>G661-SUM(G662:G664)</f>
        <v>5172423.8465954838</v>
      </c>
      <c r="H665" s="19">
        <f>H661-SUM(H662:H664)</f>
        <v>5794233.7977687242</v>
      </c>
      <c r="I665" s="19">
        <f>I661-SUM(I662:I664)</f>
        <v>22548110.429999996</v>
      </c>
      <c r="J665" s="13"/>
      <c r="K665" s="13"/>
      <c r="L665" s="13"/>
      <c r="M665" s="8"/>
    </row>
    <row r="666" spans="1:13" s="3" customFormat="1" ht="12.2" customHeight="1" x14ac:dyDescent="0.2">
      <c r="A666" s="1" t="s">
        <v>131</v>
      </c>
      <c r="F666" s="245">
        <v>601.14</v>
      </c>
      <c r="G666" s="246">
        <v>298.72000000000003</v>
      </c>
      <c r="H666" s="246">
        <v>370.96</v>
      </c>
      <c r="I666" s="19">
        <f>SUM(F666:H666)</f>
        <v>1270.82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19265.82</v>
      </c>
      <c r="G668" s="19">
        <f>ROUND(G665/G666,2)</f>
        <v>17315.29</v>
      </c>
      <c r="H668" s="19">
        <f>ROUND(H665/H666,2)</f>
        <v>15619.56</v>
      </c>
      <c r="I668" s="19">
        <f>ROUND(I665/I666,2)</f>
        <v>17742.96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-1.55</v>
      </c>
      <c r="I671" s="19">
        <f>SUM(F671:H671)</f>
        <v>-1.55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19265.82</v>
      </c>
      <c r="G673" s="19">
        <f>ROUND((G665+G670)/(G666+G671),2)</f>
        <v>17315.29</v>
      </c>
      <c r="H673" s="19">
        <f>ROUND((H665+H670)/(H666+H671),2)</f>
        <v>15685.1</v>
      </c>
      <c r="I673" s="19">
        <f>ROUND((I665+I670)/(I666+I671),2)</f>
        <v>17764.63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6" sqref="A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166023.03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114248.24</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51774.79</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A6" sqref="A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Jaffrey-Rindge Cooperative</v>
      </c>
      <c r="C5" s="375"/>
      <c r="D5" s="375"/>
      <c r="E5" s="375"/>
      <c r="F5" s="375"/>
    </row>
    <row r="8" spans="1:9" ht="18" x14ac:dyDescent="0.25">
      <c r="A8" s="312" t="s">
        <v>1568</v>
      </c>
      <c r="F8" s="319" t="s">
        <v>1586</v>
      </c>
    </row>
    <row r="9" spans="1:9" ht="15" x14ac:dyDescent="0.2">
      <c r="A9" s="310" t="s">
        <v>1569</v>
      </c>
      <c r="B9" s="313">
        <f>'DOE25'!G97</f>
        <v>24075</v>
      </c>
      <c r="F9" s="310" t="s">
        <v>1582</v>
      </c>
    </row>
    <row r="10" spans="1:9" ht="15" x14ac:dyDescent="0.2">
      <c r="A10" s="310" t="s">
        <v>1570</v>
      </c>
      <c r="B10" s="313">
        <f>'DOE25'!G112-'DOE25'!G97</f>
        <v>0</v>
      </c>
      <c r="F10" s="310" t="s">
        <v>1583</v>
      </c>
    </row>
    <row r="11" spans="1:9" ht="15" x14ac:dyDescent="0.2">
      <c r="A11" s="310" t="s">
        <v>1571</v>
      </c>
      <c r="B11" s="313">
        <f>'DOE25'!G140</f>
        <v>10604.34</v>
      </c>
      <c r="F11" s="310" t="s">
        <v>1584</v>
      </c>
    </row>
    <row r="12" spans="1:9" ht="15" x14ac:dyDescent="0.2">
      <c r="A12" s="310" t="s">
        <v>1572</v>
      </c>
      <c r="B12" s="313">
        <f>'DOE25'!G170</f>
        <v>854485.22999999986</v>
      </c>
      <c r="F12" s="310" t="s">
        <v>1585</v>
      </c>
    </row>
    <row r="13" spans="1:9" ht="15" x14ac:dyDescent="0.2">
      <c r="A13" s="310" t="s">
        <v>1573</v>
      </c>
      <c r="B13" s="313">
        <f>'DOE25'!G193-'DOE25'!G180</f>
        <v>0</v>
      </c>
      <c r="F13" s="310" t="s">
        <v>1595</v>
      </c>
    </row>
    <row r="14" spans="1:9" ht="18" x14ac:dyDescent="0.25">
      <c r="A14" s="312" t="s">
        <v>732</v>
      </c>
      <c r="B14" s="314">
        <f>SUM(B9:B13)</f>
        <v>889164.56999999983</v>
      </c>
    </row>
    <row r="16" spans="1:9" ht="18" x14ac:dyDescent="0.25">
      <c r="A16" s="312" t="s">
        <v>786</v>
      </c>
      <c r="F16" s="319" t="s">
        <v>1587</v>
      </c>
    </row>
    <row r="17" spans="1:6" ht="15" x14ac:dyDescent="0.2">
      <c r="A17" s="310" t="s">
        <v>1574</v>
      </c>
      <c r="B17" s="313">
        <f>'DOE25'!L363-'DOE25'!L362</f>
        <v>721907.64999999991</v>
      </c>
      <c r="F17" s="310" t="s">
        <v>1588</v>
      </c>
    </row>
    <row r="18" spans="1:6" ht="15" x14ac:dyDescent="0.2">
      <c r="A18" s="310" t="s">
        <v>1575</v>
      </c>
      <c r="B18" s="323"/>
      <c r="F18" s="319" t="s">
        <v>1612</v>
      </c>
    </row>
    <row r="19" spans="1:6" ht="18" x14ac:dyDescent="0.25">
      <c r="A19" s="312" t="s">
        <v>725</v>
      </c>
      <c r="B19" s="314">
        <f>SUM(B17:B18)</f>
        <v>721907.64999999991</v>
      </c>
    </row>
    <row r="21" spans="1:6" ht="18.75" thickBot="1" x14ac:dyDescent="0.3">
      <c r="A21" s="312" t="s">
        <v>1576</v>
      </c>
    </row>
    <row r="22" spans="1:6" ht="18.75" thickTop="1" x14ac:dyDescent="0.25">
      <c r="A22" s="312" t="s">
        <v>1577</v>
      </c>
      <c r="B22" s="318">
        <f>B14-B19</f>
        <v>167256.91999999993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49528.54</v>
      </c>
      <c r="F31" s="310" t="s">
        <v>1592</v>
      </c>
    </row>
    <row r="33" spans="1:6" ht="15" x14ac:dyDescent="0.2">
      <c r="A33" s="310" t="s">
        <v>1635</v>
      </c>
      <c r="B33" s="313">
        <f>'DOE25'!G477</f>
        <v>216785.45999999996</v>
      </c>
      <c r="F33" s="310" t="s">
        <v>1593</v>
      </c>
    </row>
    <row r="36" spans="1:6" ht="15" x14ac:dyDescent="0.2">
      <c r="A36" s="310" t="s">
        <v>1579</v>
      </c>
      <c r="B36" s="324">
        <v>44102.44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Jaffrey-Rindge Cooperative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5604807.8200000003</v>
      </c>
      <c r="C9" s="228">
        <f>'DOE25'!G198+'DOE25'!G216+'DOE25'!G234+'DOE25'!G277+'DOE25'!G296+'DOE25'!G315</f>
        <v>3023523.53</v>
      </c>
    </row>
    <row r="10" spans="1:3" x14ac:dyDescent="0.2">
      <c r="A10" t="s">
        <v>775</v>
      </c>
      <c r="B10" s="239">
        <v>5340338.08</v>
      </c>
      <c r="C10" s="239">
        <v>2939435.09</v>
      </c>
    </row>
    <row r="11" spans="1:3" x14ac:dyDescent="0.2">
      <c r="A11" t="s">
        <v>776</v>
      </c>
      <c r="B11" s="239">
        <v>32379.96</v>
      </c>
      <c r="C11" s="239">
        <v>2477.11</v>
      </c>
    </row>
    <row r="12" spans="1:3" x14ac:dyDescent="0.2">
      <c r="A12" t="s">
        <v>777</v>
      </c>
      <c r="B12" s="239">
        <v>232089.78</v>
      </c>
      <c r="C12" s="239">
        <v>81611.33</v>
      </c>
    </row>
    <row r="13" spans="1:3" x14ac:dyDescent="0.2">
      <c r="A13" t="str">
        <f>IF(B9=B13,IF(C9=C13,"Check Total OK","Check Total Error"),"Check Total Error")</f>
        <v>Check Total OK</v>
      </c>
      <c r="B13" s="230">
        <f>SUM(B10:B12)</f>
        <v>5604807.8200000003</v>
      </c>
      <c r="C13" s="230">
        <f>SUM(C10:C12)</f>
        <v>3023523.53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2820400.29</v>
      </c>
      <c r="C18" s="228">
        <f>'DOE25'!G199+'DOE25'!G217+'DOE25'!G235+'DOE25'!G278+'DOE25'!G297+'DOE25'!G316</f>
        <v>1500081.52</v>
      </c>
    </row>
    <row r="19" spans="1:3" x14ac:dyDescent="0.2">
      <c r="A19" t="s">
        <v>775</v>
      </c>
      <c r="B19" s="239">
        <v>1423949.4</v>
      </c>
      <c r="C19" s="239">
        <v>719971.29</v>
      </c>
    </row>
    <row r="20" spans="1:3" x14ac:dyDescent="0.2">
      <c r="A20" t="s">
        <v>776</v>
      </c>
      <c r="B20" s="239">
        <v>921173.34</v>
      </c>
      <c r="C20" s="239">
        <v>548039.89</v>
      </c>
    </row>
    <row r="21" spans="1:3" x14ac:dyDescent="0.2">
      <c r="A21" t="s">
        <v>777</v>
      </c>
      <c r="B21" s="239">
        <v>475277.55</v>
      </c>
      <c r="C21" s="239">
        <v>232070.34</v>
      </c>
    </row>
    <row r="22" spans="1:3" x14ac:dyDescent="0.2">
      <c r="A22" t="str">
        <f>IF(B18=B22,IF(C18=C22,"Check Total OK","Check Total Error"),"Check Total Error")</f>
        <v>Check Total OK</v>
      </c>
      <c r="B22" s="230">
        <f>SUM(B19:B21)</f>
        <v>2820400.2899999996</v>
      </c>
      <c r="C22" s="230">
        <f>SUM(C19:C21)</f>
        <v>1500081.5200000003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301218.68</v>
      </c>
      <c r="C27" s="233">
        <f>'DOE25'!G200+'DOE25'!G218+'DOE25'!G236+'DOE25'!G279+'DOE25'!G298+'DOE25'!G317</f>
        <v>130341.24999999999</v>
      </c>
    </row>
    <row r="28" spans="1:3" x14ac:dyDescent="0.2">
      <c r="A28" t="s">
        <v>775</v>
      </c>
      <c r="B28" s="239">
        <v>283786.56</v>
      </c>
      <c r="C28" s="239">
        <v>129007.67999999999</v>
      </c>
    </row>
    <row r="29" spans="1:3" x14ac:dyDescent="0.2">
      <c r="A29" t="s">
        <v>776</v>
      </c>
      <c r="B29" s="239">
        <v>17432.12</v>
      </c>
      <c r="C29" s="239">
        <v>1333.57</v>
      </c>
    </row>
    <row r="30" spans="1:3" x14ac:dyDescent="0.2">
      <c r="A30" t="s">
        <v>777</v>
      </c>
      <c r="B30" s="239">
        <v>0</v>
      </c>
      <c r="C30" s="239">
        <v>0</v>
      </c>
    </row>
    <row r="31" spans="1:3" x14ac:dyDescent="0.2">
      <c r="A31" t="str">
        <f>IF(B27=B31,IF(C27=C31,"Check Total OK","Check Total Error"),"Check Total Error")</f>
        <v>Check Total OK</v>
      </c>
      <c r="B31" s="230">
        <f>SUM(B28:B30)</f>
        <v>301218.68</v>
      </c>
      <c r="C31" s="230">
        <f>SUM(C28:C30)</f>
        <v>130341.25</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353884.51</v>
      </c>
      <c r="C36" s="234">
        <f>'DOE25'!G201+'DOE25'!G219+'DOE25'!G237+'DOE25'!G280+'DOE25'!G299+'DOE25'!G318</f>
        <v>77999.05</v>
      </c>
    </row>
    <row r="37" spans="1:3" x14ac:dyDescent="0.2">
      <c r="A37" t="s">
        <v>775</v>
      </c>
      <c r="B37" s="239">
        <v>118826.98</v>
      </c>
      <c r="C37" s="239">
        <v>32754.400000000001</v>
      </c>
    </row>
    <row r="38" spans="1:3" x14ac:dyDescent="0.2">
      <c r="A38" t="s">
        <v>776</v>
      </c>
      <c r="B38" s="239">
        <v>9788.65</v>
      </c>
      <c r="C38" s="239">
        <v>1486.01</v>
      </c>
    </row>
    <row r="39" spans="1:3" x14ac:dyDescent="0.2">
      <c r="A39" t="s">
        <v>777</v>
      </c>
      <c r="B39" s="239">
        <v>225268.88</v>
      </c>
      <c r="C39" s="239">
        <v>43758.64</v>
      </c>
    </row>
    <row r="40" spans="1:3" x14ac:dyDescent="0.2">
      <c r="A40" t="str">
        <f>IF(B36=B40,IF(C36=C40,"Check Total OK","Check Total Error"),"Check Total Error")</f>
        <v>Check Total OK</v>
      </c>
      <c r="B40" s="230">
        <f>SUM(B37:B39)</f>
        <v>353884.51</v>
      </c>
      <c r="C40" s="230">
        <f>SUM(C37:C39)</f>
        <v>77999.05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A6" sqref="A6"/>
      <selection pane="bottomLeft" activeCell="A6" sqref="A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Jaffrey-Rindge Cooperative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14917256.549999999</v>
      </c>
      <c r="D5" s="20">
        <f>SUM('DOE25'!L198:L201)+SUM('DOE25'!L216:L219)+SUM('DOE25'!L234:L237)-F5-G5-H5</f>
        <v>14819580.149999999</v>
      </c>
      <c r="E5" s="242"/>
      <c r="F5" s="243"/>
      <c r="G5" s="53">
        <f>SUM('DOE25'!J198:J201)+SUM('DOE25'!J216:J219)+SUM('DOE25'!J234:J237)</f>
        <v>68468.31</v>
      </c>
      <c r="H5" s="53">
        <f>SUM('DOE25'!K198:K201)+SUM('DOE25'!K216:K219)+SUM('DOE25'!K234:K237)</f>
        <v>29208.09</v>
      </c>
      <c r="I5" s="255"/>
    </row>
    <row r="6" spans="1:9" x14ac:dyDescent="0.2">
      <c r="A6" s="32">
        <v>2100</v>
      </c>
      <c r="B6" t="s">
        <v>796</v>
      </c>
      <c r="C6" s="274">
        <f t="shared" si="0"/>
        <v>1922275.68</v>
      </c>
      <c r="D6" s="20">
        <f>'DOE25'!L203+'DOE25'!L221+'DOE25'!L239-F6-G6-H6</f>
        <v>1921489.78</v>
      </c>
      <c r="E6" s="242"/>
      <c r="F6" s="243"/>
      <c r="G6" s="53">
        <f>'DOE25'!J203+'DOE25'!J221+'DOE25'!J239</f>
        <v>735.9</v>
      </c>
      <c r="H6" s="53">
        <f>'DOE25'!K203+'DOE25'!K221+'DOE25'!K239</f>
        <v>50</v>
      </c>
      <c r="I6" s="255"/>
    </row>
    <row r="7" spans="1:9" x14ac:dyDescent="0.2">
      <c r="A7" s="32">
        <v>2200</v>
      </c>
      <c r="B7" t="s">
        <v>821</v>
      </c>
      <c r="C7" s="274">
        <f t="shared" si="0"/>
        <v>575862.01</v>
      </c>
      <c r="D7" s="20">
        <f>'DOE25'!L204+'DOE25'!L222+'DOE25'!L240-F7-G7-H7</f>
        <v>570451.07999999996</v>
      </c>
      <c r="E7" s="242"/>
      <c r="F7" s="243"/>
      <c r="G7" s="53">
        <f>'DOE25'!J204+'DOE25'!J222+'DOE25'!J240</f>
        <v>2169.9299999999998</v>
      </c>
      <c r="H7" s="53">
        <f>'DOE25'!K204+'DOE25'!K222+'DOE25'!K240</f>
        <v>3241</v>
      </c>
      <c r="I7" s="255"/>
    </row>
    <row r="8" spans="1:9" x14ac:dyDescent="0.2">
      <c r="A8" s="32">
        <v>2300</v>
      </c>
      <c r="B8" t="s">
        <v>797</v>
      </c>
      <c r="C8" s="274">
        <f t="shared" si="0"/>
        <v>94121.180000000051</v>
      </c>
      <c r="D8" s="242"/>
      <c r="E8" s="20">
        <f>'DOE25'!L205+'DOE25'!L223+'DOE25'!L241-F8-G8-H8-D9-D11</f>
        <v>83628.240000000049</v>
      </c>
      <c r="F8" s="243"/>
      <c r="G8" s="53">
        <f>'DOE25'!J205+'DOE25'!J223+'DOE25'!J241</f>
        <v>0</v>
      </c>
      <c r="H8" s="53">
        <f>'DOE25'!K205+'DOE25'!K223+'DOE25'!K241</f>
        <v>10492.939999999999</v>
      </c>
      <c r="I8" s="255"/>
    </row>
    <row r="9" spans="1:9" ht="14.25" x14ac:dyDescent="0.2">
      <c r="A9" s="32">
        <v>2310</v>
      </c>
      <c r="B9" s="184" t="s">
        <v>888</v>
      </c>
      <c r="C9" s="274">
        <f t="shared" si="0"/>
        <v>58528.22</v>
      </c>
      <c r="D9" s="243">
        <v>58528.22</v>
      </c>
      <c r="E9" s="242"/>
      <c r="F9" s="252"/>
      <c r="G9" s="252"/>
      <c r="H9" s="252"/>
      <c r="I9" s="255"/>
    </row>
    <row r="10" spans="1:9" ht="14.25" x14ac:dyDescent="0.2">
      <c r="A10" s="32">
        <v>2317</v>
      </c>
      <c r="B10" s="184" t="s">
        <v>889</v>
      </c>
      <c r="C10" s="274">
        <f t="shared" si="0"/>
        <v>21000</v>
      </c>
      <c r="D10" s="242"/>
      <c r="E10" s="243">
        <v>21000</v>
      </c>
      <c r="F10" s="252"/>
      <c r="G10" s="252"/>
      <c r="H10" s="252"/>
      <c r="I10" s="255"/>
    </row>
    <row r="11" spans="1:9" ht="14.25" x14ac:dyDescent="0.2">
      <c r="A11" s="32">
        <v>2321</v>
      </c>
      <c r="B11" s="184" t="s">
        <v>890</v>
      </c>
      <c r="C11" s="274">
        <f t="shared" si="0"/>
        <v>383751.83</v>
      </c>
      <c r="D11" s="243">
        <v>383751.83</v>
      </c>
      <c r="E11" s="242"/>
      <c r="F11" s="252"/>
      <c r="G11" s="252"/>
      <c r="H11" s="252"/>
      <c r="I11" s="255"/>
    </row>
    <row r="12" spans="1:9" x14ac:dyDescent="0.2">
      <c r="A12" s="32">
        <v>2400</v>
      </c>
      <c r="B12" t="s">
        <v>711</v>
      </c>
      <c r="C12" s="274">
        <f t="shared" si="0"/>
        <v>1361052.82</v>
      </c>
      <c r="D12" s="20">
        <f>'DOE25'!L206+'DOE25'!L224+'DOE25'!L242-F12-G12-H12</f>
        <v>1356267.37</v>
      </c>
      <c r="E12" s="242"/>
      <c r="F12" s="243"/>
      <c r="G12" s="53">
        <f>'DOE25'!J206+'DOE25'!J224+'DOE25'!J242</f>
        <v>449.95</v>
      </c>
      <c r="H12" s="53">
        <f>'DOE25'!K206+'DOE25'!K224+'DOE25'!K242</f>
        <v>4335.5</v>
      </c>
      <c r="I12" s="255"/>
    </row>
    <row r="13" spans="1:9" x14ac:dyDescent="0.2">
      <c r="A13" s="32">
        <v>2500</v>
      </c>
      <c r="B13" t="s">
        <v>798</v>
      </c>
      <c r="C13" s="274">
        <f t="shared" si="0"/>
        <v>551346.34</v>
      </c>
      <c r="D13" s="242"/>
      <c r="E13" s="20">
        <f>'DOE25'!L207+'DOE25'!L225+'DOE25'!L243-F13-G13-H13</f>
        <v>541605.74999999988</v>
      </c>
      <c r="F13" s="243"/>
      <c r="G13" s="53">
        <f>'DOE25'!J207+'DOE25'!J225+'DOE25'!J243</f>
        <v>3649.29</v>
      </c>
      <c r="H13" s="53">
        <f>'DOE25'!K207+'DOE25'!K225+'DOE25'!K243</f>
        <v>6091.3</v>
      </c>
      <c r="I13" s="255"/>
    </row>
    <row r="14" spans="1:9" x14ac:dyDescent="0.2">
      <c r="A14" s="32">
        <v>2600</v>
      </c>
      <c r="B14" t="s">
        <v>819</v>
      </c>
      <c r="C14" s="274">
        <f t="shared" si="0"/>
        <v>2265570.5599999996</v>
      </c>
      <c r="D14" s="20">
        <f>'DOE25'!L208+'DOE25'!L226+'DOE25'!L244-F14-G14-H14</f>
        <v>2191924.04</v>
      </c>
      <c r="E14" s="242"/>
      <c r="F14" s="243">
        <v>36587.51</v>
      </c>
      <c r="G14" s="53">
        <f>'DOE25'!J208+'DOE25'!J226+'DOE25'!J244</f>
        <v>36559.01</v>
      </c>
      <c r="H14" s="53">
        <f>'DOE25'!K208+'DOE25'!K226+'DOE25'!K244</f>
        <v>500</v>
      </c>
      <c r="I14" s="255"/>
    </row>
    <row r="15" spans="1:9" x14ac:dyDescent="0.2">
      <c r="A15" s="32">
        <v>2700</v>
      </c>
      <c r="B15" t="s">
        <v>799</v>
      </c>
      <c r="C15" s="274">
        <f t="shared" si="0"/>
        <v>1387142.16</v>
      </c>
      <c r="D15" s="20">
        <f>'DOE25'!L209+'DOE25'!L227+'DOE25'!L245-F15-G15-H15</f>
        <v>175680.04999999981</v>
      </c>
      <c r="E15" s="242"/>
      <c r="F15" s="243">
        <v>1211462.1100000001</v>
      </c>
      <c r="G15" s="53">
        <f>'DOE25'!J209+'DOE25'!J227+'DOE25'!J245</f>
        <v>0</v>
      </c>
      <c r="H15" s="53">
        <f>'DOE25'!K209+'DOE25'!K227+'DOE25'!K245</f>
        <v>0</v>
      </c>
      <c r="I15" s="255"/>
    </row>
    <row r="16" spans="1:9" x14ac:dyDescent="0.2">
      <c r="A16" s="32">
        <v>2800</v>
      </c>
      <c r="B16" t="s">
        <v>800</v>
      </c>
      <c r="C16" s="274">
        <f t="shared" si="0"/>
        <v>598426.06000000006</v>
      </c>
      <c r="D16" s="242"/>
      <c r="E16" s="20">
        <f>'DOE25'!L210+'DOE25'!L228+'DOE25'!L246-F16-G16-H16</f>
        <v>582645.94000000006</v>
      </c>
      <c r="F16" s="243">
        <v>3499.08</v>
      </c>
      <c r="G16" s="53">
        <f>'DOE25'!J210+'DOE25'!J228+'DOE25'!J246</f>
        <v>12281.04</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2557758.36</v>
      </c>
      <c r="D22" s="242"/>
      <c r="E22" s="242"/>
      <c r="F22" s="242"/>
      <c r="G22" s="53">
        <f>'DOE25'!L256+'DOE25'!L337</f>
        <v>2557758.36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808173.75</v>
      </c>
      <c r="D25" s="242"/>
      <c r="E25" s="242"/>
      <c r="F25" s="254"/>
      <c r="G25" s="252"/>
      <c r="H25" s="252"/>
      <c r="I25" s="253">
        <f>'DOE25'!L261+'DOE25'!L262+'DOE25'!L342+'DOE25'!L343</f>
        <v>808173.75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721907.64999999991</v>
      </c>
      <c r="D29" s="282">
        <f>'DOE25'!L359+'DOE25'!L360+'DOE25'!L361-'DOE25'!I368-F29-G29-H29</f>
        <v>48171.429999999935</v>
      </c>
      <c r="E29" s="242"/>
      <c r="F29" s="243">
        <v>661538.22</v>
      </c>
      <c r="G29" s="53">
        <f>'DOE25'!J359+'DOE25'!J360+'DOE25'!J361</f>
        <v>12198</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987544.99</v>
      </c>
      <c r="D31" s="20">
        <f>'DOE25'!L291+'DOE25'!L310+'DOE25'!L329+'DOE25'!L334+'DOE25'!L335+'DOE25'!L336-F31-G31-H31</f>
        <v>951454.75</v>
      </c>
      <c r="E31" s="242"/>
      <c r="F31" s="243">
        <v>5000</v>
      </c>
      <c r="G31" s="53">
        <f>'DOE25'!J291+'DOE25'!J310+'DOE25'!J329+'DOE25'!J334+'DOE25'!J335+'DOE25'!J336</f>
        <v>31090.239999999998</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22477298.699999996</v>
      </c>
      <c r="E33" s="244">
        <f t="shared" si="1"/>
        <v>1228879.9300000002</v>
      </c>
      <c r="F33" s="244">
        <f t="shared" si="1"/>
        <v>1918086.9200000002</v>
      </c>
      <c r="G33" s="244">
        <f t="shared" si="1"/>
        <v>2725360.0300000003</v>
      </c>
      <c r="H33" s="244">
        <f t="shared" si="1"/>
        <v>53918.83</v>
      </c>
      <c r="I33" s="244">
        <f t="shared" si="1"/>
        <v>808173.75</v>
      </c>
    </row>
    <row r="35" spans="1:9" ht="12" thickBot="1" x14ac:dyDescent="0.25">
      <c r="B35" s="250" t="s">
        <v>831</v>
      </c>
      <c r="D35" s="251">
        <f>E33</f>
        <v>1228879.9300000002</v>
      </c>
      <c r="E35" s="247"/>
      <c r="F35" s="328" t="s">
        <v>1617</v>
      </c>
      <c r="G35" s="329"/>
      <c r="H35" s="329"/>
      <c r="I35" s="329"/>
    </row>
    <row r="36" spans="1:9" ht="12" thickTop="1" x14ac:dyDescent="0.2">
      <c r="B36" t="s">
        <v>810</v>
      </c>
      <c r="D36" s="20">
        <f>D33</f>
        <v>22477298.699999996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2"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Jaffrey-Rindge Cooperative</v>
      </c>
      <c r="B2" s="126">
        <f>'DOE25'!B2</f>
        <v>274</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12191347.26</v>
      </c>
      <c r="G4" s="299">
        <f>'DOE25'!L212+'DOE25'!L291</f>
        <v>12191347.26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243539.34</v>
      </c>
      <c r="E5" s="290">
        <v>14055.07</v>
      </c>
      <c r="F5" s="303">
        <f>D5+E5</f>
        <v>257594.41</v>
      </c>
      <c r="G5" s="293"/>
      <c r="H5" s="293"/>
      <c r="I5" s="384"/>
      <c r="N5"/>
    </row>
    <row r="6" spans="1:18" x14ac:dyDescent="0.2">
      <c r="A6" s="126" t="str" cm="1">
        <f t="array" ref="A6">IFERROR(INDEX('School Tables'!$A$4:$G$325,'School Tables'!$J4,3),"")</f>
        <v>Jaffrey Grade School</v>
      </c>
      <c r="B6" s="300">
        <f>IFERROR(VLOOKUP(A6,'School Tables'!$C$3:$D$365,2,FALSE),"")</f>
        <v>22275</v>
      </c>
      <c r="C6" s="293" t="str">
        <f>IFERROR(INDEX('School Tables'!$B$3:$B$365,MATCH('School Level Expenditures'!B6,'School Tables'!$D$3:$D$365,0)),"")</f>
        <v>Jaffrey-Rindge Cooperative</v>
      </c>
      <c r="D6" s="290">
        <f>896357.83+4283012.48-83418.38</f>
        <v>5095951.9300000006</v>
      </c>
      <c r="E6" s="290">
        <f>58709.84-6740.91+283774.91+526.33</f>
        <v>336270.17</v>
      </c>
      <c r="F6" s="303">
        <f t="shared" ref="F6:F20" si="0">D6+E6</f>
        <v>5432222.1000000006</v>
      </c>
      <c r="G6" s="293"/>
      <c r="H6" s="293"/>
      <c r="I6" s="384"/>
      <c r="N6"/>
    </row>
    <row r="7" spans="1:18" x14ac:dyDescent="0.2">
      <c r="A7" s="126" t="str" cm="1">
        <f t="array" ref="A7">IFERROR(INDEX('School Tables'!$A$4:$G$325,'School Tables'!$J5,3),"")</f>
        <v>Rindge Memorial School</v>
      </c>
      <c r="B7" s="300">
        <f>IFERROR(VLOOKUP(A7,'School Tables'!$C$3:$D$365,2,FALSE),"")</f>
        <v>22320</v>
      </c>
      <c r="C7" s="293" t="str">
        <f>IFERROR(INDEX('School Tables'!$B$3:$B$365,MATCH('School Level Expenditures'!B7,'School Tables'!$D$3:$D$365,0)),"")</f>
        <v>Jaffrey-Rindge Cooperative</v>
      </c>
      <c r="D7" s="290">
        <f>972585.39+5393164.3-160120.96</f>
        <v>6205628.7299999995</v>
      </c>
      <c r="E7" s="290">
        <f>63702.59-7314.16+212993.19+25949.36+571.04</f>
        <v>295902.01999999996</v>
      </c>
      <c r="F7" s="303">
        <f t="shared" si="0"/>
        <v>6501530.7499999991</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11545120</v>
      </c>
      <c r="E21" s="338">
        <f>SUM(E5:E20)</f>
        <v>646227.26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5382485.5699999994</v>
      </c>
      <c r="G24" s="299">
        <f>'DOE25'!L230+'DOE25'!L310</f>
        <v>5382485.5700000003</v>
      </c>
      <c r="H24" s="340">
        <f>F24-G24</f>
        <v>0</v>
      </c>
      <c r="I24" s="383" t="str">
        <f>IF(H24=0,"","ISSUES!! Please review page 8 and 12 totals in comparison with total on this page")</f>
        <v/>
      </c>
      <c r="N24"/>
    </row>
    <row r="25" spans="1:14" x14ac:dyDescent="0.2">
      <c r="A25" s="126" t="s">
        <v>1548</v>
      </c>
      <c r="B25" s="300">
        <v>99999</v>
      </c>
      <c r="C25" s="293" t="s">
        <v>1548</v>
      </c>
      <c r="D25" s="290">
        <v>59320.32</v>
      </c>
      <c r="E25" s="290">
        <v>6604.84</v>
      </c>
      <c r="F25" s="303">
        <f>D25+E25</f>
        <v>65925.16</v>
      </c>
      <c r="G25" s="293"/>
      <c r="H25" s="293"/>
      <c r="I25" s="384"/>
      <c r="N25"/>
    </row>
    <row r="26" spans="1:14" x14ac:dyDescent="0.2">
      <c r="A26" s="126" t="str" cm="1">
        <f t="array" ref="A26">IFERROR(INDEX('School Tables'!$L$4:$R$75,'School Tables'!$U4,3),"")</f>
        <v>Jaffrey-Rindge Middle School</v>
      </c>
      <c r="B26" s="300">
        <f>IFERROR(VLOOKUP(A26,'School Tables'!$N$4:$O$75,2,FALSE),"")</f>
        <v>22280</v>
      </c>
      <c r="C26" s="293" t="str">
        <f>IFERROR(INDEX('School Tables'!$M$4:$M$75,MATCH('School Level Expenditures'!A26,'School Tables'!$N$4:$N$75,0)),"")</f>
        <v>Jaffrey-Rindge Cooperative</v>
      </c>
      <c r="D26" s="290">
        <f>5165973.09-59320.32</f>
        <v>5106652.7699999996</v>
      </c>
      <c r="E26" s="290">
        <f>216512.48-6604.84</f>
        <v>209907.64</v>
      </c>
      <c r="F26" s="303">
        <f t="shared" ref="F26:F32" si="1">D26+E26</f>
        <v>5316560.4099999992</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5165973.09</v>
      </c>
      <c r="E33" s="338">
        <f>SUM(E25:E32)</f>
        <v>216512.48</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7529045.5700000003</v>
      </c>
      <c r="G36" s="299">
        <f>'DOE25'!L248+'DOE25'!L329</f>
        <v>7529045.5699999984</v>
      </c>
      <c r="H36" s="340">
        <f>F36-G36</f>
        <v>0</v>
      </c>
      <c r="I36" s="383" t="str">
        <f>IF(H36=0,"","ISSUES!! Please review page 9 and 13 totals in comparison with total on this page")</f>
        <v/>
      </c>
      <c r="N36"/>
    </row>
    <row r="37" spans="1:14" x14ac:dyDescent="0.2">
      <c r="A37" s="126" t="s">
        <v>1548</v>
      </c>
      <c r="B37" s="300">
        <v>99999</v>
      </c>
      <c r="C37" s="293" t="s">
        <v>1548</v>
      </c>
      <c r="D37" s="290">
        <v>1124205.6000000001</v>
      </c>
      <c r="E37" s="290">
        <v>8202.44</v>
      </c>
      <c r="F37" s="303">
        <f t="shared" ref="F37:F42" si="2">D37+E37</f>
        <v>1132408.04</v>
      </c>
      <c r="G37" s="293"/>
      <c r="H37" s="293"/>
      <c r="I37" s="384"/>
      <c r="N37"/>
    </row>
    <row r="38" spans="1:14" x14ac:dyDescent="0.2">
      <c r="A38" s="126" t="str" cm="1">
        <f t="array" ref="A38">IFERROR(INDEX('School Tables'!$W$4:$AC$100,'School Tables'!$AF4,3),"")</f>
        <v>Conant High School</v>
      </c>
      <c r="B38" s="300">
        <f>IFERROR(VLOOKUP(A38,'School Tables'!$Y$4:$Z$100,2,FALSE),"")</f>
        <v>22265</v>
      </c>
      <c r="C38" s="293" t="str">
        <f>IFERROR(INDEX('School Tables'!$X$4:$X$100,MATCH('School Level Expenditures'!A38,'School Tables'!$Y$4:$Y$100,0)),"")</f>
        <v>Jaffrey-Rindge Cooperative</v>
      </c>
      <c r="D38" s="290">
        <f>7404240.32-1124205.6</f>
        <v>6280034.7200000007</v>
      </c>
      <c r="E38" s="290">
        <f>124805.25-8202.44</f>
        <v>116602.81</v>
      </c>
      <c r="F38" s="303">
        <f t="shared" si="2"/>
        <v>6396637.5300000003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7404240.3200000003</v>
      </c>
      <c r="E43" s="339">
        <f>SUM(E37:E42)</f>
        <v>124805.25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3" zoomScale="80" zoomScaleNormal="80" workbookViewId="0">
      <selection activeCell="A121" sqref="A1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Jaffrey-Rindge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877704.83</v>
      </c>
      <c r="D8" s="95">
        <f>'DOE25'!G9</f>
        <v>31.62</v>
      </c>
      <c r="E8" s="95">
        <f>'DOE25'!H9</f>
        <v>0</v>
      </c>
      <c r="F8" s="95">
        <f>'DOE25'!I9</f>
        <v>0</v>
      </c>
      <c r="G8" s="95">
        <f>'DOE25'!J9</f>
        <v>0</v>
      </c>
      <c r="H8" s="124">
        <f>SUM(C8:G8)</f>
        <v>877736.45</v>
      </c>
      <c r="I8" s="124"/>
    </row>
    <row r="9" spans="1:9" x14ac:dyDescent="0.2">
      <c r="A9" s="1" t="s">
        <v>140</v>
      </c>
      <c r="B9" s="6">
        <v>110</v>
      </c>
      <c r="C9" s="95">
        <f>'DOE25'!F10</f>
        <v>0</v>
      </c>
      <c r="D9" s="95">
        <f>'DOE25'!G10</f>
        <v>0</v>
      </c>
      <c r="E9" s="95">
        <f>'DOE25'!H10</f>
        <v>0</v>
      </c>
      <c r="F9" s="95">
        <f>'DOE25'!I10</f>
        <v>0</v>
      </c>
      <c r="G9" s="95">
        <f>'DOE25'!J10</f>
        <v>3003397.08</v>
      </c>
      <c r="H9" s="124">
        <f t="shared" ref="H9:H18" si="0">SUM(C9:G9)</f>
        <v>3003397.08</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316418.56</v>
      </c>
      <c r="D11" s="95">
        <f>'DOE25'!G12</f>
        <v>107979.15</v>
      </c>
      <c r="E11" s="95">
        <f>'DOE25'!H12</f>
        <v>0</v>
      </c>
      <c r="F11" s="95">
        <f>'DOE25'!I12</f>
        <v>0</v>
      </c>
      <c r="G11" s="95">
        <f>'DOE25'!J12</f>
        <v>64135.21</v>
      </c>
      <c r="H11" s="124">
        <f t="shared" si="0"/>
        <v>488532.92</v>
      </c>
      <c r="I11" s="124"/>
    </row>
    <row r="12" spans="1:9" x14ac:dyDescent="0.2">
      <c r="A12" s="1" t="s">
        <v>143</v>
      </c>
      <c r="B12" s="6">
        <v>140</v>
      </c>
      <c r="C12" s="95">
        <f>'DOE25'!F13</f>
        <v>124213.99</v>
      </c>
      <c r="D12" s="95">
        <f>'DOE25'!G13</f>
        <v>155756.98000000001</v>
      </c>
      <c r="E12" s="95">
        <f>'DOE25'!H13</f>
        <v>1173813.18</v>
      </c>
      <c r="F12" s="95">
        <f>'DOE25'!I13</f>
        <v>0</v>
      </c>
      <c r="G12" s="95">
        <f>'DOE25'!J13</f>
        <v>0</v>
      </c>
      <c r="H12" s="124">
        <f t="shared" si="0"/>
        <v>1453784.15</v>
      </c>
      <c r="I12" s="124"/>
    </row>
    <row r="13" spans="1:9" x14ac:dyDescent="0.2">
      <c r="A13" s="1" t="s">
        <v>144</v>
      </c>
      <c r="B13" s="6">
        <v>150</v>
      </c>
      <c r="C13" s="95">
        <f>'DOE25'!F14</f>
        <v>2486.4699999999998</v>
      </c>
      <c r="D13" s="95">
        <f>'DOE25'!G14</f>
        <v>0</v>
      </c>
      <c r="E13" s="95">
        <f>'DOE25'!H14</f>
        <v>0</v>
      </c>
      <c r="F13" s="95">
        <f>'DOE25'!I14</f>
        <v>0</v>
      </c>
      <c r="G13" s="95">
        <f>'DOE25'!J14</f>
        <v>0</v>
      </c>
      <c r="H13" s="124">
        <f t="shared" si="0"/>
        <v>2486.4699999999998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18564.39</v>
      </c>
      <c r="E15" s="95">
        <f>'DOE25'!H16</f>
        <v>0</v>
      </c>
      <c r="F15" s="95">
        <f>'DOE25'!I16</f>
        <v>0</v>
      </c>
      <c r="G15" s="24" t="s">
        <v>288</v>
      </c>
      <c r="H15" s="124">
        <f t="shared" si="0"/>
        <v>18564.39</v>
      </c>
      <c r="I15" s="124"/>
    </row>
    <row r="16" spans="1:9" x14ac:dyDescent="0.2">
      <c r="A16" s="1" t="s">
        <v>147</v>
      </c>
      <c r="B16" s="6">
        <v>180</v>
      </c>
      <c r="C16" s="95">
        <f>'DOE25'!F17</f>
        <v>8598</v>
      </c>
      <c r="D16" s="95">
        <f>'DOE25'!G17</f>
        <v>0</v>
      </c>
      <c r="E16" s="95">
        <f>'DOE25'!H17</f>
        <v>0</v>
      </c>
      <c r="F16" s="95">
        <f>'DOE25'!I17</f>
        <v>0</v>
      </c>
      <c r="G16" s="95">
        <f>'DOE25'!J17</f>
        <v>0</v>
      </c>
      <c r="H16" s="124">
        <f t="shared" si="0"/>
        <v>8598</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1329421.8499999999</v>
      </c>
      <c r="D18" s="41">
        <f>SUM(D8:D17)</f>
        <v>282332.14</v>
      </c>
      <c r="E18" s="41">
        <f>SUM(E8:E17)</f>
        <v>1173813.18</v>
      </c>
      <c r="F18" s="41">
        <f>SUM(F8:F17)</f>
        <v>0</v>
      </c>
      <c r="G18" s="41">
        <f>SUM(G8:G17)</f>
        <v>3067532.29</v>
      </c>
      <c r="H18" s="41">
        <f t="shared" si="0"/>
        <v>5853099.46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326811.61</v>
      </c>
      <c r="F21" s="95">
        <f>'DOE25'!I22</f>
        <v>0</v>
      </c>
      <c r="G21" s="95">
        <f>'DOE25'!J22</f>
        <v>0</v>
      </c>
      <c r="H21" s="124">
        <f t="shared" ref="H21:H31" si="1">SUM(C21:G21)</f>
        <v>326811.61</v>
      </c>
      <c r="I21" s="124"/>
    </row>
    <row r="22" spans="1:9" x14ac:dyDescent="0.2">
      <c r="A22" s="1" t="s">
        <v>151</v>
      </c>
      <c r="B22" s="6">
        <v>410</v>
      </c>
      <c r="C22" s="95">
        <f>'DOE25'!F23</f>
        <v>41934.699999999997</v>
      </c>
      <c r="D22" s="95">
        <f>'DOE25'!G23</f>
        <v>0</v>
      </c>
      <c r="E22" s="95">
        <f>'DOE25'!H23</f>
        <v>3531.25</v>
      </c>
      <c r="F22" s="95">
        <f>'DOE25'!I23</f>
        <v>0</v>
      </c>
      <c r="G22" s="95">
        <f>'DOE25'!J23</f>
        <v>161721.31</v>
      </c>
      <c r="H22" s="124">
        <f t="shared" si="1"/>
        <v>207187.26</v>
      </c>
      <c r="I22" s="124"/>
    </row>
    <row r="23" spans="1:9" x14ac:dyDescent="0.2">
      <c r="A23" s="1" t="s">
        <v>152</v>
      </c>
      <c r="B23" s="6">
        <v>420</v>
      </c>
      <c r="C23" s="95">
        <f>'DOE25'!F24</f>
        <v>175837.42</v>
      </c>
      <c r="D23" s="95">
        <f>'DOE25'!G24</f>
        <v>262</v>
      </c>
      <c r="E23" s="95">
        <f>'DOE25'!H24</f>
        <v>843470.32</v>
      </c>
      <c r="F23" s="95">
        <f>'DOE25'!I24</f>
        <v>0</v>
      </c>
      <c r="G23" s="95">
        <f>'DOE25'!J24</f>
        <v>64135.21</v>
      </c>
      <c r="H23" s="124">
        <f t="shared" si="1"/>
        <v>1083704.95</v>
      </c>
      <c r="I23" s="124"/>
    </row>
    <row r="24" spans="1:9" x14ac:dyDescent="0.2">
      <c r="A24" s="1" t="s">
        <v>153</v>
      </c>
      <c r="B24" s="6">
        <v>430</v>
      </c>
      <c r="C24" s="95">
        <f>'DOE25'!F25</f>
        <v>0</v>
      </c>
      <c r="D24" s="95">
        <f>'DOE25'!G25</f>
        <v>42406.31</v>
      </c>
      <c r="E24" s="95">
        <f>'DOE25'!H25</f>
        <v>0</v>
      </c>
      <c r="F24" s="95">
        <f>'DOE25'!I25</f>
        <v>0</v>
      </c>
      <c r="G24" s="24" t="s">
        <v>288</v>
      </c>
      <c r="H24" s="124">
        <f t="shared" si="1"/>
        <v>42406.31</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39271.99</v>
      </c>
      <c r="D27" s="95">
        <f>'DOE25'!G28</f>
        <v>0</v>
      </c>
      <c r="E27" s="95">
        <f>'DOE25'!H28</f>
        <v>0</v>
      </c>
      <c r="F27" s="95">
        <f>'DOE25'!I28</f>
        <v>0</v>
      </c>
      <c r="G27" s="24" t="s">
        <v>288</v>
      </c>
      <c r="H27" s="124">
        <f t="shared" si="1"/>
        <v>39271.99</v>
      </c>
      <c r="I27" s="124"/>
    </row>
    <row r="28" spans="1:9" x14ac:dyDescent="0.2">
      <c r="A28" s="1" t="s">
        <v>157</v>
      </c>
      <c r="B28" s="6">
        <v>470</v>
      </c>
      <c r="C28" s="95">
        <f>'DOE25'!F29</f>
        <v>25059.940000000002</v>
      </c>
      <c r="D28" s="95">
        <f>'DOE25'!G29</f>
        <v>0</v>
      </c>
      <c r="E28" s="95">
        <f>'DOE25'!H29</f>
        <v>0</v>
      </c>
      <c r="F28" s="95">
        <f>'DOE25'!I29</f>
        <v>0</v>
      </c>
      <c r="G28" s="24" t="s">
        <v>288</v>
      </c>
      <c r="H28" s="124">
        <f t="shared" si="1"/>
        <v>25059.940000000002</v>
      </c>
      <c r="I28" s="124"/>
    </row>
    <row r="29" spans="1:9" x14ac:dyDescent="0.2">
      <c r="A29" s="1" t="s">
        <v>158</v>
      </c>
      <c r="B29" s="6">
        <v>480</v>
      </c>
      <c r="C29" s="95">
        <f>'DOE25'!F30</f>
        <v>0</v>
      </c>
      <c r="D29" s="95">
        <f>'DOE25'!G30</f>
        <v>22878.37</v>
      </c>
      <c r="E29" s="95">
        <f>'DOE25'!H30</f>
        <v>0</v>
      </c>
      <c r="F29" s="95">
        <f>'DOE25'!I30</f>
        <v>0</v>
      </c>
      <c r="G29" s="24" t="s">
        <v>288</v>
      </c>
      <c r="H29" s="124">
        <f t="shared" si="1"/>
        <v>22878.37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282104.05</v>
      </c>
      <c r="D31" s="41">
        <f>SUM(D21:D30)</f>
        <v>65546.679999999993</v>
      </c>
      <c r="E31" s="41">
        <f>SUM(E21:E30)</f>
        <v>1173813.18</v>
      </c>
      <c r="F31" s="41">
        <f>SUM(F21:F30)</f>
        <v>0</v>
      </c>
      <c r="G31" s="41">
        <f>SUM(G21:G30)</f>
        <v>225856.52</v>
      </c>
      <c r="H31" s="41">
        <f t="shared" si="1"/>
        <v>1747320.43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18564.39</v>
      </c>
      <c r="E34" s="95">
        <f>'DOE25'!H35</f>
        <v>0</v>
      </c>
      <c r="F34" s="95">
        <f>'DOE25'!I35</f>
        <v>0</v>
      </c>
      <c r="G34" s="24" t="s">
        <v>288</v>
      </c>
      <c r="H34" s="124">
        <f t="shared" ref="H34:H51" si="2">SUM(C34:G34)</f>
        <v>18564.39</v>
      </c>
      <c r="I34" s="124"/>
    </row>
    <row r="35" spans="1:9" x14ac:dyDescent="0.2">
      <c r="A35" s="1" t="s">
        <v>850</v>
      </c>
      <c r="B35" s="6">
        <v>752</v>
      </c>
      <c r="C35" s="95">
        <f>'DOE25'!F36</f>
        <v>8598</v>
      </c>
      <c r="D35" s="95">
        <f>'DOE25'!G36</f>
        <v>0</v>
      </c>
      <c r="E35" s="95">
        <f>'DOE25'!H36</f>
        <v>0</v>
      </c>
      <c r="F35" s="95">
        <f>'DOE25'!I36</f>
        <v>0</v>
      </c>
      <c r="G35" s="24" t="s">
        <v>288</v>
      </c>
      <c r="H35" s="124">
        <f t="shared" si="2"/>
        <v>8598</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198221.07</v>
      </c>
      <c r="E39" s="24" t="s">
        <v>288</v>
      </c>
      <c r="F39" s="24" t="s">
        <v>288</v>
      </c>
      <c r="G39" s="24" t="s">
        <v>288</v>
      </c>
      <c r="H39" s="124">
        <f t="shared" si="2"/>
        <v>198221.07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2841675.77</v>
      </c>
      <c r="H42" s="124">
        <f t="shared" si="2"/>
        <v>2841675.77</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901170</v>
      </c>
      <c r="D45" s="24" t="s">
        <v>288</v>
      </c>
      <c r="E45" s="24" t="s">
        <v>288</v>
      </c>
      <c r="F45" s="24" t="s">
        <v>288</v>
      </c>
      <c r="G45" s="24" t="s">
        <v>288</v>
      </c>
      <c r="H45" s="124">
        <f t="shared" si="2"/>
        <v>901170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137549.79999999999</v>
      </c>
      <c r="D49" s="24" t="s">
        <v>288</v>
      </c>
      <c r="E49" s="24" t="s">
        <v>288</v>
      </c>
      <c r="F49" s="24" t="s">
        <v>288</v>
      </c>
      <c r="G49" s="24" t="s">
        <v>288</v>
      </c>
      <c r="H49" s="124">
        <f t="shared" si="2"/>
        <v>137549.79999999999</v>
      </c>
      <c r="I49" s="124"/>
    </row>
    <row r="50" spans="1:9" ht="12.75" thickTop="1" thickBot="1" x14ac:dyDescent="0.25">
      <c r="A50" s="38" t="s">
        <v>884</v>
      </c>
      <c r="B50" s="48"/>
      <c r="C50" s="41">
        <f>SUM(C34:C49)</f>
        <v>1047317.8</v>
      </c>
      <c r="D50" s="41">
        <f>SUM(D34:D49)</f>
        <v>216785.46000000002</v>
      </c>
      <c r="E50" s="41">
        <f>SUM(E34:E49)</f>
        <v>0</v>
      </c>
      <c r="F50" s="41">
        <f>SUM(F34:F49)</f>
        <v>0</v>
      </c>
      <c r="G50" s="41">
        <f>SUM(G34:G49)</f>
        <v>2841675.77</v>
      </c>
      <c r="H50" s="41">
        <f t="shared" si="2"/>
        <v>4105779.0300000003</v>
      </c>
      <c r="I50" s="124"/>
    </row>
    <row r="51" spans="1:9" ht="12" thickTop="1" x14ac:dyDescent="0.2">
      <c r="A51" s="38" t="s">
        <v>885</v>
      </c>
      <c r="B51" s="2"/>
      <c r="C51" s="41">
        <f>C50+C31</f>
        <v>1329421.8500000001</v>
      </c>
      <c r="D51" s="41">
        <f>D50+D31</f>
        <v>282332.14</v>
      </c>
      <c r="E51" s="41">
        <f>E50+E31</f>
        <v>1173813.18</v>
      </c>
      <c r="F51" s="41">
        <f>F50+F31</f>
        <v>0</v>
      </c>
      <c r="G51" s="41">
        <f>G50+G31</f>
        <v>3067532.29</v>
      </c>
      <c r="H51" s="41">
        <f t="shared" si="2"/>
        <v>5853099.46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15814367</v>
      </c>
      <c r="D56" s="95">
        <f>'DOE25'!G60</f>
        <v>0</v>
      </c>
      <c r="E56" s="95">
        <f>'DOE25'!H60</f>
        <v>0</v>
      </c>
      <c r="F56" s="95">
        <f>'DOE25'!I60</f>
        <v>0</v>
      </c>
      <c r="G56" s="95">
        <f>'DOE25'!J60</f>
        <v>0</v>
      </c>
      <c r="H56" s="124">
        <f t="shared" ref="H56:H63" si="3">SUM(C56:G56)</f>
        <v>15814367</v>
      </c>
      <c r="I56"/>
    </row>
    <row r="57" spans="1:9" x14ac:dyDescent="0.2">
      <c r="A57" s="1" t="s">
        <v>164</v>
      </c>
      <c r="B57" s="6" t="s">
        <v>165</v>
      </c>
      <c r="C57" s="95">
        <f>'DOE25'!F79</f>
        <v>28299.96</v>
      </c>
      <c r="D57" s="24" t="s">
        <v>288</v>
      </c>
      <c r="E57" s="95">
        <f>'DOE25'!H79</f>
        <v>0</v>
      </c>
      <c r="F57" s="24" t="s">
        <v>288</v>
      </c>
      <c r="G57" s="24" t="s">
        <v>288</v>
      </c>
      <c r="H57" s="124">
        <f t="shared" si="3"/>
        <v>28299.96</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1245.55</v>
      </c>
      <c r="D59" s="95">
        <f>'DOE25'!G96</f>
        <v>0</v>
      </c>
      <c r="E59" s="95">
        <f>'DOE25'!H96</f>
        <v>0</v>
      </c>
      <c r="F59" s="95">
        <f>'DOE25'!I96</f>
        <v>0</v>
      </c>
      <c r="G59" s="95">
        <f>'DOE25'!J96</f>
        <v>397359.57999999996</v>
      </c>
      <c r="H59" s="124">
        <f t="shared" si="3"/>
        <v>398605.12999999995</v>
      </c>
      <c r="I59"/>
    </row>
    <row r="60" spans="1:9" x14ac:dyDescent="0.2">
      <c r="A60" s="1" t="s">
        <v>170</v>
      </c>
      <c r="B60" s="118" t="s">
        <v>171</v>
      </c>
      <c r="C60" s="24" t="s">
        <v>288</v>
      </c>
      <c r="D60" s="95">
        <f>'DOE25'!G97</f>
        <v>24075</v>
      </c>
      <c r="E60" s="24" t="s">
        <v>288</v>
      </c>
      <c r="F60" s="24" t="s">
        <v>288</v>
      </c>
      <c r="G60" s="24" t="s">
        <v>288</v>
      </c>
      <c r="H60" s="124">
        <f t="shared" si="3"/>
        <v>24075</v>
      </c>
      <c r="I60"/>
    </row>
    <row r="61" spans="1:9" ht="12" thickBot="1" x14ac:dyDescent="0.25">
      <c r="A61" s="1" t="s">
        <v>172</v>
      </c>
      <c r="B61" s="118" t="s">
        <v>173</v>
      </c>
      <c r="C61" s="95">
        <f>SUM('DOE25'!F98:F110)</f>
        <v>295461.81</v>
      </c>
      <c r="D61" s="95">
        <f>SUM('DOE25'!G98:G110)</f>
        <v>0</v>
      </c>
      <c r="E61" s="95">
        <f>SUM('DOE25'!H98:H110)</f>
        <v>0</v>
      </c>
      <c r="F61" s="95">
        <f>SUM('DOE25'!I98:I110)</f>
        <v>0</v>
      </c>
      <c r="G61" s="95">
        <f>SUM('DOE25'!J98:J110)</f>
        <v>0</v>
      </c>
      <c r="H61" s="124">
        <f t="shared" si="3"/>
        <v>295461.81</v>
      </c>
      <c r="I61"/>
    </row>
    <row r="62" spans="1:9" ht="12.75" thickTop="1" thickBot="1" x14ac:dyDescent="0.25">
      <c r="A62" s="29" t="s">
        <v>174</v>
      </c>
      <c r="B62" s="6"/>
      <c r="C62" s="130">
        <f>SUM(C57:C61)</f>
        <v>325007.32</v>
      </c>
      <c r="D62" s="130">
        <f>SUM(D57:D61)</f>
        <v>24075</v>
      </c>
      <c r="E62" s="130">
        <f>SUM(E57:E61)</f>
        <v>0</v>
      </c>
      <c r="F62" s="130">
        <f>SUM(F57:F61)</f>
        <v>0</v>
      </c>
      <c r="G62" s="130">
        <f>SUM(G57:G61)</f>
        <v>397359.57999999996</v>
      </c>
      <c r="H62" s="124">
        <f t="shared" si="3"/>
        <v>746441.89999999991</v>
      </c>
      <c r="I62"/>
    </row>
    <row r="63" spans="1:9" ht="12" thickTop="1" x14ac:dyDescent="0.2">
      <c r="A63" s="29" t="s">
        <v>175</v>
      </c>
      <c r="B63" s="6"/>
      <c r="C63" s="22">
        <f>C56+C62</f>
        <v>16139374.32</v>
      </c>
      <c r="D63" s="22">
        <f>D56+D62</f>
        <v>24075</v>
      </c>
      <c r="E63" s="22">
        <f>E56+E62</f>
        <v>0</v>
      </c>
      <c r="F63" s="22">
        <f>F56+F62</f>
        <v>0</v>
      </c>
      <c r="G63" s="22">
        <f>G56+G62</f>
        <v>397359.57999999996</v>
      </c>
      <c r="H63" s="124">
        <f t="shared" si="3"/>
        <v>16560808.9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5510770.8899999997</v>
      </c>
      <c r="D66" s="24" t="s">
        <v>288</v>
      </c>
      <c r="E66" s="24" t="s">
        <v>288</v>
      </c>
      <c r="F66" s="24" t="s">
        <v>288</v>
      </c>
      <c r="G66" s="24" t="s">
        <v>288</v>
      </c>
      <c r="H66" s="124">
        <f t="shared" ref="H66:H81" si="4">SUM(C66:G66)</f>
        <v>5510770.8899999997</v>
      </c>
      <c r="I66"/>
    </row>
    <row r="67" spans="1:9" x14ac:dyDescent="0.2">
      <c r="A67" s="1" t="s">
        <v>770</v>
      </c>
      <c r="B67" s="6">
        <v>3112</v>
      </c>
      <c r="C67" s="95">
        <f>'DOE25'!F118</f>
        <v>2209036</v>
      </c>
      <c r="D67" s="24"/>
      <c r="E67" s="24"/>
      <c r="F67" s="24"/>
      <c r="G67" s="24"/>
      <c r="H67" s="124">
        <f t="shared" si="4"/>
        <v>2209036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7721802.0999999996</v>
      </c>
      <c r="D70" s="139">
        <f>D69</f>
        <v>0</v>
      </c>
      <c r="E70" s="139">
        <f>E69</f>
        <v>0</v>
      </c>
      <c r="F70" s="139">
        <f>F69</f>
        <v>0</v>
      </c>
      <c r="G70" s="139">
        <f>G69</f>
        <v>0</v>
      </c>
      <c r="H70" s="124">
        <f t="shared" si="4"/>
        <v>7721802.0999999996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325898.36</v>
      </c>
      <c r="D72" s="24" t="s">
        <v>288</v>
      </c>
      <c r="E72" s="24" t="s">
        <v>288</v>
      </c>
      <c r="F72" s="95">
        <f>'DOE25'!I123</f>
        <v>0</v>
      </c>
      <c r="G72" s="24" t="s">
        <v>288</v>
      </c>
      <c r="H72" s="124">
        <f t="shared" si="4"/>
        <v>325898.36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609271.47</v>
      </c>
      <c r="D75" s="24" t="s">
        <v>288</v>
      </c>
      <c r="E75" s="24" t="s">
        <v>288</v>
      </c>
      <c r="F75" s="24" t="s">
        <v>288</v>
      </c>
      <c r="G75" s="24" t="s">
        <v>288</v>
      </c>
      <c r="H75" s="124">
        <f t="shared" si="4"/>
        <v>609271.47</v>
      </c>
      <c r="I75"/>
    </row>
    <row r="76" spans="1:9" x14ac:dyDescent="0.2">
      <c r="A76" s="1" t="s">
        <v>257</v>
      </c>
      <c r="B76" s="6" t="s">
        <v>179</v>
      </c>
      <c r="C76" s="95">
        <f>SUM('DOE25'!F127:F130)</f>
        <v>2439.1999999999998</v>
      </c>
      <c r="D76" s="24" t="s">
        <v>288</v>
      </c>
      <c r="E76" s="95">
        <f>SUM('DOE25'!H127:H130)</f>
        <v>4590.1499999999996</v>
      </c>
      <c r="F76" s="95">
        <f>SUM('DOE25'!I127:I130)</f>
        <v>0</v>
      </c>
      <c r="G76" s="24" t="s">
        <v>288</v>
      </c>
      <c r="H76" s="124">
        <f t="shared" si="4"/>
        <v>7029.3499999999995</v>
      </c>
      <c r="I76"/>
    </row>
    <row r="77" spans="1:9" ht="12" thickBot="1" x14ac:dyDescent="0.25">
      <c r="A77" s="1" t="s">
        <v>258</v>
      </c>
      <c r="B77" s="6" t="s">
        <v>180</v>
      </c>
      <c r="C77" s="95">
        <f>SUM('DOE25'!F131:F135)</f>
        <v>0</v>
      </c>
      <c r="D77" s="95">
        <f>SUM('DOE25'!G131:G135)</f>
        <v>10604.34</v>
      </c>
      <c r="E77" s="95">
        <f>SUM('DOE25'!H131:H135)</f>
        <v>0</v>
      </c>
      <c r="F77" s="95">
        <f>SUM('DOE25'!I131:I135)</f>
        <v>0</v>
      </c>
      <c r="G77" s="95">
        <f>SUM('DOE25'!J131:J135)</f>
        <v>0</v>
      </c>
      <c r="H77" s="124">
        <f t="shared" si="4"/>
        <v>10604.34</v>
      </c>
      <c r="I77"/>
    </row>
    <row r="78" spans="1:9" ht="12.75" thickTop="1" thickBot="1" x14ac:dyDescent="0.25">
      <c r="A78" s="29" t="s">
        <v>259</v>
      </c>
      <c r="B78" s="6"/>
      <c r="C78" s="130">
        <f>SUM(C72:C77)</f>
        <v>937609.02999999991</v>
      </c>
      <c r="D78" s="130">
        <f>SUM(D72:D77)</f>
        <v>10604.34</v>
      </c>
      <c r="E78" s="130">
        <f>SUM(E72:E77)</f>
        <v>4590.1499999999996</v>
      </c>
      <c r="F78" s="130">
        <f>SUM(F72:F77)</f>
        <v>0</v>
      </c>
      <c r="G78" s="130">
        <f>SUM(G72:G77)</f>
        <v>0</v>
      </c>
      <c r="H78" s="124">
        <f t="shared" si="4"/>
        <v>952803.5199999999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8659411.129999999</v>
      </c>
      <c r="D81" s="130">
        <f>SUM(D79:D80)+D78+D70</f>
        <v>10604.34</v>
      </c>
      <c r="E81" s="130">
        <f>SUM(E79:E80)+E78+E70</f>
        <v>4590.1499999999996</v>
      </c>
      <c r="F81" s="130">
        <f>SUM(F79:F80)+F78+F70</f>
        <v>0</v>
      </c>
      <c r="G81" s="130">
        <f>SUM(G79:G80)+G78+G70</f>
        <v>0</v>
      </c>
      <c r="H81" s="130">
        <f t="shared" si="4"/>
        <v>8674605.6199999992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81588.23</v>
      </c>
      <c r="D85" s="95">
        <f>'DOE25'!G147</f>
        <v>0</v>
      </c>
      <c r="E85" s="95">
        <f>'DOE25'!H147</f>
        <v>0</v>
      </c>
      <c r="F85" s="95">
        <f>'DOE25'!I147</f>
        <v>0</v>
      </c>
      <c r="G85" s="24" t="s">
        <v>288</v>
      </c>
      <c r="H85" s="124">
        <f t="shared" ref="H85:H104" si="5">SUM(C85:G85)</f>
        <v>81588.23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106968.7</v>
      </c>
      <c r="D88" s="326">
        <f>SUM('DOE25'!G153:G162)</f>
        <v>854485.22999999986</v>
      </c>
      <c r="E88" s="326">
        <f>SUM('DOE25'!H153:H162)</f>
        <v>3029260.77</v>
      </c>
      <c r="F88" s="326">
        <f>SUM('DOE25'!I153:I162)</f>
        <v>0</v>
      </c>
      <c r="G88" s="24" t="s">
        <v>288</v>
      </c>
      <c r="H88" s="124">
        <f t="shared" si="5"/>
        <v>3990714.6999999997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188556.93</v>
      </c>
      <c r="D91" s="131">
        <f>SUM(D85:D90)</f>
        <v>854485.22999999986</v>
      </c>
      <c r="E91" s="131">
        <f>SUM(E85:E90)</f>
        <v>3029260.77</v>
      </c>
      <c r="F91" s="131">
        <f>SUM(F85:F90)</f>
        <v>0</v>
      </c>
      <c r="G91" s="24" t="s">
        <v>288</v>
      </c>
      <c r="H91" s="124">
        <f t="shared" si="5"/>
        <v>4072302.9299999997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525000</v>
      </c>
      <c r="H96" s="124">
        <f t="shared" si="5"/>
        <v>525000</v>
      </c>
    </row>
    <row r="97" spans="1:8" x14ac:dyDescent="0.2">
      <c r="A97" t="s">
        <v>754</v>
      </c>
      <c r="B97" s="32" t="s">
        <v>188</v>
      </c>
      <c r="C97" s="95">
        <f>SUM('DOE25'!F181:F182)</f>
        <v>25910.28</v>
      </c>
      <c r="D97" s="95">
        <f>SUM('DOE25'!G181:G182)</f>
        <v>0</v>
      </c>
      <c r="E97" s="95">
        <f>SUM('DOE25'!H181:H182)</f>
        <v>0</v>
      </c>
      <c r="F97" s="95">
        <f>SUM('DOE25'!I181:I182)</f>
        <v>0</v>
      </c>
      <c r="G97" s="95">
        <f>SUM('DOE25'!J181:J182)</f>
        <v>0</v>
      </c>
      <c r="H97" s="124">
        <f t="shared" si="5"/>
        <v>25910.28</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25910.28</v>
      </c>
      <c r="D103" s="86">
        <f>SUM(D93:D102)</f>
        <v>0</v>
      </c>
      <c r="E103" s="86">
        <f>SUM(E93:E102)</f>
        <v>0</v>
      </c>
      <c r="F103" s="86">
        <f>SUM(F93:F102)</f>
        <v>0</v>
      </c>
      <c r="G103" s="86">
        <f>SUM(G93:G102)</f>
        <v>525000</v>
      </c>
      <c r="H103" s="86">
        <f t="shared" si="5"/>
        <v>550910.28</v>
      </c>
    </row>
    <row r="104" spans="1:8" ht="12.75" thickTop="1" thickBot="1" x14ac:dyDescent="0.25">
      <c r="A104" s="33" t="s">
        <v>761</v>
      </c>
      <c r="C104" s="86">
        <f>C63+C81+C91+C103</f>
        <v>25013252.66</v>
      </c>
      <c r="D104" s="86">
        <f>D63+D81+D91+D103</f>
        <v>889164.56999999983</v>
      </c>
      <c r="E104" s="86">
        <f>E63+E81+E91+E103</f>
        <v>3033850.92</v>
      </c>
      <c r="F104" s="86">
        <f>F63+F81+F91+F103</f>
        <v>0</v>
      </c>
      <c r="G104" s="86">
        <f>G63+G81+G103</f>
        <v>922359.58</v>
      </c>
      <c r="H104" s="86">
        <f t="shared" si="5"/>
        <v>29858627.729999997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8585924.379999999</v>
      </c>
      <c r="D109" s="24" t="s">
        <v>288</v>
      </c>
      <c r="E109" s="95">
        <f>('DOE25'!L277)+('DOE25'!L296)+('DOE25'!L315)</f>
        <v>247166.94</v>
      </c>
      <c r="F109" s="24" t="s">
        <v>288</v>
      </c>
      <c r="G109" s="24" t="s">
        <v>288</v>
      </c>
      <c r="H109" s="124">
        <f t="shared" ref="H109:H115" si="6">SUM(C109:G109)</f>
        <v>8833091.3199999984</v>
      </c>
    </row>
    <row r="110" spans="1:8" x14ac:dyDescent="0.2">
      <c r="A110" t="s">
        <v>198</v>
      </c>
      <c r="B110" s="32" t="s">
        <v>199</v>
      </c>
      <c r="C110" s="95">
        <f>('DOE25'!L199)+('DOE25'!L217)+('DOE25'!L235)</f>
        <v>5362864.4700000007</v>
      </c>
      <c r="D110" s="24" t="s">
        <v>288</v>
      </c>
      <c r="E110" s="95">
        <f>('DOE25'!L278)+('DOE25'!L297)+('DOE25'!L316)</f>
        <v>464461.07</v>
      </c>
      <c r="F110" s="24" t="s">
        <v>288</v>
      </c>
      <c r="G110" s="24" t="s">
        <v>288</v>
      </c>
      <c r="H110" s="124">
        <f t="shared" si="6"/>
        <v>5827325.540000001</v>
      </c>
    </row>
    <row r="111" spans="1:8" x14ac:dyDescent="0.2">
      <c r="A111" t="s">
        <v>200</v>
      </c>
      <c r="B111" s="32" t="s">
        <v>165</v>
      </c>
      <c r="C111" s="95">
        <f>('DOE25'!L200)+('DOE25'!L218)+('DOE25'!L236)</f>
        <v>497037.79999999993</v>
      </c>
      <c r="D111" s="24" t="s">
        <v>288</v>
      </c>
      <c r="E111" s="95">
        <f>('DOE25'!L279)+('DOE25'!L298)+('DOE25'!L317)</f>
        <v>0</v>
      </c>
      <c r="F111" s="24" t="s">
        <v>288</v>
      </c>
      <c r="G111" s="24" t="s">
        <v>288</v>
      </c>
      <c r="H111" s="124">
        <f t="shared" si="6"/>
        <v>497037.79999999993</v>
      </c>
    </row>
    <row r="112" spans="1:8" x14ac:dyDescent="0.2">
      <c r="A112" t="s">
        <v>201</v>
      </c>
      <c r="B112" s="32" t="s">
        <v>167</v>
      </c>
      <c r="C112" s="95">
        <f>('DOE25'!L201)+('DOE25'!L219)+('DOE25'!L237)</f>
        <v>471429.9</v>
      </c>
      <c r="D112" s="24" t="s">
        <v>288</v>
      </c>
      <c r="E112" s="95">
        <f>+('DOE25'!L280)+('DOE25'!L299)+('DOE25'!L318)</f>
        <v>60420.439999999995</v>
      </c>
      <c r="F112" s="24" t="s">
        <v>288</v>
      </c>
      <c r="G112" s="24" t="s">
        <v>288</v>
      </c>
      <c r="H112" s="124">
        <f t="shared" si="6"/>
        <v>531850.34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14917256.550000001</v>
      </c>
      <c r="D115" s="86">
        <f>SUM(D109:D114)</f>
        <v>0</v>
      </c>
      <c r="E115" s="86">
        <f>SUM(E109:E114)</f>
        <v>772048.45</v>
      </c>
      <c r="F115" s="86">
        <f>SUM(F109:F114)</f>
        <v>0</v>
      </c>
      <c r="G115" s="86">
        <f>SUM(G109:G114)</f>
        <v>0</v>
      </c>
      <c r="H115" s="86">
        <f t="shared" si="6"/>
        <v>15689305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1922275.68</v>
      </c>
      <c r="D118" s="24" t="s">
        <v>288</v>
      </c>
      <c r="E118" s="95">
        <f>+('DOE25'!L282)+('DOE25'!L301)+('DOE25'!L320)</f>
        <v>43505.789999999994</v>
      </c>
      <c r="F118" s="24" t="s">
        <v>288</v>
      </c>
      <c r="G118" s="24" t="s">
        <v>288</v>
      </c>
      <c r="H118" s="124">
        <f t="shared" ref="H118:H145" si="7">SUM(C118:G118)</f>
        <v>1965781.47</v>
      </c>
    </row>
    <row r="119" spans="1:8" x14ac:dyDescent="0.2">
      <c r="A119" t="s">
        <v>208</v>
      </c>
      <c r="B119" s="32" t="s">
        <v>209</v>
      </c>
      <c r="C119" s="95">
        <f>('DOE25'!L204)+('DOE25'!L222)+('DOE25'!L240)</f>
        <v>575862.01</v>
      </c>
      <c r="D119" s="24" t="s">
        <v>288</v>
      </c>
      <c r="E119" s="95">
        <f>+('DOE25'!L283)+('DOE25'!L302)+('DOE25'!L321)</f>
        <v>130065.90999999999</v>
      </c>
      <c r="F119" s="24" t="s">
        <v>288</v>
      </c>
      <c r="G119" s="24" t="s">
        <v>288</v>
      </c>
      <c r="H119" s="124">
        <f t="shared" si="7"/>
        <v>705927.92</v>
      </c>
    </row>
    <row r="120" spans="1:8" x14ac:dyDescent="0.2">
      <c r="A120" t="s">
        <v>210</v>
      </c>
      <c r="B120" s="32" t="s">
        <v>211</v>
      </c>
      <c r="C120" s="95">
        <f>('DOE25'!L205)+('DOE25'!L223)+('DOE25'!L241)</f>
        <v>536401.23</v>
      </c>
      <c r="D120" s="24" t="s">
        <v>288</v>
      </c>
      <c r="E120" s="95">
        <f>+('DOE25'!L284)+('DOE25'!L303)+('DOE25'!L322)</f>
        <v>0</v>
      </c>
      <c r="F120" s="24" t="s">
        <v>288</v>
      </c>
      <c r="G120" s="24" t="s">
        <v>288</v>
      </c>
      <c r="H120" s="124">
        <f t="shared" si="7"/>
        <v>536401.23</v>
      </c>
    </row>
    <row r="121" spans="1:8" x14ac:dyDescent="0.2">
      <c r="A121" t="s">
        <v>212</v>
      </c>
      <c r="B121" s="32" t="s">
        <v>213</v>
      </c>
      <c r="C121" s="95">
        <f>('DOE25'!L206)+('DOE25'!L224)+('DOE25'!L242)</f>
        <v>1361052.82</v>
      </c>
      <c r="D121" s="24" t="s">
        <v>288</v>
      </c>
      <c r="E121" s="95">
        <f>+('DOE25'!L285)+('DOE25'!L304)+('DOE25'!L323)</f>
        <v>8187.5</v>
      </c>
      <c r="F121" s="24" t="s">
        <v>288</v>
      </c>
      <c r="G121" s="24" t="s">
        <v>288</v>
      </c>
      <c r="H121" s="124">
        <f t="shared" si="7"/>
        <v>1369240.32</v>
      </c>
    </row>
    <row r="122" spans="1:8" x14ac:dyDescent="0.2">
      <c r="A122" t="s">
        <v>214</v>
      </c>
      <c r="B122" s="32" t="s">
        <v>215</v>
      </c>
      <c r="C122" s="95">
        <f>('DOE25'!L207)+('DOE25'!L225)+('DOE25'!L243)</f>
        <v>551346.34</v>
      </c>
      <c r="D122" s="24" t="s">
        <v>288</v>
      </c>
      <c r="E122" s="95">
        <f>+('DOE25'!L286)+('DOE25'!L305)+('DOE25'!L324)</f>
        <v>0</v>
      </c>
      <c r="F122" s="24" t="s">
        <v>288</v>
      </c>
      <c r="G122" s="24" t="s">
        <v>288</v>
      </c>
      <c r="H122" s="124">
        <f t="shared" si="7"/>
        <v>551346.34</v>
      </c>
    </row>
    <row r="123" spans="1:8" x14ac:dyDescent="0.2">
      <c r="A123" t="s">
        <v>216</v>
      </c>
      <c r="B123" s="32" t="s">
        <v>217</v>
      </c>
      <c r="C123" s="95">
        <f>('DOE25'!L208)+('DOE25'!L226)+('DOE25'!L244)</f>
        <v>2265570.5599999996</v>
      </c>
      <c r="D123" s="24" t="s">
        <v>288</v>
      </c>
      <c r="E123" s="95">
        <f>+('DOE25'!L287)+('DOE25'!L306)+('DOE25'!L325)</f>
        <v>11138.88</v>
      </c>
      <c r="F123" s="24" t="s">
        <v>288</v>
      </c>
      <c r="G123" s="24" t="s">
        <v>288</v>
      </c>
      <c r="H123" s="124">
        <f t="shared" si="7"/>
        <v>2276709.4399999995</v>
      </c>
    </row>
    <row r="124" spans="1:8" x14ac:dyDescent="0.2">
      <c r="A124" t="s">
        <v>218</v>
      </c>
      <c r="B124" s="32" t="s">
        <v>219</v>
      </c>
      <c r="C124" s="95">
        <f>('DOE25'!L209)+('DOE25'!L227)+('DOE25'!L245+'DOE25'!L255)</f>
        <v>1387142.16</v>
      </c>
      <c r="D124" s="24" t="s">
        <v>288</v>
      </c>
      <c r="E124" s="95">
        <f>+('DOE25'!L288)+('DOE25'!L307)+('DOE25'!L326)</f>
        <v>11137.5</v>
      </c>
      <c r="F124" s="24" t="s">
        <v>288</v>
      </c>
      <c r="G124" s="24" t="s">
        <v>288</v>
      </c>
      <c r="H124" s="124">
        <f t="shared" si="7"/>
        <v>1398279.66</v>
      </c>
    </row>
    <row r="125" spans="1:8" x14ac:dyDescent="0.2">
      <c r="A125" t="s">
        <v>220</v>
      </c>
      <c r="B125" s="32" t="s">
        <v>221</v>
      </c>
      <c r="C125" s="95">
        <f>('DOE25'!L210)+('DOE25'!L228)+('DOE25'!L246)</f>
        <v>598426.06000000006</v>
      </c>
      <c r="D125" s="24" t="s">
        <v>288</v>
      </c>
      <c r="E125" s="95">
        <f>+('DOE25'!L289)+('DOE25'!L308)+('DOE25'!L327)</f>
        <v>11460.96</v>
      </c>
      <c r="F125" s="24" t="s">
        <v>288</v>
      </c>
      <c r="G125" s="24" t="s">
        <v>288</v>
      </c>
      <c r="H125" s="124">
        <f t="shared" si="7"/>
        <v>609887.02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721907.64999999991</v>
      </c>
      <c r="E127" s="24" t="s">
        <v>288</v>
      </c>
      <c r="F127" s="24" t="s">
        <v>288</v>
      </c>
      <c r="G127" s="24" t="s">
        <v>288</v>
      </c>
      <c r="H127" s="124">
        <f t="shared" si="7"/>
        <v>721907.64999999991</v>
      </c>
    </row>
    <row r="128" spans="1:8" ht="12.75" thickTop="1" thickBot="1" x14ac:dyDescent="0.25">
      <c r="A128" s="33" t="s">
        <v>226</v>
      </c>
      <c r="C128" s="86">
        <f>SUM(C118:C127)</f>
        <v>9198076.8599999994</v>
      </c>
      <c r="D128" s="86">
        <f>SUM(D118:D127)</f>
        <v>721907.64999999991</v>
      </c>
      <c r="E128" s="86">
        <f>SUM(E118:E127)</f>
        <v>215496.53999999998</v>
      </c>
      <c r="F128" s="86">
        <f>SUM(F118:F127)</f>
        <v>0</v>
      </c>
      <c r="G128" s="86">
        <f>SUM(G118:G127)</f>
        <v>0</v>
      </c>
      <c r="H128" s="86">
        <f t="shared" si="7"/>
        <v>10135481.049999999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537362.71</v>
      </c>
      <c r="D130" s="24" t="s">
        <v>288</v>
      </c>
      <c r="E130" s="129">
        <f>'DOE25'!L337</f>
        <v>2020395.65</v>
      </c>
      <c r="F130" s="129">
        <f>SUM('DOE25'!L375:'DOE25'!L381)</f>
        <v>0</v>
      </c>
      <c r="G130" s="24" t="s">
        <v>288</v>
      </c>
      <c r="H130" s="124">
        <f t="shared" si="7"/>
        <v>2557758.36</v>
      </c>
    </row>
    <row r="131" spans="1:8" x14ac:dyDescent="0.2">
      <c r="A131" t="s">
        <v>229</v>
      </c>
      <c r="B131" s="32">
        <v>5110</v>
      </c>
      <c r="C131" s="95">
        <f>'DOE25'!L261</f>
        <v>760000</v>
      </c>
      <c r="D131" s="24" t="s">
        <v>288</v>
      </c>
      <c r="E131" s="129">
        <f>'DOE25'!L342</f>
        <v>0</v>
      </c>
      <c r="F131" s="24" t="s">
        <v>288</v>
      </c>
      <c r="G131" s="24" t="s">
        <v>288</v>
      </c>
      <c r="H131" s="124">
        <f t="shared" si="7"/>
        <v>760000</v>
      </c>
    </row>
    <row r="132" spans="1:8" x14ac:dyDescent="0.2">
      <c r="A132" t="s">
        <v>230</v>
      </c>
      <c r="B132" s="32">
        <v>5120</v>
      </c>
      <c r="C132" s="95">
        <f>'DOE25'!L262</f>
        <v>48173.75</v>
      </c>
      <c r="D132" s="24" t="s">
        <v>288</v>
      </c>
      <c r="E132" s="129">
        <f>'DOE25'!L343</f>
        <v>0</v>
      </c>
      <c r="F132" s="24" t="s">
        <v>288</v>
      </c>
      <c r="G132" s="24" t="s">
        <v>288</v>
      </c>
      <c r="H132" s="124">
        <f t="shared" si="7"/>
        <v>48173.75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25910.28</v>
      </c>
      <c r="F134" s="95">
        <f>'DOE25'!K382</f>
        <v>0</v>
      </c>
      <c r="G134" s="95">
        <f>'DOE25'!K435</f>
        <v>0</v>
      </c>
      <c r="H134" s="124">
        <f t="shared" si="7"/>
        <v>25910.28</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502141.66</v>
      </c>
      <c r="D138" s="24" t="s">
        <v>288</v>
      </c>
      <c r="E138" s="24" t="s">
        <v>288</v>
      </c>
      <c r="F138" s="24" t="s">
        <v>288</v>
      </c>
      <c r="G138" s="24" t="s">
        <v>288</v>
      </c>
      <c r="H138" s="124">
        <f t="shared" si="7"/>
        <v>502141.66</v>
      </c>
    </row>
    <row r="139" spans="1:8" x14ac:dyDescent="0.2">
      <c r="A139" t="s">
        <v>239</v>
      </c>
      <c r="B139" s="32">
        <v>5252</v>
      </c>
      <c r="C139" s="95">
        <f>'DOE25'!L402</f>
        <v>227966.37999999998</v>
      </c>
      <c r="D139" s="24" t="s">
        <v>288</v>
      </c>
      <c r="E139" s="24" t="s">
        <v>288</v>
      </c>
      <c r="F139" s="24" t="s">
        <v>288</v>
      </c>
      <c r="G139" s="24" t="s">
        <v>288</v>
      </c>
      <c r="H139" s="124">
        <f t="shared" si="7"/>
        <v>227966.37999999998</v>
      </c>
    </row>
    <row r="140" spans="1:8" x14ac:dyDescent="0.2">
      <c r="A140" t="s">
        <v>240</v>
      </c>
      <c r="B140" s="32">
        <v>5253</v>
      </c>
      <c r="C140" s="95">
        <f>'DOE25'!L408</f>
        <v>192251.53999999998</v>
      </c>
      <c r="D140" s="24" t="s">
        <v>288</v>
      </c>
      <c r="E140" s="24" t="s">
        <v>288</v>
      </c>
      <c r="F140" s="24" t="s">
        <v>288</v>
      </c>
      <c r="G140" s="24" t="s">
        <v>288</v>
      </c>
      <c r="H140" s="124">
        <f t="shared" si="7"/>
        <v>192251.53999999998</v>
      </c>
    </row>
    <row r="141" spans="1:8" x14ac:dyDescent="0.2">
      <c r="A141" t="s">
        <v>762</v>
      </c>
      <c r="B141" s="32">
        <v>5254</v>
      </c>
      <c r="C141" s="95">
        <f>('DOE25'!L267+'DOE25'!K348) - (C138+C139+C140)</f>
        <v>-397359.57999999984</v>
      </c>
      <c r="D141" s="24" t="s">
        <v>288</v>
      </c>
      <c r="E141" s="24" t="s">
        <v>288</v>
      </c>
      <c r="F141" s="24" t="s">
        <v>288</v>
      </c>
      <c r="G141" s="24" t="s">
        <v>288</v>
      </c>
      <c r="H141" s="124">
        <f t="shared" si="7"/>
        <v>-397359.57999999984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1870536.4599999997</v>
      </c>
      <c r="D144" s="141">
        <f>SUM(D130:D143)</f>
        <v>0</v>
      </c>
      <c r="E144" s="141">
        <f>SUM(E130:E143)</f>
        <v>2046305.93</v>
      </c>
      <c r="F144" s="141">
        <f>SUM(F130:F143)</f>
        <v>0</v>
      </c>
      <c r="G144" s="141">
        <f>SUM(G130:G143)</f>
        <v>0</v>
      </c>
      <c r="H144" s="141">
        <f t="shared" si="7"/>
        <v>3916842.3899999997</v>
      </c>
    </row>
    <row r="145" spans="1:9" ht="12.75" thickTop="1" thickBot="1" x14ac:dyDescent="0.25">
      <c r="A145" s="33" t="s">
        <v>244</v>
      </c>
      <c r="C145" s="86">
        <f>(C115+C128+C144)</f>
        <v>25985869.870000001</v>
      </c>
      <c r="D145" s="86">
        <f>(D115+D128+D144)</f>
        <v>721907.64999999991</v>
      </c>
      <c r="E145" s="86">
        <f>(E115+E128+E144)</f>
        <v>3033850.92</v>
      </c>
      <c r="F145" s="86">
        <f>(F115+F128+F144)</f>
        <v>0</v>
      </c>
      <c r="G145" s="86">
        <f>(G115+G128+G144)</f>
        <v>0</v>
      </c>
      <c r="H145" s="86">
        <f t="shared" si="7"/>
        <v>29741628.439999998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10</v>
      </c>
      <c r="D151" s="153">
        <f>'DOE25'!H491</f>
        <v>0</v>
      </c>
      <c r="E151" s="153">
        <f>'DOE25'!I491</f>
        <v>0</v>
      </c>
      <c r="F151" s="153">
        <f>'DOE25'!J491</f>
        <v>0</v>
      </c>
      <c r="G151" s="24" t="s">
        <v>288</v>
      </c>
    </row>
    <row r="152" spans="1:9" x14ac:dyDescent="0.2">
      <c r="A152" s="136" t="s">
        <v>28</v>
      </c>
      <c r="B152" s="152" t="str">
        <f>'DOE25'!F492</f>
        <v>07/06</v>
      </c>
      <c r="C152" s="152" t="str">
        <f>'DOE25'!G492</f>
        <v>07/17</v>
      </c>
      <c r="D152" s="152">
        <f>'DOE25'!H492</f>
        <v>0</v>
      </c>
      <c r="E152" s="152">
        <f>'DOE25'!I492</f>
        <v>0</v>
      </c>
      <c r="F152" s="152">
        <f>'DOE25'!J492</f>
        <v>0</v>
      </c>
      <c r="G152" s="24" t="s">
        <v>288</v>
      </c>
    </row>
    <row r="153" spans="1:9" x14ac:dyDescent="0.2">
      <c r="A153" s="136" t="s">
        <v>29</v>
      </c>
      <c r="B153" s="152" t="str">
        <f>'DOE25'!F493</f>
        <v>08/21</v>
      </c>
      <c r="C153" s="152" t="str">
        <f>'DOE25'!G493</f>
        <v>08/27</v>
      </c>
      <c r="D153" s="152">
        <f>'DOE25'!H493</f>
        <v>0</v>
      </c>
      <c r="E153" s="152">
        <f>'DOE25'!I493</f>
        <v>0</v>
      </c>
      <c r="F153" s="152">
        <f>'DOE25'!J493</f>
        <v>0</v>
      </c>
      <c r="G153" s="24" t="s">
        <v>288</v>
      </c>
    </row>
    <row r="154" spans="1:9" x14ac:dyDescent="0.2">
      <c r="A154" s="136" t="s">
        <v>30</v>
      </c>
      <c r="B154" s="137">
        <f>'DOE25'!F494</f>
        <v>9247684</v>
      </c>
      <c r="C154" s="137">
        <f>'DOE25'!G494</f>
        <v>1446400</v>
      </c>
      <c r="D154" s="137">
        <f>'DOE25'!H494</f>
        <v>0</v>
      </c>
      <c r="E154" s="137">
        <f>'DOE25'!I494</f>
        <v>0</v>
      </c>
      <c r="F154" s="137">
        <f>'DOE25'!J494</f>
        <v>0</v>
      </c>
      <c r="G154" s="24" t="s">
        <v>288</v>
      </c>
    </row>
    <row r="155" spans="1:9" x14ac:dyDescent="0.2">
      <c r="A155" s="136" t="s">
        <v>31</v>
      </c>
      <c r="B155" s="137">
        <f>'DOE25'!F495</f>
        <v>5</v>
      </c>
      <c r="C155" s="137">
        <f>'DOE25'!G495</f>
        <v>5.0999999999999996</v>
      </c>
      <c r="D155" s="137">
        <f>'DOE25'!H495</f>
        <v>0</v>
      </c>
      <c r="E155" s="137">
        <f>'DOE25'!I495</f>
        <v>0</v>
      </c>
      <c r="F155" s="137">
        <f>'DOE25'!J495</f>
        <v>0</v>
      </c>
      <c r="G155" s="24" t="s">
        <v>288</v>
      </c>
    </row>
    <row r="156" spans="1:9" x14ac:dyDescent="0.2">
      <c r="A156" s="22" t="s">
        <v>32</v>
      </c>
      <c r="B156" s="137">
        <f>'DOE25'!F496</f>
        <v>615000</v>
      </c>
      <c r="C156" s="137">
        <f>'DOE25'!G496</f>
        <v>1015000</v>
      </c>
      <c r="D156" s="137">
        <f>'DOE25'!H496</f>
        <v>0</v>
      </c>
      <c r="E156" s="137">
        <f>'DOE25'!I496</f>
        <v>0</v>
      </c>
      <c r="F156" s="137">
        <f>'DOE25'!J496</f>
        <v>0</v>
      </c>
      <c r="G156" s="138">
        <f>SUM(B156:F156)</f>
        <v>1630000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615000</v>
      </c>
      <c r="C158" s="137">
        <f>'DOE25'!G498</f>
        <v>145000</v>
      </c>
      <c r="D158" s="137">
        <f>'DOE25'!H498</f>
        <v>0</v>
      </c>
      <c r="E158" s="137">
        <f>'DOE25'!I498</f>
        <v>0</v>
      </c>
      <c r="F158" s="137">
        <f>'DOE25'!J498</f>
        <v>0</v>
      </c>
      <c r="G158" s="138">
        <f t="shared" si="8"/>
        <v>760000</v>
      </c>
    </row>
    <row r="159" spans="1:9" x14ac:dyDescent="0.2">
      <c r="A159" s="22" t="s">
        <v>35</v>
      </c>
      <c r="B159" s="137">
        <f>'DOE25'!F499</f>
        <v>0</v>
      </c>
      <c r="C159" s="137">
        <f>'DOE25'!G499</f>
        <v>870000</v>
      </c>
      <c r="D159" s="137">
        <f>'DOE25'!H499</f>
        <v>0</v>
      </c>
      <c r="E159" s="137">
        <f>'DOE25'!I499</f>
        <v>0</v>
      </c>
      <c r="F159" s="137">
        <f>'DOE25'!J499</f>
        <v>0</v>
      </c>
      <c r="G159" s="138">
        <f t="shared" si="8"/>
        <v>870000</v>
      </c>
    </row>
    <row r="160" spans="1:9" x14ac:dyDescent="0.2">
      <c r="A160" s="22" t="s">
        <v>36</v>
      </c>
      <c r="B160" s="137">
        <f>'DOE25'!F500</f>
        <v>0</v>
      </c>
      <c r="C160" s="137">
        <f>'DOE25'!G500</f>
        <v>133110</v>
      </c>
      <c r="D160" s="137">
        <f>'DOE25'!H500</f>
        <v>0</v>
      </c>
      <c r="E160" s="137">
        <f>'DOE25'!I500</f>
        <v>0</v>
      </c>
      <c r="F160" s="137">
        <f>'DOE25'!J500</f>
        <v>0</v>
      </c>
      <c r="G160" s="138">
        <f t="shared" si="8"/>
        <v>133110</v>
      </c>
    </row>
    <row r="161" spans="1:7" x14ac:dyDescent="0.2">
      <c r="A161" s="22" t="s">
        <v>37</v>
      </c>
      <c r="B161" s="137">
        <f>'DOE25'!F501</f>
        <v>0</v>
      </c>
      <c r="C161" s="137">
        <f>'DOE25'!G501</f>
        <v>1003110</v>
      </c>
      <c r="D161" s="137">
        <f>'DOE25'!H501</f>
        <v>0</v>
      </c>
      <c r="E161" s="137">
        <f>'DOE25'!I501</f>
        <v>0</v>
      </c>
      <c r="F161" s="137">
        <f>'DOE25'!J501</f>
        <v>0</v>
      </c>
      <c r="G161" s="138">
        <f t="shared" si="8"/>
        <v>1003110</v>
      </c>
    </row>
    <row r="162" spans="1:7" x14ac:dyDescent="0.2">
      <c r="A162" s="22" t="s">
        <v>38</v>
      </c>
      <c r="B162" s="137">
        <f>'DOE25'!F502</f>
        <v>0</v>
      </c>
      <c r="C162" s="137">
        <f>'DOE25'!G502</f>
        <v>145000</v>
      </c>
      <c r="D162" s="137">
        <f>'DOE25'!H502</f>
        <v>0</v>
      </c>
      <c r="E162" s="137">
        <f>'DOE25'!I502</f>
        <v>0</v>
      </c>
      <c r="F162" s="137">
        <f>'DOE25'!J502</f>
        <v>0</v>
      </c>
      <c r="G162" s="138">
        <f t="shared" si="8"/>
        <v>145000</v>
      </c>
    </row>
    <row r="163" spans="1:7" x14ac:dyDescent="0.2">
      <c r="A163" s="22" t="s">
        <v>39</v>
      </c>
      <c r="B163" s="137">
        <f>'DOE25'!F503</f>
        <v>0</v>
      </c>
      <c r="C163" s="137">
        <f>'DOE25'!G503</f>
        <v>40672.5</v>
      </c>
      <c r="D163" s="137">
        <f>'DOE25'!H503</f>
        <v>0</v>
      </c>
      <c r="E163" s="137">
        <f>'DOE25'!I503</f>
        <v>0</v>
      </c>
      <c r="F163" s="137">
        <f>'DOE25'!J503</f>
        <v>0</v>
      </c>
      <c r="G163" s="138">
        <f t="shared" si="8"/>
        <v>40672.5</v>
      </c>
    </row>
    <row r="164" spans="1:7" x14ac:dyDescent="0.2">
      <c r="A164" s="22" t="s">
        <v>246</v>
      </c>
      <c r="B164" s="137">
        <f>'DOE25'!F504</f>
        <v>0</v>
      </c>
      <c r="C164" s="137">
        <f>'DOE25'!G504</f>
        <v>185672.5</v>
      </c>
      <c r="D164" s="137">
        <f>'DOE25'!H504</f>
        <v>0</v>
      </c>
      <c r="E164" s="137">
        <f>'DOE25'!I504</f>
        <v>0</v>
      </c>
      <c r="F164" s="137">
        <f>'DOE25'!J504</f>
        <v>0</v>
      </c>
      <c r="G164" s="138">
        <f t="shared" si="8"/>
        <v>185672.5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H16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Jaffrey-Rindge Cooperative</v>
      </c>
    </row>
    <row r="3" spans="1:4" x14ac:dyDescent="0.2">
      <c r="B3" s="187" t="s">
        <v>1799</v>
      </c>
    </row>
    <row r="4" spans="1:4" x14ac:dyDescent="0.2">
      <c r="B4" t="s">
        <v>61</v>
      </c>
      <c r="C4" s="178">
        <f>IF('DOE25'!F666+'DOE25'!F671=0,0,ROUND('DOE25'!F673,0))</f>
        <v>19266</v>
      </c>
    </row>
    <row r="5" spans="1:4" x14ac:dyDescent="0.2">
      <c r="B5" t="s">
        <v>700</v>
      </c>
      <c r="C5" s="178">
        <f>IF('DOE25'!G666+'DOE25'!G671=0,0,ROUND('DOE25'!G673,0))</f>
        <v>17315</v>
      </c>
    </row>
    <row r="6" spans="1:4" x14ac:dyDescent="0.2">
      <c r="B6" t="s">
        <v>62</v>
      </c>
      <c r="C6" s="178">
        <f>IF('DOE25'!H666+'DOE25'!H671=0,0,ROUND('DOE25'!H673,0))</f>
        <v>15685</v>
      </c>
    </row>
    <row r="7" spans="1:4" x14ac:dyDescent="0.2">
      <c r="B7" t="s">
        <v>701</v>
      </c>
      <c r="C7" s="178">
        <f>IF('DOE25'!I666+'DOE25'!I671=0,0,ROUND('DOE25'!I673,0))</f>
        <v>17765</v>
      </c>
    </row>
    <row r="9" spans="1:4" x14ac:dyDescent="0.2">
      <c r="A9" s="186" t="s">
        <v>94</v>
      </c>
      <c r="B9" s="187" t="s">
        <v>1800</v>
      </c>
      <c r="C9" s="180" t="s">
        <v>720</v>
      </c>
      <c r="D9" s="180" t="s">
        <v>721</v>
      </c>
    </row>
    <row r="10" spans="1:4" x14ac:dyDescent="0.2">
      <c r="A10">
        <v>1100</v>
      </c>
      <c r="B10" t="s">
        <v>702</v>
      </c>
      <c r="C10" s="178">
        <f>ROUND('DOE25'!L198+'DOE25'!L216+'DOE25'!L234+'DOE25'!L277+'DOE25'!L296+'DOE25'!L315,0)</f>
        <v>8833091</v>
      </c>
      <c r="D10" s="181">
        <f>ROUND((C10/$C$28)*100,1)</f>
        <v>34.200000000000003</v>
      </c>
    </row>
    <row r="11" spans="1:4" x14ac:dyDescent="0.2">
      <c r="A11">
        <v>1200</v>
      </c>
      <c r="B11" t="s">
        <v>703</v>
      </c>
      <c r="C11" s="178">
        <f>ROUND('DOE25'!L199+'DOE25'!L217+'DOE25'!L235+'DOE25'!L278+'DOE25'!L297+'DOE25'!L316,0)</f>
        <v>5827326</v>
      </c>
      <c r="D11" s="181">
        <f>ROUND((C11/$C$28)*100,1)</f>
        <v>22.5</v>
      </c>
    </row>
    <row r="12" spans="1:4" x14ac:dyDescent="0.2">
      <c r="A12">
        <v>1300</v>
      </c>
      <c r="B12" t="s">
        <v>704</v>
      </c>
      <c r="C12" s="178">
        <f>ROUND('DOE25'!L200+'DOE25'!L218+'DOE25'!L236+'DOE25'!L279+'DOE25'!L298+'DOE25'!L317,0)</f>
        <v>497038</v>
      </c>
      <c r="D12" s="181">
        <f>ROUND((C12/$C$28)*100,1)</f>
        <v>1.9</v>
      </c>
    </row>
    <row r="13" spans="1:4" x14ac:dyDescent="0.2">
      <c r="A13">
        <v>1400</v>
      </c>
      <c r="B13" t="s">
        <v>705</v>
      </c>
      <c r="C13" s="178">
        <f>ROUND('DOE25'!L201+'DOE25'!L219+'DOE25'!L237+'DOE25'!L280+'DOE25'!L299+'DOE25'!L318,0)</f>
        <v>531850</v>
      </c>
      <c r="D13" s="181">
        <f>ROUND((C13/$C$28)*100,1)</f>
        <v>2.1</v>
      </c>
    </row>
    <row r="14" spans="1:4" x14ac:dyDescent="0.2">
      <c r="D14" s="181"/>
    </row>
    <row r="15" spans="1:4" x14ac:dyDescent="0.2">
      <c r="A15">
        <v>2100</v>
      </c>
      <c r="B15" t="s">
        <v>706</v>
      </c>
      <c r="C15" s="178">
        <f>ROUND('DOE25'!L203+'DOE25'!L221+'DOE25'!L239+'DOE25'!L282+'DOE25'!L301+'DOE25'!L320,0)</f>
        <v>1965781</v>
      </c>
      <c r="D15" s="181">
        <f t="shared" ref="D15:D27" si="0">ROUND((C15/$C$28)*100,1)</f>
        <v>7.6</v>
      </c>
    </row>
    <row r="16" spans="1:4" x14ac:dyDescent="0.2">
      <c r="A16">
        <v>2200</v>
      </c>
      <c r="B16" t="s">
        <v>707</v>
      </c>
      <c r="C16" s="178">
        <f>ROUND('DOE25'!L204+'DOE25'!L222+'DOE25'!L240+'DOE25'!L283+'DOE25'!L302+'DOE25'!L321,0)</f>
        <v>705928</v>
      </c>
      <c r="D16" s="181">
        <f t="shared" si="0"/>
        <v>2.7</v>
      </c>
    </row>
    <row r="17" spans="1:4" x14ac:dyDescent="0.2">
      <c r="A17" s="182" t="s">
        <v>723</v>
      </c>
      <c r="B17" t="s">
        <v>738</v>
      </c>
      <c r="C17" s="178">
        <f>ROUND('DOE25'!L205+'DOE25'!L210+'DOE25'!L223+'DOE25'!L228+'DOE25'!L241+'DOE25'!L246+'DOE25'!L284+'DOE25'!L289+'DOE25'!L303+'DOE25'!L308+'DOE25'!L322+'DOE25'!L327,0)</f>
        <v>1146288</v>
      </c>
      <c r="D17" s="181">
        <f t="shared" si="0"/>
        <v>4.4000000000000004</v>
      </c>
    </row>
    <row r="18" spans="1:4" x14ac:dyDescent="0.2">
      <c r="A18">
        <v>2400</v>
      </c>
      <c r="B18" t="s">
        <v>711</v>
      </c>
      <c r="C18" s="178">
        <f>ROUND('DOE25'!L206+'DOE25'!L224+'DOE25'!L242+'DOE25'!L285+'DOE25'!L304+'DOE25'!L323,0)</f>
        <v>1369240</v>
      </c>
      <c r="D18" s="181">
        <f t="shared" si="0"/>
        <v>5.3</v>
      </c>
    </row>
    <row r="19" spans="1:4" x14ac:dyDescent="0.2">
      <c r="A19">
        <v>2500</v>
      </c>
      <c r="B19" t="s">
        <v>708</v>
      </c>
      <c r="C19" s="178">
        <f>ROUND('DOE25'!L207+'DOE25'!L225+'DOE25'!L243+'DOE25'!L286+'DOE25'!L305+'DOE25'!L324,0)</f>
        <v>551346</v>
      </c>
      <c r="D19" s="181">
        <f t="shared" si="0"/>
        <v>2.1</v>
      </c>
    </row>
    <row r="20" spans="1:4" x14ac:dyDescent="0.2">
      <c r="A20">
        <v>2600</v>
      </c>
      <c r="B20" t="s">
        <v>709</v>
      </c>
      <c r="C20" s="178">
        <f>ROUND('DOE25'!L208+'DOE25'!L226+'DOE25'!L244+'DOE25'!L287+'DOE25'!L306+'DOE25'!L325,0)</f>
        <v>2276709</v>
      </c>
      <c r="D20" s="181">
        <f t="shared" si="0"/>
        <v>8.8000000000000007</v>
      </c>
    </row>
    <row r="21" spans="1:4" x14ac:dyDescent="0.2">
      <c r="A21">
        <v>2700</v>
      </c>
      <c r="B21" t="s">
        <v>710</v>
      </c>
      <c r="C21" s="178">
        <f>ROUND('DOE25'!L209+'DOE25'!L227+'DOE25'!L245+'DOE25'!L288+'DOE25'!L307+'DOE25'!L326,0)</f>
        <v>1398280</v>
      </c>
      <c r="D21" s="181">
        <f t="shared" si="0"/>
        <v>5.4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48174</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697833</v>
      </c>
      <c r="D27" s="181">
        <f t="shared" si="0"/>
        <v>2.7</v>
      </c>
    </row>
    <row r="28" spans="1:4" x14ac:dyDescent="0.2">
      <c r="B28" s="186" t="s">
        <v>719</v>
      </c>
      <c r="C28" s="179">
        <f>SUM(C10:C27)</f>
        <v>25848884</v>
      </c>
      <c r="D28" s="183">
        <f>ROUND(SUM(D10:D27),0)</f>
        <v>100</v>
      </c>
    </row>
    <row r="29" spans="1:4" x14ac:dyDescent="0.2">
      <c r="A29">
        <v>4000</v>
      </c>
      <c r="B29" t="s">
        <v>724</v>
      </c>
      <c r="C29" s="178">
        <f>ROUND('DOE25'!L256+'DOE25'!L337+'DOE25'!L375+'DOE25'!L376+'DOE25'!L377+'DOE25'!L378+'DOE25'!L379+'DOE25'!L380+'DOE25'!L381,0)</f>
        <v>2557758</v>
      </c>
    </row>
    <row r="30" spans="1:4" x14ac:dyDescent="0.2">
      <c r="B30" s="186" t="s">
        <v>725</v>
      </c>
      <c r="C30" s="179">
        <f>SUM(C28:C29)</f>
        <v>28406642</v>
      </c>
    </row>
    <row r="31" spans="1:4" x14ac:dyDescent="0.2">
      <c r="B31" s="33"/>
      <c r="C31" s="179"/>
    </row>
    <row r="32" spans="1:4" x14ac:dyDescent="0.2">
      <c r="A32">
        <v>5100</v>
      </c>
      <c r="B32" s="33" t="s">
        <v>726</v>
      </c>
      <c r="C32" s="179">
        <f>ROUND('DOE25'!L261+'DOE25'!L342,0)</f>
        <v>760000</v>
      </c>
    </row>
    <row r="34" spans="1:4" x14ac:dyDescent="0.2">
      <c r="A34" s="186" t="s">
        <v>94</v>
      </c>
      <c r="B34" s="187" t="s">
        <v>1801</v>
      </c>
      <c r="C34" s="180" t="s">
        <v>720</v>
      </c>
      <c r="D34" s="180" t="s">
        <v>721</v>
      </c>
    </row>
    <row r="35" spans="1:4" x14ac:dyDescent="0.2">
      <c r="A35">
        <v>1100</v>
      </c>
      <c r="B35" s="184" t="s">
        <v>727</v>
      </c>
      <c r="C35" s="178">
        <f>ROUND('DOE25'!F60+'DOE25'!G60+'DOE25'!H60+'DOE25'!I60+'DOE25'!J60,0)</f>
        <v>15814367</v>
      </c>
      <c r="D35" s="181">
        <f t="shared" ref="D35:D40" si="1">ROUND((C35/$C$41)*100,1)</f>
        <v>54</v>
      </c>
    </row>
    <row r="36" spans="1:4" x14ac:dyDescent="0.2">
      <c r="B36" s="184" t="s">
        <v>739</v>
      </c>
      <c r="C36" s="178">
        <f>SUM('DOE25'!F112:J112)-SUM('DOE25'!G97:G110)+('DOE25'!F175+'DOE25'!F176+'DOE25'!I175+'DOE25'!I176)-C35</f>
        <v>722366.90000000037</v>
      </c>
      <c r="D36" s="181">
        <f t="shared" si="1"/>
        <v>2.5</v>
      </c>
    </row>
    <row r="37" spans="1:4" x14ac:dyDescent="0.2">
      <c r="A37" s="182" t="s">
        <v>835</v>
      </c>
      <c r="B37" s="184" t="s">
        <v>728</v>
      </c>
      <c r="C37" s="178">
        <f>ROUND('DOE25'!F117+'DOE25'!F118,0)</f>
        <v>7719807</v>
      </c>
      <c r="D37" s="181">
        <f t="shared" si="1"/>
        <v>26.4</v>
      </c>
    </row>
    <row r="38" spans="1:4" x14ac:dyDescent="0.2">
      <c r="A38" s="182" t="s">
        <v>734</v>
      </c>
      <c r="B38" s="184" t="s">
        <v>729</v>
      </c>
      <c r="C38" s="178">
        <f>ROUND(SUM('DOE25'!F140:J140)-SUM('DOE25'!F117:F119),0)</f>
        <v>954799</v>
      </c>
      <c r="D38" s="181">
        <f t="shared" si="1"/>
        <v>3.3</v>
      </c>
    </row>
    <row r="39" spans="1:4" x14ac:dyDescent="0.2">
      <c r="A39">
        <v>4000</v>
      </c>
      <c r="B39" s="184" t="s">
        <v>730</v>
      </c>
      <c r="C39" s="178">
        <f>ROUND('DOE25'!F170+'DOE25'!G170+'DOE25'!H170+'DOE25'!I170,0)</f>
        <v>4072303</v>
      </c>
      <c r="D39" s="181">
        <f t="shared" si="1"/>
        <v>13.9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29283642.899999999</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0.25" right="0.25" top="0.75" bottom="0.75" header="0.3" footer="0.3"/>
  <pageSetup scale="90" orientation="landscape" r:id="rId1"/>
  <headerFooter alignWithMargins="0">
    <oddHeader>&amp;C&amp;A
2021-2022</oddHeader>
    <oddFooter>&amp;CPage &amp;P&amp;R&amp;D&amp;T</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sqref="A1:M16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Jaffrey-Rindge Cooperative</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25" right="0.25" top="0.75" bottom="0.75" header="0.3" footer="0.3"/>
  <pageSetup scale="90" orientation="landscape" r:id="rId1"/>
  <headerFooter alignWithMargins="0">
    <oddHeader>&amp;C&amp;A
2021-2022</oddHeader>
    <oddFooter>&amp;CPage &amp;P&amp;R&amp;D&amp;T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138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13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252</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f>IF('School Level Expenditures'!$B$2='School Tables'!W16,'School Tables'!AD16,"")</f>
        <v>13</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f>IF('School Level Expenditures'!$B$2='School Tables'!L34,'School Tables'!S34,"")</f>
        <v>31</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f>IF('School Level Expenditures'!$B$2=A141,'School Tables'!H141,"")</f>
        <v>138</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f>IF('School Level Expenditures'!$B$2=A255,'School Tables'!H255,"")</f>
        <v>252</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2022-08-25T21:27:25Z</cp:lastPrinted>
  <dcterms:created xsi:type="dcterms:W3CDTF">1997-12-04T19:04:30Z</dcterms:created>
  <dcterms:modified xsi:type="dcterms:W3CDTF">2022-12-19T15:59:04Z</dcterms:modified>
</cp:coreProperties>
</file>