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3978221-CE93-477B-9580-EF9E4D534BA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3" i="1" l="1"/>
  <c r="H235" i="1" l="1"/>
  <c r="F50" i="1"/>
  <c r="G534" i="1" l="1"/>
  <c r="F534" i="1"/>
  <c r="F15" i="13" l="1"/>
  <c r="F14" i="13"/>
  <c r="F6" i="13"/>
  <c r="F5" i="13"/>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J140" i="1" s="1"/>
  <c r="F147" i="1"/>
  <c r="C85" i="2"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H653" i="1"/>
  <c r="G654" i="1"/>
  <c r="H654" i="1"/>
  <c r="H655" i="1"/>
  <c r="H656" i="1"/>
  <c r="C112" i="2" l="1"/>
  <c r="D18" i="13"/>
  <c r="C18" i="13" s="1"/>
  <c r="C121" i="2"/>
  <c r="C120" i="2"/>
  <c r="H137" i="2"/>
  <c r="G663" i="1"/>
  <c r="G646" i="1"/>
  <c r="J646" i="1" s="1"/>
  <c r="I170" i="1"/>
  <c r="J112" i="1"/>
  <c r="J194" i="1" s="1"/>
  <c r="J469" i="1" s="1"/>
  <c r="G409" i="1"/>
  <c r="H646" i="1" s="1"/>
  <c r="F409" i="1"/>
  <c r="H644" i="1" s="1"/>
  <c r="C119" i="2"/>
  <c r="H135" i="2"/>
  <c r="H80" i="2"/>
  <c r="E124" i="2"/>
  <c r="E111" i="2"/>
  <c r="E112" i="2"/>
  <c r="H112" i="2" s="1"/>
  <c r="I112" i="1"/>
  <c r="H73" i="2"/>
  <c r="H132" i="2"/>
  <c r="G662" i="1"/>
  <c r="I409" i="1"/>
  <c r="H113" i="2"/>
  <c r="H140" i="1"/>
  <c r="H44" i="2"/>
  <c r="C125" i="2"/>
  <c r="E125" i="2"/>
  <c r="C13" i="10"/>
  <c r="H143" i="2"/>
  <c r="J652" i="1"/>
  <c r="E121" i="2"/>
  <c r="H121" i="2" s="1"/>
  <c r="H120" i="2"/>
  <c r="A40" i="12"/>
  <c r="C32" i="10"/>
  <c r="E13" i="13"/>
  <c r="C13" i="13" s="1"/>
  <c r="D15" i="13"/>
  <c r="C15" i="13" s="1"/>
  <c r="D6" i="13"/>
  <c r="C6" i="13" s="1"/>
  <c r="C12" i="10"/>
  <c r="G62" i="2"/>
  <c r="G63" i="2" s="1"/>
  <c r="H94" i="2"/>
  <c r="H93" i="2"/>
  <c r="H72" i="2"/>
  <c r="H101" i="2"/>
  <c r="H96" i="2"/>
  <c r="H87" i="2"/>
  <c r="H76" i="2"/>
  <c r="H58" i="2"/>
  <c r="H102" i="2"/>
  <c r="H100" i="2"/>
  <c r="H99" i="2"/>
  <c r="H98" i="2"/>
  <c r="H97" i="2"/>
  <c r="H89" i="2"/>
  <c r="H79" i="2"/>
  <c r="H77" i="2"/>
  <c r="H69" i="2"/>
  <c r="H61" i="2"/>
  <c r="H59" i="2"/>
  <c r="F170" i="1"/>
  <c r="H38" i="2"/>
  <c r="H26" i="2"/>
  <c r="H48" i="2"/>
  <c r="H25" i="2"/>
  <c r="H30" i="2"/>
  <c r="H11" i="2"/>
  <c r="H9" i="2"/>
  <c r="H47" i="2"/>
  <c r="H43" i="2"/>
  <c r="H36" i="2"/>
  <c r="H35" i="2"/>
  <c r="H34" i="2"/>
  <c r="H29" i="2"/>
  <c r="H28" i="2"/>
  <c r="H27" i="2"/>
  <c r="H24" i="2"/>
  <c r="H23" i="2"/>
  <c r="H22" i="2"/>
  <c r="H17" i="2"/>
  <c r="H15" i="2"/>
  <c r="H13" i="2"/>
  <c r="H12" i="2"/>
  <c r="H8"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I663" i="1" l="1"/>
  <c r="H124" i="2"/>
  <c r="H119" i="2"/>
  <c r="H111" i="2"/>
  <c r="F661" i="1"/>
  <c r="F665" i="1" s="1"/>
  <c r="F668" i="1" s="1"/>
  <c r="L572" i="1"/>
  <c r="G24" i="14"/>
  <c r="H24" i="14" s="1"/>
  <c r="I24" i="14" s="1"/>
  <c r="G637" i="1"/>
  <c r="I473" i="1"/>
  <c r="B17" i="16"/>
  <c r="B19" i="16" s="1"/>
  <c r="G473" i="1"/>
  <c r="H16" i="2"/>
  <c r="H125" i="2"/>
  <c r="H123" i="2"/>
  <c r="G647" i="1"/>
  <c r="E51" i="2"/>
  <c r="H114" i="2"/>
  <c r="H134" i="2"/>
  <c r="H21" i="2"/>
  <c r="H42" i="2"/>
  <c r="D128" i="2"/>
  <c r="D145" i="2" s="1"/>
  <c r="H127" i="2"/>
  <c r="H109" i="2"/>
  <c r="H118" i="2"/>
  <c r="E115" i="2"/>
  <c r="H122" i="2"/>
  <c r="E128" i="2"/>
  <c r="H85" i="2"/>
  <c r="H78" i="2"/>
  <c r="H57" i="2"/>
  <c r="H103" i="2"/>
  <c r="H91" i="2"/>
  <c r="H62" i="2"/>
  <c r="C81" i="2"/>
  <c r="H81" i="2" s="1"/>
  <c r="F194" i="1"/>
  <c r="H50" i="2"/>
  <c r="H31" i="2"/>
  <c r="D51" i="2"/>
  <c r="H18"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B22" i="16" l="1"/>
  <c r="G639" i="1"/>
  <c r="J473" i="1"/>
  <c r="H636" i="1"/>
  <c r="J636" i="1" s="1"/>
  <c r="G475" i="1"/>
  <c r="H637" i="1"/>
  <c r="J637" i="1" s="1"/>
  <c r="I475" i="1"/>
  <c r="G633" i="1"/>
  <c r="F473" i="1"/>
  <c r="G634" i="1"/>
  <c r="H473" i="1"/>
  <c r="H115" i="2"/>
  <c r="J471" i="1"/>
  <c r="H638" i="1"/>
  <c r="H632" i="1"/>
  <c r="J632" i="1" s="1"/>
  <c r="G631" i="1"/>
  <c r="I469" i="1"/>
  <c r="G630" i="1"/>
  <c r="H469" i="1"/>
  <c r="G628" i="1"/>
  <c r="F469" i="1"/>
  <c r="G629" i="1"/>
  <c r="G469" i="1"/>
  <c r="E145" i="2"/>
  <c r="H128" i="2"/>
  <c r="C144" i="2"/>
  <c r="H144" i="2" s="1"/>
  <c r="H141" i="2"/>
  <c r="H673" i="1"/>
  <c r="C6" i="10" s="1"/>
  <c r="C104" i="2"/>
  <c r="H104" i="2" s="1"/>
  <c r="H63" i="2"/>
  <c r="H51" i="2"/>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9" i="1" l="1"/>
  <c r="J639" i="1" s="1"/>
  <c r="J475" i="1"/>
  <c r="J477" i="1" s="1"/>
  <c r="H627" i="1" s="1"/>
  <c r="J627" i="1" s="1"/>
  <c r="H633" i="1"/>
  <c r="J633" i="1" s="1"/>
  <c r="F475" i="1"/>
  <c r="H475" i="1"/>
  <c r="H634" i="1"/>
  <c r="J634" i="1" s="1"/>
  <c r="J638" i="1"/>
  <c r="I471" i="1"/>
  <c r="I477" i="1" s="1"/>
  <c r="H626" i="1" s="1"/>
  <c r="J626" i="1" s="1"/>
  <c r="H631" i="1"/>
  <c r="J631" i="1" s="1"/>
  <c r="H471" i="1"/>
  <c r="H630" i="1"/>
  <c r="J630" i="1" s="1"/>
  <c r="F471" i="1"/>
  <c r="H628" i="1"/>
  <c r="J628" i="1" s="1"/>
  <c r="H629" i="1"/>
  <c r="J629" i="1" s="1"/>
  <c r="G471" i="1"/>
  <c r="G477" i="1" s="1"/>
  <c r="C145" i="2"/>
  <c r="H145" i="2" s="1"/>
  <c r="I668" i="1"/>
  <c r="D28" i="10"/>
  <c r="D37" i="10"/>
  <c r="D36" i="10"/>
  <c r="D35" i="10"/>
  <c r="D40" i="10"/>
  <c r="D39" i="10"/>
  <c r="F477" i="1" l="1"/>
  <c r="H623" i="1" s="1"/>
  <c r="J623" i="1" s="1"/>
  <c r="H477" i="1"/>
  <c r="H625" i="1" s="1"/>
  <c r="J625" i="1" s="1"/>
  <c r="B33" i="16"/>
  <c r="H624" i="1"/>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<sst xmlns="http://schemas.openxmlformats.org/spreadsheetml/2006/main" count="6531" uniqueCount="1803">
  <si>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</si>
  <si>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</si>
  <si>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</si>
  <si>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</si>
  <si>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</si>
  <si>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</si>
  <si>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</si>
  <si>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</si>
  <si>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</si>
  <si>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</si>
  <si>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</si>
  <si>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</si>
  <si>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</si>
  <si>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</si>
  <si>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</si>
  <si>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</si>
  <si>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</si>
  <si>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</si>
  <si>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</si>
  <si>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</si>
  <si>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</si>
  <si>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</si>
  <si>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</si>
  <si>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</si>
  <si>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</si>
  <si>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</si>
  <si>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</si>
  <si>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</si>
  <si>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</si>
  <si>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</si>
  <si>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</si>
  <si>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</si>
  <si>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</si>
  <si>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</si>
  <si>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</si>
  <si>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</si>
  <si>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</si>
  <si>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</si>
  <si>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</si>
  <si>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</si>
  <si>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</si>
  <si>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</si>
  <si>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</si>
  <si>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</si>
  <si>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</si>
  <si>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</si>
  <si>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</si>
  <si>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</si>
  <si>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</si>
  <si>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</si>
  <si>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</si>
  <si>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</si>
  <si>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</si>
  <si>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</si>
  <si>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</si>
  <si>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</si>
  <si>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</si>
  <si>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</si>
  <si>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</si>
  <si>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</si>
  <si>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</si>
  <si>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</si>
  <si>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</si>
  <si>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</si>
  <si>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</si>
  <si>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</si>
  <si>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</si>
  <si>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</si>
  <si>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</si>
  <si>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</si>
  <si>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</si>
  <si>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</si>
  <si>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</si>
  <si>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</si>
  <si>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</si>
  <si>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</si>
  <si>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</si>
  <si>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</si>
  <si>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</si>
  <si>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</si>
  <si>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</si>
  <si>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</si>
  <si>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</si>
  <si>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</si>
  <si>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</si>
  <si>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</si>
  <si>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</si>
  <si>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</si>
  <si>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</si>
  <si>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</si>
  <si>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</si>
  <si>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</si>
  <si>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</si>
  <si>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</si>
  <si>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</si>
  <si>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</si>
  <si>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</si>
  <si>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</si>
  <si>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</si>
  <si>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</si>
  <si>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</si>
  <si>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</si>
  <si>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</si>
  <si>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</si>
  <si>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</si>
  <si>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</si>
  <si>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</si>
  <si>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</si>
  <si>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</si>
  <si>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</si>
  <si>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</si>
  <si>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</si>
  <si>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</si>
  <si>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</si>
  <si>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</si>
  <si>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</si>
  <si>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</si>
  <si>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</si>
  <si>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</si>
  <si>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</si>
  <si>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</si>
  <si>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</si>
  <si>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</si>
  <si>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</si>
  <si>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</si>
  <si>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</si>
  <si>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</si>
  <si>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</si>
  <si>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</si>
  <si>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</si>
  <si>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</si>
  <si>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</si>
  <si>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</si>
  <si>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</si>
  <si>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</si>
  <si>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</si>
  <si>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</si>
  <si>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</si>
  <si>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</si>
  <si>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</si>
  <si>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</si>
  <si>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</si>
  <si>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</si>
  <si>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</si>
  <si>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</si>
  <si>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</si>
  <si>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</si>
  <si>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</si>
  <si>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</si>
  <si>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</si>
  <si>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</si>
  <si>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</si>
  <si>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</si>
  <si>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</si>
  <si>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</si>
  <si>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</si>
  <si>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</si>
  <si>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</si>
  <si>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</si>
  <si>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</si>
  <si>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</si>
  <si>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</si>
  <si>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</si>
  <si>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</si>
  <si>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</si>
  <si>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</si>
  <si>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</si>
  <si>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</si>
  <si>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</si>
  <si>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</si>
  <si>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</si>
  <si>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</si>
  <si>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</si>
  <si>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</si>
  <si>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</si>
  <si>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</si>
  <si>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</si>
  <si>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</si>
  <si>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</si>
  <si>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</si>
  <si>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</si>
  <si>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</si>
  <si>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</si>
  <si>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</si>
  <si>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</si>
  <si>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</si>
  <si>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</si>
  <si>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</si>
  <si>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</si>
  <si>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</si>
  <si>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</si>
  <si>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</si>
  <si>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</si>
  <si>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</si>
  <si>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</si>
  <si>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</si>
  <si>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</si>
  <si>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</si>
  <si>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</si>
  <si>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</si>
  <si>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</si>
  <si>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</si>
  <si>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</si>
  <si>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</si>
  <si>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</si>
  <si>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</si>
  <si>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</si>
  <si>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</si>
  <si>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</si>
  <si>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</si>
  <si>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</si>
  <si>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</si>
  <si>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</si>
  <si>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</si>
  <si>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</si>
  <si>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</si>
  <si>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</si>
  <si>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</si>
  <si>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</si>
  <si>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</si>
  <si>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</si>
  <si>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</si>
  <si>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</si>
  <si>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</si>
  <si>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</si>
  <si>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</si>
  <si>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</si>
  <si>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</si>
  <si>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</si>
  <si>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</si>
  <si>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</si>
  <si>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</si>
  <si>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</si>
  <si>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</si>
  <si>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</si>
  <si>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</si>
  <si>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</si>
  <si>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</si>
  <si>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</si>
  <si>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</si>
  <si>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</si>
  <si>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</si>
  <si>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</si>
  <si>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</si>
  <si>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</si>
  <si>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</si>
  <si>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</si>
  <si>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</si>
  <si>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</si>
  <si>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</si>
  <si>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</si>
  <si>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</si>
  <si>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</si>
  <si>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</si>
  <si>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</si>
  <si>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</si>
  <si>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</si>
  <si>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</si>
  <si>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</si>
  <si>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</si>
  <si>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</si>
  <si>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</si>
  <si>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</si>
  <si>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</si>
  <si>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</si>
  <si>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</si>
  <si>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</si>
  <si>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</si>
  <si>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</si>
  <si>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</si>
  <si>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</si>
  <si>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</si>
  <si>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</si>
  <si>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</si>
  <si>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</si>
  <si>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</si>
  <si>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</si>
  <si>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</si>
  <si>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</si>
  <si>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</si>
  <si>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</si>
  <si>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</si>
  <si>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</si>
  <si>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</si>
  <si>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</si>
  <si>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</si>
  <si>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</si>
  <si>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</si>
  <si>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</si>
  <si>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</si>
  <si>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</si>
  <si>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</si>
  <si>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</si>
  <si>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</si>
  <si>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</si>
  <si>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</si>
  <si>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</si>
  <si>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</si>
  <si>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</si>
  <si>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</si>
  <si>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</si>
  <si>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</si>
  <si>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</si>
  <si>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</si>
  <si>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</si>
  <si>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</si>
  <si>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</si>
  <si>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</si>
  <si>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</si>
  <si>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</si>
  <si>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</si>
  <si>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</si>
  <si>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</si>
  <si>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</si>
  <si>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</si>
  <si>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</si>
  <si>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</si>
  <si>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</si>
  <si>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</si>
  <si>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</si>
  <si>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</si>
  <si>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</si>
  <si>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</si>
  <si>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</si>
  <si>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</si>
  <si>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</si>
  <si>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</si>
  <si>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</si>
  <si>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</si>
  <si>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</si>
  <si>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</si>
  <si>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</si>
  <si>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</si>
  <si>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</si>
  <si>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</si>
  <si>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</si>
  <si>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</si>
  <si>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</si>
  <si>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</si>
  <si>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</si>
  <si>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</si>
  <si>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</si>
  <si>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</si>
  <si>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</si>
  <si>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</si>
  <si>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</si>
  <si>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</si>
  <si>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</si>
  <si>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</si>
  <si>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</si>
  <si>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</si>
  <si>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</si>
  <si>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</si>
  <si>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</si>
  <si>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</si>
  <si>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</si>
  <si>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</si>
  <si>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</si>
  <si>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</si>
  <si>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</si>
  <si>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</si>
  <si>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</si>
  <si>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</si>
  <si>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</si>
  <si>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</si>
  <si>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</si>
  <si>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</si>
  <si>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</si>
  <si>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</si>
  <si>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</si>
  <si>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</si>
  <si>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</si>
  <si>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</si>
  <si>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</si>
  <si>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</si>
  <si>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</si>
  <si>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</si>
  <si>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</si>
  <si>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</si>
  <si>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</si>
  <si>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</si>
  <si>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</si>
  <si>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</si>
  <si>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</si>
  <si>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</si>
  <si>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</si>
  <si>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</si>
  <si>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</si>
  <si>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</si>
  <si>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</si>
  <si>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</si>
  <si>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</si>
  <si>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</si>
  <si>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</si>
  <si>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</si>
  <si>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</si>
  <si>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</si>
  <si>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</si>
  <si>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</si>
  <si>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</si>
  <si>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</si>
  <si>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</si>
  <si>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</si>
  <si>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</si>
  <si>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</si>
  <si>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</si>
  <si>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</si>
  <si>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</si>
  <si>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</si>
  <si>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</si>
  <si>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</si>
  <si>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</si>
  <si>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</si>
  <si>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</si>
  <si>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</si>
  <si>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</si>
  <si>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</si>
  <si>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</si>
  <si>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</si>
  <si>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</si>
  <si>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</si>
  <si>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</si>
  <si>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</si>
  <si>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</si>
  <si>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</si>
  <si>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</si>
  <si>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</si>
  <si>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</si>
  <si>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</si>
  <si>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</si>
  <si>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</si>
  <si>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</si>
  <si>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</si>
  <si>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</si>
  <si>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</si>
  <si>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</si>
  <si>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</si>
  <si>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</si>
  <si>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</si>
  <si>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</si>
  <si>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</si>
  <si>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</si>
  <si>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</si>
  <si>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</si>
  <si>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</si>
  <si>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</si>
  <si>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</si>
  <si>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</si>
  <si>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</si>
  <si>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</si>
  <si>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</si>
  <si>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</si>
  <si>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</si>
  <si>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</si>
  <si>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</si>
  <si>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</si>
  <si>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</si>
  <si>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</si>
  <si>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</si>
  <si>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</si>
  <si>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</si>
  <si>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</si>
  <si>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</si>
  <si>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</si>
  <si>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</si>
  <si>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</si>
  <si>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</si>
  <si>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</si>
  <si>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</si>
  <si>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</si>
  <si>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</si>
  <si>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</si>
  <si>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</si>
  <si>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</si>
  <si>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</si>
  <si>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</si>
  <si>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</si>
  <si>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</si>
  <si>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</si>
  <si>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</si>
  <si>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</si>
  <si>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</si>
  <si>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</si>
  <si>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</si>
  <si>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</si>
  <si>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</si>
  <si>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</si>
  <si>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</si>
  <si>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</si>
  <si>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</si>
  <si>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</si>
  <si>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</si>
  <si>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</si>
  <si>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</si>
  <si>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</si>
  <si>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</si>
  <si>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</si>
  <si>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</si>
  <si>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</si>
  <si>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</si>
  <si>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</si>
  <si>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</si>
  <si>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</si>
  <si>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</si>
  <si>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</si>
  <si>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</si>
  <si>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</si>
  <si>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</si>
  <si>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</si>
  <si>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</si>
  <si>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</si>
  <si>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</si>
  <si>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</si>
  <si>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</si>
  <si>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</si>
  <si>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</si>
  <si>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</si>
  <si>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</si>
  <si>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</si>
  <si>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</si>
  <si>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</si>
  <si>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</si>
  <si>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</si>
  <si>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</si>
  <si>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</si>
  <si>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</si>
  <si>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</si>
  <si>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</si>
  <si>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</si>
  <si>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</si>
  <si>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</si>
  <si>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</si>
  <si>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</si>
  <si>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</si>
  <si>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</si>
  <si>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</si>
  <si>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</si>
  <si>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</si>
  <si>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</si>
  <si>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</si>
  <si>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</si>
  <si>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</si>
  <si>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</si>
  <si>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</si>
  <si>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</si>
  <si>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</si>
  <si>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</si>
  <si>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</si>
  <si>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</si>
  <si>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</si>
  <si>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</si>
  <si>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</si>
  <si>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</si>
  <si>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</si>
  <si>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</si>
  <si>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</si>
  <si>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</si>
  <si>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</si>
  <si>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</si>
  <si>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</si>
  <si>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</si>
  <si>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</si>
  <si>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</si>
  <si>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</si>
  <si>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</si>
  <si>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</si>
  <si>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</si>
  <si>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</si>
  <si>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</si>
  <si>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</si>
  <si>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</si>
  <si>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</si>
  <si>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</si>
  <si>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</si>
  <si>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</si>
  <si>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</si>
  <si>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</si>
  <si>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</si>
  <si>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</si>
  <si>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</si>
  <si>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</si>
  <si>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</si>
  <si>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</si>
  <si>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</si>
  <si>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</si>
  <si>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</si>
  <si>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</si>
  <si>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</si>
  <si>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</si>
  <si>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</si>
  <si>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</si>
  <si>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</si>
  <si>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</si>
  <si>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</si>
  <si>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</si>
  <si>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</si>
  <si>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</si>
  <si>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</si>
  <si>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</si>
  <si>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</si>
  <si>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</si>
  <si>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</si>
  <si>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</si>
  <si>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</si>
  <si>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</si>
  <si>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</si>
  <si>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</si>
  <si>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</si>
  <si>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</si>
  <si>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</si>
  <si>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</si>
  <si>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</si>
  <si>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</si>
  <si>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</si>
  <si>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</si>
  <si>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</si>
  <si>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</si>
  <si>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</si>
  <si>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</si>
  <si>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</si>
  <si>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</si>
  <si>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</si>
  <si>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</si>
  <si>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</si>
  <si>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</si>
  <si>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</si>
  <si>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</si>
  <si>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</si>
  <si>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</si>
  <si>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</si>
  <si>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</si>
  <si>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</si>
  <si>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</si>
  <si>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</si>
  <si>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</si>
  <si>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</si>
  <si>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</si>
  <si>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</si>
  <si>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</si>
  <si>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</si>
  <si>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</si>
  <si>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</si>
  <si>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</si>
  <si>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</si>
  <si>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</si>
  <si>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</si>
  <si>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</si>
  <si>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</si>
  <si>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</si>
  <si>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</si>
  <si>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</si>
  <si>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</si>
  <si>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</si>
  <si>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</si>
  <si>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</si>
  <si>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</si>
  <si>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</si>
  <si>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</si>
  <si>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</si>
  <si>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</si>
  <si>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</si>
  <si>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</si>
  <si>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</si>
  <si>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</si>
  <si>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</si>
  <si>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</si>
  <si>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</si>
  <si>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</si>
  <si>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</si>
  <si>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</si>
  <si>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</si>
  <si>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</si>
  <si>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</si>
  <si>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</si>
  <si>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</si>
  <si>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</si>
  <si>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</si>
  <si>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</si>
  <si>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</si>
  <si>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</si>
  <si>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</si>
  <si>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</si>
  <si>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</si>
  <si>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</si>
  <si>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</si>
  <si>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</si>
  <si>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</si>
  <si>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</si>
  <si>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</si>
  <si>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</si>
  <si>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</si>
  <si>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</si>
  <si>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</si>
  <si>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</si>
  <si>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</si>
  <si>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</si>
  <si>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</si>
  <si>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</si>
  <si>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</si>
  <si>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</si>
  <si>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</si>
  <si>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</si>
  <si>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</si>
  <si>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</si>
  <si>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</si>
  <si>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</si>
  <si>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</si>
  <si>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</si>
  <si>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</si>
  <si>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</si>
  <si>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</si>
  <si>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</si>
  <si>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</si>
  <si>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</si>
  <si>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</si>
  <si>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</si>
  <si>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</si>
  <si>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</si>
  <si>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</si>
  <si>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</si>
  <si>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</si>
  <si>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</si>
  <si>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</si>
  <si>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</si>
  <si>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</si>
  <si>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</si>
  <si>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</si>
  <si>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</si>
  <si>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</si>
  <si>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</si>
  <si>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</si>
  <si>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</si>
  <si>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</si>
  <si>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</si>
  <si>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</si>
  <si>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</si>
  <si>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</si>
  <si>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</si>
  <si>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</si>
  <si>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</si>
  <si>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</si>
  <si>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</si>
  <si>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</si>
  <si>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</si>
  <si>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</si>
  <si>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</si>
  <si>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</si>
  <si>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</si>
  <si>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</si>
  <si>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</si>
  <si>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</si>
  <si>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</si>
  <si>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</si>
  <si>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</si>
  <si>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</si>
  <si>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</si>
  <si>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</si>
  <si>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</si>
  <si>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</si>
  <si>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</si>
  <si>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</si>
  <si>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</si>
  <si>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</si>
  <si>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</si>
  <si>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</si>
  <si>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</si>
  <si>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</si>
  <si>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</si>
  <si>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</si>
  <si>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</si>
  <si>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</si>
  <si>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</si>
  <si>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</si>
  <si>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</si>
  <si>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</si>
  <si>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</si>
  <si>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</si>
  <si>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</si>
  <si>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</si>
  <si>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</si>
  <si>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</si>
  <si>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</si>
  <si>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</si>
  <si>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</si>
  <si>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</si>
  <si>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</si>
  <si>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</si>
  <si>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</si>
  <si>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</si>
  <si>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</si>
  <si>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</si>
  <si>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</si>
  <si>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</si>
  <si>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</si>
  <si>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</si>
  <si>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</si>
  <si>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</si>
  <si>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</si>
  <si>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</si>
  <si>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</si>
  <si>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</si>
  <si>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</si>
  <si>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</si>
  <si>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</si>
  <si>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</si>
  <si>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</si>
  <si>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</si>
  <si>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</si>
  <si>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</si>
  <si>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</si>
  <si>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</si>
  <si>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</si>
  <si>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</si>
  <si>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</si>
  <si>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</si>
  <si>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</si>
  <si>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</si>
  <si>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</si>
  <si>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</si>
  <si>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</si>
  <si>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</si>
  <si>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</si>
  <si>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</si>
  <si>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</si>
  <si>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</si>
  <si>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</si>
  <si>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</si>
  <si>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</si>
  <si>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</si>
  <si>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</si>
  <si>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</si>
  <si>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</si>
  <si>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</si>
  <si>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</si>
  <si>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</si>
  <si>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</si>
  <si>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</si>
  <si>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</si>
  <si>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</si>
  <si>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</si>
  <si>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</si>
  <si>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</si>
  <si>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</si>
  <si>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</si>
  <si>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</si>
  <si>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</si>
  <si>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</si>
  <si>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</si>
  <si>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</si>
  <si>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</si>
  <si>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</si>
  <si>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</si>
  <si>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</si>
  <si>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</si>
  <si>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</si>
  <si>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</si>
  <si>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</si>
  <si>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</si>
  <si>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</si>
  <si>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</si>
  <si>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</si>
  <si>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</si>
  <si>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</si>
  <si>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</si>
  <si>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</si>
  <si>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</si>
  <si>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</si>
  <si>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</si>
  <si>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</si>
  <si>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</si>
  <si>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</si>
  <si>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</si>
  <si>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</si>
  <si>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</si>
  <si>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</si>
  <si>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</si>
  <si>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</si>
  <si>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</si>
  <si>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</si>
  <si>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</si>
  <si>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</si>
  <si>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</si>
  <si>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</si>
  <si>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</si>
  <si>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</si>
  <si>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</si>
  <si>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</si>
  <si>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</si>
  <si>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</si>
  <si>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</si>
  <si>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</si>
  <si>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</si>
  <si>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</si>
  <si>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</si>
  <si>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</si>
  <si>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</si>
  <si>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</si>
  <si>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</si>
  <si>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</si>
  <si>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</si>
  <si>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</si>
  <si>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</si>
  <si>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</si>
  <si>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</si>
  <si>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</si>
  <si>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</si>
  <si>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</si>
  <si>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</si>
  <si>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</si>
  <si>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</si>
  <si>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</si>
  <si>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</si>
  <si>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</si>
  <si>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</si>
  <si>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</si>
  <si>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</si>
  <si>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</si>
  <si>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</si>
  <si>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</si>
  <si>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</si>
  <si>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</si>
  <si>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</si>
  <si>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</si>
  <si>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</si>
  <si>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</si>
  <si>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</si>
  <si>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</si>
  <si>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</si>
  <si>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</si>
  <si>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</si>
  <si>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</si>
  <si>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</si>
  <si>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</si>
  <si>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</si>
  <si>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</si>
  <si>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</si>
  <si>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</si>
  <si>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</si>
  <si>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</si>
  <si>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</si>
  <si>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</si>
  <si>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</si>
  <si>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</si>
  <si>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</si>
  <si>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</si>
  <si>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</si>
  <si>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</si>
  <si>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</si>
  <si>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</si>
  <si>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</si>
  <si>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</si>
  <si>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</si>
  <si>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</si>
  <si>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</si>
  <si>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</si>
  <si>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</si>
  <si>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</si>
  <si>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</si>
  <si>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</si>
  <si>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</si>
  <si>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</si>
  <si>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</si>
  <si>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</si>
  <si>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</si>
  <si>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</si>
  <si>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</si>
  <si>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</si>
  <si>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</si>
  <si>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</si>
  <si>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</si>
  <si>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</si>
  <si>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</si>
  <si>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</si>
  <si>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</si>
  <si>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</si>
  <si>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</si>
  <si>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</si>
  <si>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</si>
  <si>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</si>
  <si>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</si>
  <si>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</si>
  <si>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</si>
  <si>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</si>
  <si>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</si>
  <si>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</si>
  <si>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</si>
  <si>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</si>
  <si>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</si>
  <si>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</si>
  <si>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</si>
  <si>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</si>
  <si>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</si>
  <si>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</si>
  <si>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</si>
  <si>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</si>
  <si>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</si>
  <si>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</si>
  <si>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</si>
  <si>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</si>
  <si>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</si>
  <si>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</si>
  <si>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</si>
  <si>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</si>
  <si>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</si>
  <si>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</si>
  <si>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</si>
  <si>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</si>
  <si>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</si>
  <si>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</si>
  <si>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</si>
  <si>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</si>
  <si>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</si>
  <si>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</si>
  <si>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</si>
  <si>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</si>
  <si>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</si>
  <si>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</si>
  <si>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</si>
  <si>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</si>
  <si>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</si>
  <si>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</si>
  <si>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</si>
  <si>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</si>
  <si>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</si>
  <si>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</si>
  <si>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</si>
  <si>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</si>
  <si>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</si>
  <si>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</si>
  <si>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</si>
  <si>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</si>
  <si>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</si>
  <si>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</si>
  <si>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</si>
  <si>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</si>
  <si>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</si>
  <si>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</si>
  <si>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</si>
  <si>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</si>
  <si>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</si>
  <si>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</si>
  <si>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</si>
  <si>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</si>
  <si>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</si>
  <si>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</si>
  <si>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</si>
  <si>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</si>
  <si>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</si>
  <si>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</si>
  <si>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</si>
  <si>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</si>
  <si>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</si>
  <si>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</si>
  <si>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</si>
  <si>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</si>
  <si>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</si>
  <si>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</si>
  <si>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</si>
  <si>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</si>
  <si>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</si>
  <si>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</si>
  <si>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</si>
  <si>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</si>
  <si>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</si>
  <si>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</si>
  <si>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</si>
  <si>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</si>
  <si>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</si>
  <si>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</si>
  <si>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</si>
  <si>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</si>
  <si>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</si>
  <si>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</si>
  <si>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</si>
  <si>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</si>
  <si>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</si>
  <si>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</si>
  <si>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</si>
  <si>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</si>
  <si>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</si>
  <si>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</si>
  <si>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</si>
  <si>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</si>
  <si>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</si>
  <si>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</si>
  <si>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</si>
  <si>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</si>
  <si>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</si>
  <si>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</si>
  <si>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</si>
  <si>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</si>
  <si>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</si>
  <si>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</si>
  <si>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</si>
  <si>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</si>
  <si>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</si>
  <si>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</si>
  <si>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</si>
  <si>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</si>
  <si>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</si>
  <si>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</si>
  <si>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</si>
  <si>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</si>
  <si>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</si>
  <si>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</si>
  <si>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</si>
  <si>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</si>
  <si>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</si>
  <si>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</si>
  <si>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</si>
  <si>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</si>
  <si>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</si>
  <si>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</si>
  <si>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</si>
  <si>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</si>
  <si>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</si>
  <si>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</si>
  <si>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</si>
  <si>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</si>
  <si>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</si>
  <si>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</si>
  <si>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</si>
  <si>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</si>
  <si>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</si>
  <si>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</si>
  <si>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</si>
  <si>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</si>
  <si>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</si>
  <si>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</si>
  <si>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</si>
  <si>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</si>
  <si>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</si>
  <si>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</si>
  <si>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</si>
  <si>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</si>
  <si>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</si>
  <si>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</si>
  <si>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</si>
  <si>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</si>
  <si>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</si>
  <si>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</si>
  <si>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</si>
  <si>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</si>
  <si>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</si>
  <si>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</si>
  <si>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</si>
  <si>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</si>
  <si>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</si>
  <si>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</si>
  <si>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</si>
  <si>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</si>
  <si>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</si>
  <si>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</si>
  <si>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</si>
  <si>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</si>
  <si>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</si>
  <si>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</si>
  <si>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</si>
  <si>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</si>
  <si>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</si>
  <si>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</si>
  <si>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</si>
  <si>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</si>
  <si>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</si>
  <si>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</si>
  <si>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</si>
  <si>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</si>
  <si>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</si>
  <si>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</si>
  <si>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</si>
  <si>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</si>
  <si>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</si>
  <si>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</si>
  <si>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</si>
  <si>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</si>
  <si>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</si>
  <si>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</si>
  <si>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</si>
  <si>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</si>
  <si>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</si>
  <si>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</si>
  <si>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</si>
  <si>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</si>
  <si>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</si>
  <si>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</si>
  <si>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</si>
  <si>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</si>
  <si>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</si>
  <si>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</si>
  <si>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</si>
  <si>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</si>
  <si>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</si>
  <si>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</si>
  <si>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</si>
  <si>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</si>
  <si>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</si>
  <si>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</si>
  <si>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</si>
  <si>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</si>
  <si>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</si>
  <si>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</si>
  <si>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</si>
  <si>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</si>
  <si>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</si>
  <si>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</si>
  <si>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</si>
  <si>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</si>
  <si>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</si>
  <si>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</si>
  <si>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</si>
  <si>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</si>
  <si>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</si>
  <si>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</si>
  <si>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</si>
  <si>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</si>
  <si>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</si>
  <si>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</si>
  <si>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</si>
  <si>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</si>
  <si>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</si>
  <si>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</si>
  <si>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</si>
  <si>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</si>
  <si>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</si>
  <si>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</si>
  <si>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</si>
  <si>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</si>
  <si>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</si>
  <si>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</si>
  <si>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</si>
  <si>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</si>
  <si>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</si>
  <si>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</si>
  <si>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</si>
  <si>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</si>
  <si>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</si>
  <si>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</si>
  <si>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</si>
  <si>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</si>
  <si>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</si>
  <si>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</si>
  <si>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</si>
  <si>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</si>
  <si>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</si>
  <si>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</si>
  <si>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</si>
  <si>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</si>
  <si>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</si>
  <si>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</si>
  <si>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</si>
  <si>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</si>
  <si>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</si>
  <si>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</si>
  <si>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</si>
  <si>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</si>
  <si>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</si>
  <si>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</si>
  <si>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</si>
  <si>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</si>
  <si>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</si>
  <si>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</si>
  <si>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</si>
  <si>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</si>
  <si>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</si>
  <si>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</si>
  <si>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</si>
  <si>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</si>
  <si>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</si>
  <si>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</si>
  <si>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</si>
  <si>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</si>
  <si>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</si>
  <si>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</si>
  <si>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</si>
  <si>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</si>
  <si>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</si>
  <si>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</si>
  <si>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</si>
  <si>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</si>
  <si>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</si>
  <si>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</si>
  <si>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</si>
  <si>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</si>
  <si>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</si>
  <si>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</si>
  <si>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</si>
  <si>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</si>
  <si>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</si>
  <si>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</si>
  <si>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</si>
  <si>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</si>
  <si>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</si>
  <si>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</si>
  <si>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</si>
  <si>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</si>
  <si>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</si>
  <si>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</si>
  <si>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</si>
  <si>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</si>
  <si>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</si>
  <si>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</si>
  <si>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</si>
  <si>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</si>
  <si>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</si>
  <si>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</si>
  <si>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</si>
  <si>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</si>
  <si>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</si>
  <si>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</si>
  <si>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</si>
  <si>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</si>
  <si>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</si>
  <si>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</si>
  <si>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</si>
  <si>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</si>
  <si>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</si>
  <si>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</si>
  <si>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</si>
  <si>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</si>
  <si>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</si>
  <si>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</si>
  <si>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</si>
  <si>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</si>
  <si>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</si>
  <si>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</si>
  <si>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</si>
  <si>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</si>
  <si>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</si>
  <si>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</si>
  <si>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</si>
  <si>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</si>
  <si>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</si>
  <si>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</si>
  <si>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</si>
  <si>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</si>
  <si>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</si>
  <si>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</si>
  <si>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</si>
  <si>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</si>
  <si>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</si>
  <si>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</si>
  <si>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</si>
  <si>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</si>
  <si>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</si>
  <si>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</si>
  <si>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</si>
  <si>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</si>
  <si>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</si>
  <si>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</si>
  <si>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</si>
  <si>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</si>
  <si>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</si>
  <si>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</si>
  <si>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</si>
  <si>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</si>
  <si>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</si>
  <si>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</si>
  <si>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</si>
  <si>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</si>
  <si>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</si>
  <si>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</si>
  <si>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</si>
  <si>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</si>
  <si>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</si>
  <si>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</si>
  <si>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</si>
  <si>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</si>
  <si>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</si>
  <si>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</si>
  <si>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</si>
  <si>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</si>
  <si>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</si>
  <si>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</si>
  <si>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</si>
  <si>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</si>
  <si>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</si>
  <si>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</si>
  <si>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</si>
  <si>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</si>
  <si>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</si>
  <si>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</si>
  <si>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</si>
  <si>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</si>
  <si>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</si>
  <si>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</si>
  <si>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</si>
  <si>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</si>
  <si>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</si>
  <si>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</si>
  <si>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</si>
  <si>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</si>
  <si>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</si>
  <si>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</si>
  <si>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</si>
  <si>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</si>
  <si>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</si>
  <si>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</si>
  <si>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</si>
  <si>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</si>
  <si>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</si>
  <si>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</si>
  <si>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</si>
  <si>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</si>
  <si>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</si>
  <si>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</si>
  <si>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</si>
  <si>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</si>
  <si>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</si>
  <si>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</si>
  <si>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</si>
  <si>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</si>
  <si>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</si>
  <si>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</si>
  <si>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</si>
  <si>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</si>
  <si>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</si>
  <si>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</si>
  <si>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</si>
  <si>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</si>
  <si>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</si>
  <si>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</si>
  <si>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</si>
  <si>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</si>
  <si>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</si>
  <si>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</si>
  <si>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</si>
  <si>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</si>
  <si>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</si>
  <si>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</si>
  <si>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</si>
  <si>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</si>
  <si>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</si>
  <si>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</si>
  <si>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</si>
  <si>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</si>
  <si>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</si>
  <si>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</si>
  <si>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</si>
  <si>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</si>
  <si>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</si>
  <si>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</si>
  <si>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</si>
  <si>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</si>
  <si>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</si>
  <si>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</si>
  <si>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</si>
  <si>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</si>
  <si>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</si>
  <si>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</si>
  <si>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</si>
  <si>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</si>
  <si>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</si>
  <si>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</si>
  <si>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</si>
  <si>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</si>
  <si>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</si>
  <si>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</si>
  <si>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</si>
  <si>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</si>
  <si>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</si>
  <si>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</si>
  <si>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</si>
  <si>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</si>
  <si>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</si>
  <si>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</si>
  <si>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</si>
  <si>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</si>
  <si>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</si>
  <si>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</si>
  <si>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</si>
  <si>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</si>
  <si>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</si>
  <si>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</si>
  <si>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</si>
  <si>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</si>
  <si>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</si>
  <si>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</si>
  <si>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</si>
  <si>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</si>
  <si>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</si>
  <si>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</si>
  <si>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</si>
  <si>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</si>
  <si>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</si>
  <si>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</si>
  <si>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</si>
  <si>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</si>
  <si>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</si>
  <si>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</si>
  <si>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</si>
  <si>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</si>
  <si>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</si>
  <si>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</si>
  <si>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</si>
  <si>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</si>
  <si>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</si>
  <si>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</si>
  <si>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</si>
  <si>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</si>
  <si>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</si>
  <si>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</si>
  <si>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</si>
  <si>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</si>
  <si>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</si>
  <si>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</si>
  <si>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</si>
  <si>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</si>
  <si>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</si>
  <si>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</si>
  <si>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</si>
  <si>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</si>
  <si>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</si>
  <si>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</si>
  <si>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</si>
  <si>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</si>
  <si>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</si>
  <si>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</si>
  <si>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</si>
  <si>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</si>
  <si>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</si>
  <si>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</si>
  <si>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</si>
  <si>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</si>
  <si>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</si>
  <si>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</si>
  <si>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</si>
  <si>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</si>
  <si>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</si>
  <si>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</si>
  <si>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</si>
  <si>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</si>
  <si>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</si>
  <si>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</si>
  <si>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</si>
  <si>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</si>
  <si>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</si>
  <si>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</si>
  <si>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</si>
  <si>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</si>
  <si>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</si>
  <si>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</si>
  <si>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</si>
  <si>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</si>
  <si>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</si>
  <si>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</si>
  <si>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</si>
  <si>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</si>
  <si>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</si>
  <si>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</si>
  <si>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</si>
  <si>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</si>
  <si>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</si>
  <si>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</si>
  <si>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</si>
  <si>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</si>
  <si>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</si>
  <si>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</si>
  <si>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</si>
  <si>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</si>
  <si>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</si>
  <si>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</si>
  <si>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</si>
  <si>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</si>
  <si>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</si>
  <si>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</si>
  <si>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</si>
  <si>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</si>
  <si>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</si>
  <si>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</si>
  <si>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</si>
  <si>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</si>
  <si>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</si>
  <si>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</si>
  <si>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</si>
  <si>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</si>
  <si>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</si>
  <si>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</si>
  <si>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</si>
  <si>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</si>
  <si>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</si>
  <si>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</si>
  <si>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</si>
  <si>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</si>
  <si>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</si>
  <si>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</si>
  <si>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</si>
  <si>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</si>
  <si>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</si>
  <si>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</si>
  <si>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</si>
  <si>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</si>
  <si>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</si>
  <si>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</si>
  <si>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</si>
  <si>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</si>
  <si>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</si>
  <si>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</si>
  <si>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</si>
  <si>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</si>
  <si>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</si>
  <si>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</si>
  <si>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</si>
  <si>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</si>
  <si>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</si>
  <si>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</si>
  <si>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</si>
  <si>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</si>
  <si>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</si>
  <si>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</si>
  <si>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</si>
  <si>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</si>
  <si>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</si>
  <si>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</si>
  <si>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</si>
  <si>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</si>
  <si>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</si>
  <si>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</si>
  <si>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</si>
  <si>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</si>
  <si>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</si>
  <si>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</si>
  <si>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</si>
  <si>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</si>
  <si>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</si>
  <si>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</si>
  <si>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</si>
  <si>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</si>
  <si>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</si>
  <si>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</si>
  <si>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</si>
  <si>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</si>
  <si>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</si>
  <si>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</si>
  <si>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</si>
  <si>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</si>
  <si>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</si>
  <si>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</si>
  <si>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</si>
  <si>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</si>
  <si>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</si>
  <si>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</si>
  <si>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</si>
  <si>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</si>
  <si>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</si>
  <si>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</si>
  <si>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</si>
  <si>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</si>
  <si>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</si>
  <si>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</si>
  <si>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</si>
  <si>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</si>
  <si>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</si>
  <si>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</si>
  <si>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</si>
  <si>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</si>
  <si>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</si>
  <si>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</si>
  <si>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</si>
  <si>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</si>
  <si>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</si>
  <si>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</si>
  <si>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</si>
  <si>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</si>
  <si>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</si>
  <si>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</si>
  <si>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</si>
  <si>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</si>
  <si>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</si>
  <si>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</si>
  <si>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</si>
  <si>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</si>
  <si>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</si>
  <si>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</si>
  <si>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</si>
  <si>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</si>
  <si>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</si>
  <si>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</si>
  <si>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</si>
  <si>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</si>
  <si>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</si>
  <si>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</si>
  <si>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</si>
  <si>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</si>
  <si>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</si>
  <si>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</si>
  <si>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</si>
  <si>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</si>
  <si>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</si>
  <si>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</si>
  <si>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</si>
  <si>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</si>
  <si>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</si>
  <si>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</si>
  <si>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</si>
  <si>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</si>
  <si>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</si>
  <si>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</si>
  <si>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</si>
  <si>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</si>
  <si>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</si>
  <si>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</si>
  <si>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</si>
  <si>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</si>
  <si>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</si>
  <si>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</si>
  <si>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</si>
  <si>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</si>
  <si>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</si>
  <si>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</si>
  <si>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</si>
  <si>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</si>
  <si>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</si>
  <si>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</si>
  <si>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</si>
  <si>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</si>
  <si>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</si>
  <si>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</si>
  <si>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</si>
  <si>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</si>
  <si>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</si>
  <si>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</si>
  <si>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</si>
  <si>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</si>
  <si>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</si>
  <si>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</si>
  <si>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</si>
  <si>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</si>
  <si>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</si>
  <si>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</si>
  <si>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</si>
  <si>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</si>
  <si>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</si>
  <si>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</si>
  <si>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</si>
  <si>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</si>
  <si>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</si>
  <si>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</si>
  <si>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</si>
  <si>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</si>
  <si>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</si>
  <si>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</si>
  <si>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</si>
  <si>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</si>
  <si>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</si>
  <si>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</si>
  <si>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</si>
  <si>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</si>
  <si>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</si>
  <si>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</si>
  <si>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</si>
  <si>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</si>
  <si>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</si>
  <si>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</si>
  <si>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</si>
  <si>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</si>
  <si>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</si>
  <si>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</si>
  <si>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</si>
  <si>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</si>
  <si>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</si>
  <si>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</si>
  <si>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</si>
  <si>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</si>
  <si>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</si>
  <si>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</si>
  <si>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</si>
  <si>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</si>
  <si>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</si>
  <si>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</si>
  <si>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</si>
  <si>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</si>
  <si>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</si>
  <si>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</si>
  <si>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</si>
  <si>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</si>
  <si>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</si>
  <si>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</si>
  <si>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</si>
  <si>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</si>
  <si>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</si>
  <si>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</si>
  <si>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</si>
  <si>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</si>
  <si>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</si>
  <si>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</si>
  <si>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</si>
  <si>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</si>
  <si>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</si>
  <si>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</si>
  <si>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</si>
  <si>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</si>
  <si>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</si>
  <si>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</si>
  <si>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</si>
  <si>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</si>
  <si>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</si>
  <si>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</si>
  <si>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</si>
  <si>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</si>
  <si>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</si>
  <si>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</si>
  <si>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</si>
  <si>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This line will be voted on 9/14/22 and will change on that date. I will resubmit.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</si>
</sst>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37"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1148</v>
      </c>
      <c r="B2" s="126">
        <f>INDEX('School Tables'!$AH$3:$AH$208,MATCH('DOE25'!A2,'School Tables'!$AJ$3:$AJ$208,0))</f>
        <v>275</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1567413.6</v>
      </c>
      <c r="G9" s="18">
        <v>3870.3</v>
      </c>
      <c r="H9" s="18">
        <v>-16758.64</v>
      </c>
      <c r="I9" s="18">
        <v>0</v>
      </c>
      <c r="J9" s="67">
        <f>SUM(I440)</f>
        <v>669657.46</v>
      </c>
      <c r="K9" s="24" t="s">
        <v>288</v>
      </c>
      <c r="L9" s="24" t="s">
        <v>288</v>
      </c>
      <c r="M9" s="8"/>
      <c r="N9" s="265"/>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6132.67</v>
      </c>
      <c r="G13" s="18">
        <v>122502.97</v>
      </c>
      <c r="H13" s="18">
        <f>23744.87+58522.81+51411.53</f>
        <v>133679.21</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1573546.27</v>
      </c>
      <c r="G19" s="41">
        <f>SUM(G9:G18)</f>
        <v>126373.27</v>
      </c>
      <c r="H19" s="41">
        <f>SUM(H9:H18)</f>
        <v>116920.56999999999</v>
      </c>
      <c r="I19" s="41">
        <f>SUM(I9:I18)</f>
        <v>0</v>
      </c>
      <c r="J19" s="41">
        <f>SUM(J9:J18)</f>
        <v>669657.46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-124567.86</v>
      </c>
      <c r="G22" s="18">
        <v>23061.29</v>
      </c>
      <c r="H22" s="18">
        <v>101506.57</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35069.730000000003</v>
      </c>
      <c r="G23" s="18">
        <v>0</v>
      </c>
      <c r="H23" s="18">
        <v>13710.13</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26970.98</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44339.94</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18425.25</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16583.59</v>
      </c>
      <c r="H30" s="18">
        <v>1442.82</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238.0399999999936</v>
      </c>
      <c r="G32" s="41">
        <f>SUM(G22:G31)</f>
        <v>39644.880000000005</v>
      </c>
      <c r="H32" s="41">
        <f>SUM(H22:H31)</f>
        <v>116659.52000000002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v>0</v>
      </c>
      <c r="H45" s="18"/>
      <c r="I45" s="18"/>
      <c r="J45" s="13">
        <f>I456</f>
        <v>0</v>
      </c>
      <c r="K45" s="24" t="s">
        <v>288</v>
      </c>
      <c r="L45" s="24" t="s">
        <v>288</v>
      </c>
      <c r="M45" s="8"/>
      <c r="N45" s="265"/>
    </row>
    <row r="46" spans="1:14" s="3" customFormat="1" ht="12.2" customHeight="1" x14ac:dyDescent="0.15">
      <c r="A46" s="1" t="s">
        <v>874</v>
      </c>
      <c r="B46" s="6">
        <v>1</v>
      </c>
      <c r="C46" s="6">
        <v>32</v>
      </c>
      <c r="D46" s="2"/>
      <c r="E46" s="6"/>
      <c r="F46" s="18">
        <v>350000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86728.39</v>
      </c>
      <c r="H48" s="18">
        <v>261.05</v>
      </c>
      <c r="I48" s="18"/>
      <c r="J48" s="13">
        <f>SUM(I460)</f>
        <v>669657.46</v>
      </c>
      <c r="K48" s="24" t="s">
        <v>288</v>
      </c>
      <c r="L48" s="24" t="s">
        <v>288</v>
      </c>
      <c r="M48" s="8"/>
      <c r="N48" s="265"/>
    </row>
    <row r="49" spans="1:14" s="3" customFormat="1" ht="12.2" customHeight="1" x14ac:dyDescent="0.15">
      <c r="A49" s="1" t="s">
        <v>859</v>
      </c>
      <c r="B49" s="2" t="s">
        <v>289</v>
      </c>
      <c r="C49" s="6">
        <v>34</v>
      </c>
      <c r="D49" s="2"/>
      <c r="E49" s="6">
        <v>753</v>
      </c>
      <c r="F49" s="18">
        <v>393022.73</v>
      </c>
      <c r="G49" s="18"/>
      <c r="H49" s="18"/>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f>415280.5+415005</f>
        <v>830285.5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1573308.23</v>
      </c>
      <c r="G51" s="41">
        <f>SUM(G35:G50)</f>
        <v>86728.39</v>
      </c>
      <c r="H51" s="41">
        <f>SUM(H35:H50)</f>
        <v>261.05</v>
      </c>
      <c r="I51" s="41">
        <f>SUM(I35:I50)</f>
        <v>0</v>
      </c>
      <c r="J51" s="41">
        <f>SUM(J35:J50)</f>
        <v>669657.46</v>
      </c>
      <c r="K51" s="45" t="s">
        <v>288</v>
      </c>
      <c r="L51" s="45" t="s">
        <v>288</v>
      </c>
      <c r="N51" s="263"/>
    </row>
    <row r="52" spans="1:14" s="3" customFormat="1" ht="12.2" customHeight="1" thickTop="1" x14ac:dyDescent="0.15">
      <c r="A52" s="38" t="s">
        <v>455</v>
      </c>
      <c r="B52" s="39" t="s">
        <v>289</v>
      </c>
      <c r="C52" s="6">
        <v>37</v>
      </c>
      <c r="D52" s="39" t="s">
        <v>653</v>
      </c>
      <c r="E52" s="39"/>
      <c r="F52" s="41">
        <f>F51+F32</f>
        <v>1573546.27</v>
      </c>
      <c r="G52" s="41">
        <f>G51+G32</f>
        <v>126373.27</v>
      </c>
      <c r="H52" s="41">
        <f>H51+H32</f>
        <v>116920.57000000002</v>
      </c>
      <c r="I52" s="41">
        <f>I51+I32</f>
        <v>0</v>
      </c>
      <c r="J52" s="41">
        <f>J51+J32</f>
        <v>669657.46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9098029</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9098029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5882.76</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5882.76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462.5</v>
      </c>
      <c r="G96" s="18">
        <v>0</v>
      </c>
      <c r="H96" s="18">
        <v>0</v>
      </c>
      <c r="I96" s="18">
        <v>0</v>
      </c>
      <c r="J96" s="18">
        <v>673.85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42296.42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341.48</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1634.97</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111110.09</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113207.56</v>
      </c>
      <c r="G111" s="41">
        <f>SUM(G96:G110)</f>
        <v>42296.42</v>
      </c>
      <c r="H111" s="41">
        <f>SUM(H96:H110)</f>
        <v>341.48</v>
      </c>
      <c r="I111" s="41">
        <f>SUM(I96:I110)</f>
        <v>0</v>
      </c>
      <c r="J111" s="41">
        <f>SUM(J96:J110)</f>
        <v>673.85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9217119.3200000003</v>
      </c>
      <c r="G112" s="41">
        <f>G60+G111</f>
        <v>42296.42</v>
      </c>
      <c r="H112" s="41">
        <f>H60+H79+H94+H111</f>
        <v>341.48</v>
      </c>
      <c r="I112" s="41">
        <f>I60+I111</f>
        <v>0</v>
      </c>
      <c r="J112" s="41">
        <f>J60+J111</f>
        <v>673.85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3108541.29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880872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3989413.29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112952.9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15961.9</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4450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5136.05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128914.79999999999</v>
      </c>
      <c r="G136" s="41">
        <f>SUM(G123:G135)</f>
        <v>5136.05</v>
      </c>
      <c r="H136" s="41">
        <f>SUM(H123:H135)</f>
        <v>4450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4118328.09</v>
      </c>
      <c r="G140" s="41">
        <f>G121+SUM(G136:G137)</f>
        <v>5136.05</v>
      </c>
      <c r="H140" s="41">
        <f>H121+SUM(H136:H139)</f>
        <v>4450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19278.330000000002</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19278.330000000002</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101346.8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26805.14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418963.01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88682.71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29154.639999999999</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v>35122.03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29154.639999999999</v>
      </c>
      <c r="G163" s="41">
        <f>SUM(G150:G162)</f>
        <v>418963.01</v>
      </c>
      <c r="H163" s="41">
        <f>SUM(H150:H162)</f>
        <v>251956.68000000002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29154.639999999999</v>
      </c>
      <c r="G170" s="41">
        <f>G147+G163+SUM(G164:G169)</f>
        <v>418963.01</v>
      </c>
      <c r="H170" s="41">
        <f>H147+H163+SUM(H164:H169)</f>
        <v>271235.01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13364602.050000001</v>
      </c>
      <c r="G194" s="47">
        <f>G112+G140+G170+G193</f>
        <v>466395.48</v>
      </c>
      <c r="H194" s="47">
        <f>H112+H140+H170+H193</f>
        <v>276026.49</v>
      </c>
      <c r="I194" s="47">
        <f>I112+I140+I170+I193</f>
        <v>0</v>
      </c>
      <c r="J194" s="47">
        <f>J112+J140+J193</f>
        <v>673.85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3201631.01</v>
      </c>
      <c r="G234" s="18">
        <v>1742509.25</v>
      </c>
      <c r="H234" s="18">
        <v>149972.20000000001</v>
      </c>
      <c r="I234" s="18">
        <v>98343.14</v>
      </c>
      <c r="J234" s="18">
        <v>20480.32</v>
      </c>
      <c r="K234" s="18">
        <v>1763.36</v>
      </c>
      <c r="L234" s="19">
        <f>SUM(F234:K234)</f>
        <v>5214699.28</v>
      </c>
      <c r="M234" s="8"/>
      <c r="N234" s="265"/>
    </row>
    <row r="235" spans="1:14" s="3" customFormat="1" ht="12.2" customHeight="1" x14ac:dyDescent="0.15">
      <c r="A235" s="1" t="s">
        <v>439</v>
      </c>
      <c r="B235" s="2" t="s">
        <v>350</v>
      </c>
      <c r="C235" s="2" t="s">
        <v>291</v>
      </c>
      <c r="D235" s="2" t="s">
        <v>431</v>
      </c>
      <c r="E235" s="6">
        <v>1200</v>
      </c>
      <c r="F235" s="18">
        <v>739522.57</v>
      </c>
      <c r="G235" s="18">
        <v>350383.23</v>
      </c>
      <c r="H235" s="18">
        <f>717237.12+372.5</f>
        <v>717609.62</v>
      </c>
      <c r="I235" s="18">
        <v>11507.07</v>
      </c>
      <c r="J235" s="18">
        <v>57291.839999999997</v>
      </c>
      <c r="K235" s="18">
        <v>28381.99</v>
      </c>
      <c r="L235" s="19">
        <f>SUM(F235:K235)</f>
        <v>1904696.3200000001</v>
      </c>
      <c r="M235" s="8"/>
      <c r="N235" s="265"/>
    </row>
    <row r="236" spans="1:14" s="3" customFormat="1" ht="12.2" customHeight="1" x14ac:dyDescent="0.15">
      <c r="A236" s="1" t="s">
        <v>440</v>
      </c>
      <c r="B236" s="2" t="s">
        <v>350</v>
      </c>
      <c r="C236" s="2" t="s">
        <v>292</v>
      </c>
      <c r="D236" s="2" t="s">
        <v>431</v>
      </c>
      <c r="E236" s="6">
        <v>1300</v>
      </c>
      <c r="F236" s="18">
        <v>0</v>
      </c>
      <c r="G236" s="18">
        <v>0</v>
      </c>
      <c r="H236" s="18">
        <v>93649.01</v>
      </c>
      <c r="I236" s="18">
        <v>0</v>
      </c>
      <c r="J236" s="18">
        <v>0</v>
      </c>
      <c r="K236" s="18">
        <v>0</v>
      </c>
      <c r="L236" s="19">
        <f>SUM(F236:K236)</f>
        <v>93649.01</v>
      </c>
      <c r="M236" s="8"/>
      <c r="N236" s="265"/>
    </row>
    <row r="237" spans="1:14" s="3" customFormat="1" ht="12.2" customHeight="1" x14ac:dyDescent="0.15">
      <c r="A237" s="1" t="s">
        <v>441</v>
      </c>
      <c r="B237" s="2" t="s">
        <v>350</v>
      </c>
      <c r="C237" s="2" t="s">
        <v>293</v>
      </c>
      <c r="D237" s="2" t="s">
        <v>431</v>
      </c>
      <c r="E237" s="6">
        <v>1400</v>
      </c>
      <c r="F237" s="18">
        <v>346126.03</v>
      </c>
      <c r="G237" s="18">
        <v>91316.2</v>
      </c>
      <c r="H237" s="18">
        <v>43864.34</v>
      </c>
      <c r="I237" s="18">
        <v>16998.09</v>
      </c>
      <c r="J237" s="18">
        <v>12917.76</v>
      </c>
      <c r="K237" s="18">
        <v>28501.18</v>
      </c>
      <c r="L237" s="19">
        <f>SUM(F237:K237)</f>
        <v>539723.60000000009</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619989.51</v>
      </c>
      <c r="G239" s="18">
        <v>313303.36</v>
      </c>
      <c r="H239" s="18">
        <v>108293.88</v>
      </c>
      <c r="I239" s="18">
        <v>6415.22</v>
      </c>
      <c r="J239" s="18">
        <v>0</v>
      </c>
      <c r="K239" s="18">
        <v>0</v>
      </c>
      <c r="L239" s="19">
        <f t="shared" ref="L239:L245" si="4">SUM(F239:K239)</f>
        <v>1048001.97</v>
      </c>
      <c r="M239" s="8"/>
      <c r="N239" s="265"/>
    </row>
    <row r="240" spans="1:14" s="3" customFormat="1" ht="12.2" customHeight="1" x14ac:dyDescent="0.15">
      <c r="A240" s="1" t="s">
        <v>443</v>
      </c>
      <c r="B240" s="2" t="s">
        <v>350</v>
      </c>
      <c r="C240" s="2" t="s">
        <v>295</v>
      </c>
      <c r="D240" s="2" t="s">
        <v>431</v>
      </c>
      <c r="E240" s="6">
        <v>2200</v>
      </c>
      <c r="F240" s="18">
        <v>207628.31</v>
      </c>
      <c r="G240" s="18">
        <v>143000.1</v>
      </c>
      <c r="H240" s="18">
        <v>16354.21</v>
      </c>
      <c r="I240" s="18">
        <v>30546.82</v>
      </c>
      <c r="J240" s="18">
        <v>151421.84</v>
      </c>
      <c r="K240" s="18">
        <v>93495.38</v>
      </c>
      <c r="L240" s="19">
        <f t="shared" si="4"/>
        <v>642446.66</v>
      </c>
      <c r="M240" s="8"/>
      <c r="N240" s="265"/>
    </row>
    <row r="241" spans="1:14" s="3" customFormat="1" ht="12.2" customHeight="1" x14ac:dyDescent="0.15">
      <c r="A241" s="1" t="s">
        <v>444</v>
      </c>
      <c r="B241" s="2" t="s">
        <v>350</v>
      </c>
      <c r="C241" s="2" t="s">
        <v>296</v>
      </c>
      <c r="D241" s="2" t="s">
        <v>431</v>
      </c>
      <c r="E241" s="6">
        <v>2300</v>
      </c>
      <c r="F241" s="18">
        <v>7650</v>
      </c>
      <c r="G241" s="18">
        <v>29653.33</v>
      </c>
      <c r="H241" s="18">
        <v>535156.52</v>
      </c>
      <c r="I241" s="18">
        <v>3131.31</v>
      </c>
      <c r="J241" s="18">
        <v>0</v>
      </c>
      <c r="K241" s="18">
        <v>8774.24</v>
      </c>
      <c r="L241" s="19">
        <f t="shared" si="4"/>
        <v>584365.4</v>
      </c>
      <c r="M241" s="8"/>
      <c r="N241" s="265"/>
    </row>
    <row r="242" spans="1:14" s="3" customFormat="1" ht="12.2" customHeight="1" x14ac:dyDescent="0.15">
      <c r="A242" s="1" t="s">
        <v>445</v>
      </c>
      <c r="B242" s="2" t="s">
        <v>350</v>
      </c>
      <c r="C242" s="2" t="s">
        <v>297</v>
      </c>
      <c r="D242" s="2" t="s">
        <v>431</v>
      </c>
      <c r="E242" s="6">
        <v>2400</v>
      </c>
      <c r="F242" s="18">
        <v>508373.82</v>
      </c>
      <c r="G242" s="18">
        <v>251145.61</v>
      </c>
      <c r="H242" s="18">
        <v>42348.4</v>
      </c>
      <c r="I242" s="18">
        <v>1111.27</v>
      </c>
      <c r="J242" s="18">
        <v>0</v>
      </c>
      <c r="K242" s="18">
        <v>19745.11</v>
      </c>
      <c r="L242" s="19">
        <f t="shared" si="4"/>
        <v>822724.21</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341656.9</v>
      </c>
      <c r="G244" s="18">
        <v>170628.35</v>
      </c>
      <c r="H244" s="18">
        <v>665950.75</v>
      </c>
      <c r="I244" s="18">
        <v>256353.51</v>
      </c>
      <c r="J244" s="18">
        <v>32190.7</v>
      </c>
      <c r="K244" s="18">
        <v>0</v>
      </c>
      <c r="L244" s="19">
        <f t="shared" si="4"/>
        <v>1466780.21</v>
      </c>
      <c r="M244" s="8"/>
      <c r="N244" s="265"/>
    </row>
    <row r="245" spans="1:14" s="3" customFormat="1" ht="12.2" customHeight="1" x14ac:dyDescent="0.15">
      <c r="A245" s="1" t="s">
        <v>448</v>
      </c>
      <c r="B245" s="2" t="s">
        <v>350</v>
      </c>
      <c r="C245" s="2" t="s">
        <v>300</v>
      </c>
      <c r="D245" s="2" t="s">
        <v>431</v>
      </c>
      <c r="E245" s="6">
        <v>2700</v>
      </c>
      <c r="F245" s="18">
        <v>0</v>
      </c>
      <c r="G245" s="18">
        <v>0</v>
      </c>
      <c r="H245" s="18">
        <v>528062.94999999995</v>
      </c>
      <c r="I245" s="18">
        <v>0</v>
      </c>
      <c r="J245" s="18">
        <v>0</v>
      </c>
      <c r="K245" s="18">
        <v>0</v>
      </c>
      <c r="L245" s="19">
        <f t="shared" si="4"/>
        <v>528062.94999999995</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5972578.1499999994</v>
      </c>
      <c r="G248" s="41">
        <f t="shared" si="5"/>
        <v>3091939.43</v>
      </c>
      <c r="H248" s="41">
        <f t="shared" si="5"/>
        <v>2901261.88</v>
      </c>
      <c r="I248" s="41">
        <f t="shared" si="5"/>
        <v>424406.43</v>
      </c>
      <c r="J248" s="41">
        <f t="shared" si="5"/>
        <v>274302.46000000002</v>
      </c>
      <c r="K248" s="41">
        <f t="shared" si="5"/>
        <v>180661.26</v>
      </c>
      <c r="L248" s="41">
        <f t="shared" si="5"/>
        <v>12845149.610000003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v>0</v>
      </c>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5972578.1499999994</v>
      </c>
      <c r="G258" s="41">
        <f t="shared" si="8"/>
        <v>3091939.43</v>
      </c>
      <c r="H258" s="41">
        <f t="shared" si="8"/>
        <v>2901261.88</v>
      </c>
      <c r="I258" s="41">
        <f t="shared" si="8"/>
        <v>424406.43</v>
      </c>
      <c r="J258" s="41">
        <f t="shared" si="8"/>
        <v>274302.46000000002</v>
      </c>
      <c r="K258" s="41">
        <f t="shared" si="8"/>
        <v>180661.26</v>
      </c>
      <c r="L258" s="41">
        <f t="shared" si="8"/>
        <v>12845149.610000003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75305.55</v>
      </c>
      <c r="L261" s="19">
        <f>SUM(F261:K261)</f>
        <v>75305.55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28866.39</v>
      </c>
      <c r="L262" s="19">
        <f>SUM(F262:K262)</f>
        <v>28866.39</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104171.94</v>
      </c>
      <c r="L271" s="41">
        <f t="shared" si="9"/>
        <v>104171.94</v>
      </c>
      <c r="M271" s="8"/>
      <c r="N271" s="265"/>
    </row>
    <row r="272" spans="1:14" s="34" customFormat="1" ht="12.2" customHeight="1" thickTop="1" x14ac:dyDescent="0.2">
      <c r="A272" s="43" t="s">
        <v>464</v>
      </c>
      <c r="B272" s="40">
        <v>10</v>
      </c>
      <c r="C272" s="40">
        <v>18</v>
      </c>
      <c r="D272" s="39" t="s">
        <v>431</v>
      </c>
      <c r="E272" s="40"/>
      <c r="F272" s="42">
        <f t="shared" ref="F272:L272" si="11">F258+F271</f>
        <v>5972578.1499999994</v>
      </c>
      <c r="G272" s="42">
        <f t="shared" si="11"/>
        <v>3091939.43</v>
      </c>
      <c r="H272" s="42">
        <f t="shared" si="11"/>
        <v>2901261.88</v>
      </c>
      <c r="I272" s="42">
        <f t="shared" si="11"/>
        <v>424406.43</v>
      </c>
      <c r="J272" s="42">
        <f t="shared" si="11"/>
        <v>274302.46000000002</v>
      </c>
      <c r="K272" s="42">
        <f t="shared" si="11"/>
        <v>284833.2</v>
      </c>
      <c r="L272" s="42">
        <f t="shared" si="11"/>
        <v>12949321.550000003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66961.289999999994</v>
      </c>
      <c r="G315" s="18">
        <v>25083.66</v>
      </c>
      <c r="H315" s="18">
        <v>14080</v>
      </c>
      <c r="I315" s="18">
        <v>7694.33</v>
      </c>
      <c r="J315" s="18">
        <v>0</v>
      </c>
      <c r="K315" s="18">
        <v>17686.95</v>
      </c>
      <c r="L315" s="19">
        <f>SUM(F315:K315)</f>
        <v>131506.23000000001</v>
      </c>
      <c r="M315" s="8"/>
      <c r="N315" s="265"/>
    </row>
    <row r="316" spans="1:14" s="3" customFormat="1" ht="12.2" customHeight="1" x14ac:dyDescent="0.15">
      <c r="A316" s="1" t="s">
        <v>439</v>
      </c>
      <c r="B316" s="2" t="s">
        <v>359</v>
      </c>
      <c r="C316" s="2" t="s">
        <v>291</v>
      </c>
      <c r="D316" s="2" t="s">
        <v>431</v>
      </c>
      <c r="E316" s="6">
        <v>1200</v>
      </c>
      <c r="F316" s="18">
        <v>18607.330000000002</v>
      </c>
      <c r="G316" s="18">
        <v>7131.97</v>
      </c>
      <c r="H316" s="18">
        <v>0</v>
      </c>
      <c r="I316" s="18">
        <v>40888</v>
      </c>
      <c r="J316" s="18">
        <v>0</v>
      </c>
      <c r="K316" s="18">
        <v>14700</v>
      </c>
      <c r="L316" s="19">
        <f>SUM(F316:K316)</f>
        <v>81327.3</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1200</v>
      </c>
      <c r="I318" s="18">
        <v>3250</v>
      </c>
      <c r="J318" s="18">
        <v>0</v>
      </c>
      <c r="K318" s="18">
        <v>0</v>
      </c>
      <c r="L318" s="19">
        <f>SUM(F318:K318)</f>
        <v>4450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15843.33</v>
      </c>
      <c r="G321" s="18">
        <v>1651.01</v>
      </c>
      <c r="H321" s="18">
        <v>17559.32</v>
      </c>
      <c r="I321" s="18">
        <v>2000</v>
      </c>
      <c r="J321" s="18">
        <v>0</v>
      </c>
      <c r="K321" s="18">
        <v>0</v>
      </c>
      <c r="L321" s="19">
        <f t="shared" si="16"/>
        <v>37053.660000000003</v>
      </c>
      <c r="M321" s="8"/>
      <c r="N321" s="265"/>
    </row>
    <row r="322" spans="1:14" s="3" customFormat="1" ht="12.2" customHeight="1" x14ac:dyDescent="0.15">
      <c r="A322" s="1" t="s">
        <v>444</v>
      </c>
      <c r="B322" s="2" t="s">
        <v>359</v>
      </c>
      <c r="C322" s="2" t="s">
        <v>296</v>
      </c>
      <c r="D322" s="2" t="s">
        <v>431</v>
      </c>
      <c r="E322" s="6">
        <v>2300</v>
      </c>
      <c r="F322" s="18">
        <v>0</v>
      </c>
      <c r="G322" s="18">
        <v>0</v>
      </c>
      <c r="H322" s="18">
        <v>3584.41</v>
      </c>
      <c r="I322" s="18">
        <v>0</v>
      </c>
      <c r="J322" s="18">
        <v>1807</v>
      </c>
      <c r="K322" s="18">
        <v>0</v>
      </c>
      <c r="L322" s="19">
        <f t="shared" si="16"/>
        <v>5391.41</v>
      </c>
      <c r="M322" s="8"/>
      <c r="N322" s="265"/>
    </row>
    <row r="323" spans="1:14" s="3" customFormat="1" ht="12.2" customHeight="1" x14ac:dyDescent="0.15">
      <c r="A323" s="1" t="s">
        <v>445</v>
      </c>
      <c r="B323" s="2" t="s">
        <v>359</v>
      </c>
      <c r="C323" s="2" t="s">
        <v>297</v>
      </c>
      <c r="D323" s="2" t="s">
        <v>431</v>
      </c>
      <c r="E323" s="6">
        <v>2400</v>
      </c>
      <c r="F323" s="18">
        <v>0</v>
      </c>
      <c r="G323" s="18">
        <v>0</v>
      </c>
      <c r="H323" s="18">
        <v>11400</v>
      </c>
      <c r="I323" s="18">
        <v>0</v>
      </c>
      <c r="J323" s="18">
        <v>0</v>
      </c>
      <c r="K323" s="18">
        <v>0</v>
      </c>
      <c r="L323" s="19">
        <f t="shared" si="16"/>
        <v>11400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101411.95</v>
      </c>
      <c r="G329" s="42">
        <f t="shared" si="17"/>
        <v>33866.639999999999</v>
      </c>
      <c r="H329" s="42">
        <f t="shared" si="17"/>
        <v>47823.729999999996</v>
      </c>
      <c r="I329" s="42">
        <f t="shared" si="17"/>
        <v>53832.33</v>
      </c>
      <c r="J329" s="42">
        <f t="shared" si="17"/>
        <v>1807</v>
      </c>
      <c r="K329" s="42">
        <f t="shared" si="17"/>
        <v>32386.95</v>
      </c>
      <c r="L329" s="41">
        <f t="shared" si="17"/>
        <v>271128.60000000003</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v>0</v>
      </c>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101411.95</v>
      </c>
      <c r="G339" s="41">
        <f t="shared" si="20"/>
        <v>33866.639999999999</v>
      </c>
      <c r="H339" s="41">
        <f t="shared" si="20"/>
        <v>47823.729999999996</v>
      </c>
      <c r="I339" s="41">
        <f t="shared" si="20"/>
        <v>53832.33</v>
      </c>
      <c r="J339" s="41">
        <f t="shared" si="20"/>
        <v>1807</v>
      </c>
      <c r="K339" s="41">
        <f t="shared" si="20"/>
        <v>32386.95</v>
      </c>
      <c r="L339" s="41">
        <f t="shared" si="20"/>
        <v>271128.60000000003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4897.8900000000003</v>
      </c>
      <c r="L345" s="19">
        <f t="shared" ref="L345:L351" si="21">SUM(F345:K345)</f>
        <v>4897.8900000000003</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4897.8900000000003</v>
      </c>
      <c r="L352" s="41">
        <f>SUM(L342:L351)</f>
        <v>4897.8900000000003</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101411.95</v>
      </c>
      <c r="G353" s="41">
        <f>G339</f>
        <v>33866.639999999999</v>
      </c>
      <c r="H353" s="41">
        <f>H339</f>
        <v>47823.729999999996</v>
      </c>
      <c r="I353" s="41">
        <f>I339</f>
        <v>53832.33</v>
      </c>
      <c r="J353" s="41">
        <f>J339</f>
        <v>1807</v>
      </c>
      <c r="K353" s="47">
        <f>K339+K352</f>
        <v>37284.840000000004</v>
      </c>
      <c r="L353" s="41">
        <f>L339+L352</f>
        <v>276026.49000000005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v>116099.45</v>
      </c>
      <c r="G361" s="18">
        <v>40599.129999999997</v>
      </c>
      <c r="H361" s="18">
        <v>4474.75</v>
      </c>
      <c r="I361" s="18">
        <v>216242.4</v>
      </c>
      <c r="J361" s="18">
        <v>29.36</v>
      </c>
      <c r="K361" s="18">
        <v>2222</v>
      </c>
      <c r="L361" s="19">
        <f>SUM(F361:K361)</f>
        <v>379667.08999999997</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116099.45</v>
      </c>
      <c r="G363" s="47">
        <f t="shared" si="22"/>
        <v>40599.129999999997</v>
      </c>
      <c r="H363" s="47">
        <f t="shared" si="22"/>
        <v>4474.75</v>
      </c>
      <c r="I363" s="47">
        <f t="shared" si="22"/>
        <v>216242.4</v>
      </c>
      <c r="J363" s="47">
        <f t="shared" si="22"/>
        <v>29.36</v>
      </c>
      <c r="K363" s="47">
        <f t="shared" si="22"/>
        <v>2222</v>
      </c>
      <c r="L363" s="47">
        <f t="shared" si="22"/>
        <v>379667.08999999997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v>182202.32</v>
      </c>
      <c r="I368" s="56">
        <f>SUM(F368:H368)</f>
        <v>182202.32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v>34040.080000000002</v>
      </c>
      <c r="I369" s="56">
        <f>SUM(F369:H369)</f>
        <v>34040.080000000002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216242.40000000002</v>
      </c>
      <c r="I370" s="47">
        <f>SUM(I368:I369)</f>
        <v>216242.40000000002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64.05</v>
      </c>
      <c r="I390" s="18"/>
      <c r="J390" s="24" t="s">
        <v>288</v>
      </c>
      <c r="K390" s="24" t="s">
        <v>288</v>
      </c>
      <c r="L390" s="56">
        <f t="shared" si="25"/>
        <v>64.05</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405.01</v>
      </c>
      <c r="I393" s="18"/>
      <c r="J393" s="24" t="s">
        <v>288</v>
      </c>
      <c r="K393" s="24" t="s">
        <v>288</v>
      </c>
      <c r="L393" s="56">
        <f t="shared" si="25"/>
        <v>405.01</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469.06</v>
      </c>
      <c r="I394" s="65">
        <f>SUM(I388:I393)</f>
        <v>0</v>
      </c>
      <c r="J394" s="45" t="s">
        <v>288</v>
      </c>
      <c r="K394" s="45" t="s">
        <v>288</v>
      </c>
      <c r="L394" s="47">
        <f>SUM(L388:L393)</f>
        <v>469.06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0</v>
      </c>
      <c r="H397" s="18">
        <v>30.84</v>
      </c>
      <c r="I397" s="18"/>
      <c r="J397" s="24" t="s">
        <v>288</v>
      </c>
      <c r="K397" s="24" t="s">
        <v>288</v>
      </c>
      <c r="L397" s="56">
        <f t="shared" si="26"/>
        <v>30.84</v>
      </c>
      <c r="M397" s="8"/>
      <c r="N397" s="265"/>
    </row>
    <row r="398" spans="1:14" s="3" customFormat="1" ht="12.2" customHeight="1" x14ac:dyDescent="0.15">
      <c r="A398" s="79" t="s">
        <v>515</v>
      </c>
      <c r="B398" s="2" t="s">
        <v>381</v>
      </c>
      <c r="C398" s="6">
        <v>10</v>
      </c>
      <c r="D398" s="2" t="s">
        <v>432</v>
      </c>
      <c r="E398" s="6"/>
      <c r="F398" s="18"/>
      <c r="G398" s="18">
        <v>0</v>
      </c>
      <c r="H398" s="18">
        <v>173.95</v>
      </c>
      <c r="I398" s="18"/>
      <c r="J398" s="24" t="s">
        <v>288</v>
      </c>
      <c r="K398" s="24" t="s">
        <v>288</v>
      </c>
      <c r="L398" s="56">
        <f t="shared" si="26"/>
        <v>173.95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0</v>
      </c>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204.79</v>
      </c>
      <c r="I402" s="47">
        <f>SUM(I396:I401)</f>
        <v>0</v>
      </c>
      <c r="J402" s="45" t="s">
        <v>288</v>
      </c>
      <c r="K402" s="45" t="s">
        <v>288</v>
      </c>
      <c r="L402" s="47">
        <f>SUM(L396:L401)</f>
        <v>204.79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673.85</v>
      </c>
      <c r="I409" s="47">
        <f>I394+I402+I408</f>
        <v>0</v>
      </c>
      <c r="J409" s="24" t="s">
        <v>288</v>
      </c>
      <c r="K409" s="24" t="s">
        <v>288</v>
      </c>
      <c r="L409" s="47">
        <f>L394+L402+L408</f>
        <v>673.85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0</v>
      </c>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669657.46</v>
      </c>
      <c r="H440" s="18"/>
      <c r="I440" s="56">
        <f t="shared" ref="I440:I446" si="33">SUM(F440:H440)</f>
        <v>669657.46</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669657.46</v>
      </c>
      <c r="H447" s="13">
        <f>SUM(H440:H446)</f>
        <v>0</v>
      </c>
      <c r="I447" s="13">
        <f>SUM(I440:I446)</f>
        <v>669657.46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669657.46</v>
      </c>
      <c r="H460" s="18"/>
      <c r="I460" s="56">
        <f t="shared" si="34"/>
        <v>669657.46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669657.46</v>
      </c>
      <c r="H461" s="83">
        <f>SUM(H455:H460)</f>
        <v>0</v>
      </c>
      <c r="I461" s="83">
        <f>SUM(I455:I460)</f>
        <v>669657.46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669657.46</v>
      </c>
      <c r="H462" s="42">
        <f>H453+H461</f>
        <v>0</v>
      </c>
      <c r="I462" s="42">
        <f>I453+I461</f>
        <v>669657.46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1158027.7300000004</v>
      </c>
      <c r="G466" s="18">
        <v>0</v>
      </c>
      <c r="H466" s="18">
        <v>261.05</v>
      </c>
      <c r="I466" s="18">
        <v>0</v>
      </c>
      <c r="J466" s="18">
        <v>668983.6100000001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13364602.050000001</v>
      </c>
      <c r="G469" s="18">
        <f t="shared" ref="G469:I469" si="35">G194</f>
        <v>466395.48</v>
      </c>
      <c r="H469" s="18">
        <f t="shared" si="35"/>
        <v>276026.49</v>
      </c>
      <c r="I469" s="18">
        <f t="shared" si="35"/>
        <v>0</v>
      </c>
      <c r="J469" s="18">
        <f>J194</f>
        <v>673.85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13364602.050000001</v>
      </c>
      <c r="G471" s="53">
        <f>SUM(G469:G470)</f>
        <v>466395.48</v>
      </c>
      <c r="H471" s="53">
        <f>SUM(H469:H470)</f>
        <v>276026.49</v>
      </c>
      <c r="I471" s="53">
        <f>SUM(I469:I470)</f>
        <v>0</v>
      </c>
      <c r="J471" s="53">
        <f>SUM(J469:J470)</f>
        <v>673.85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12949321.550000003</v>
      </c>
      <c r="G473" s="18">
        <f>L363</f>
        <v>379667.08999999997</v>
      </c>
      <c r="H473" s="18">
        <f>L353</f>
        <v>276026.49000000005</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12949321.550000003</v>
      </c>
      <c r="G475" s="53">
        <f>SUM(G473:G474)</f>
        <v>379667.08999999997</v>
      </c>
      <c r="H475" s="53">
        <f>SUM(H473:H474)</f>
        <v>276026.49000000005</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1573308.2299999986</v>
      </c>
      <c r="G477" s="53">
        <f>(G466+G471)- G475</f>
        <v>86728.390000000014</v>
      </c>
      <c r="H477" s="53">
        <f>(H466+H471)- H475</f>
        <v>261.04999999993015</v>
      </c>
      <c r="I477" s="53">
        <f>(I466+I471)- I475</f>
        <v>0</v>
      </c>
      <c r="J477" s="53">
        <f>(J466+J471)- J475</f>
        <v>669657.46000000008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75305.55</v>
      </c>
      <c r="G496" s="18"/>
      <c r="H496" s="18"/>
      <c r="I496" s="18"/>
      <c r="J496" s="18"/>
      <c r="K496" s="53">
        <f>SUM(F496:J496)</f>
        <v>75305.55</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6"/>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6"/>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739522.57</v>
      </c>
      <c r="G524" s="18">
        <v>350383.23</v>
      </c>
      <c r="H524" s="18">
        <v>717237.12</v>
      </c>
      <c r="I524" s="18">
        <v>11507.07</v>
      </c>
      <c r="J524" s="18">
        <v>57291.839999999997</v>
      </c>
      <c r="K524" s="18">
        <v>28381.99</v>
      </c>
      <c r="L524" s="88">
        <f>SUM(F524:K524)</f>
        <v>1904323.82</v>
      </c>
      <c r="N524" s="264"/>
    </row>
    <row r="525" spans="1:14" s="52" customFormat="1" ht="12.2" customHeight="1" thickTop="1" x14ac:dyDescent="0.2">
      <c r="A525" s="139" t="s">
        <v>63</v>
      </c>
      <c r="B525" s="107">
        <v>21</v>
      </c>
      <c r="C525" s="194">
        <v>4</v>
      </c>
      <c r="D525" s="195" t="s">
        <v>432</v>
      </c>
      <c r="E525" s="194"/>
      <c r="F525" s="108">
        <f>SUM(F522:F524)</f>
        <v>739522.57</v>
      </c>
      <c r="G525" s="108">
        <f t="shared" ref="G525:L525" si="37">SUM(G522:G524)</f>
        <v>350383.23</v>
      </c>
      <c r="H525" s="108">
        <f t="shared" si="37"/>
        <v>717237.12</v>
      </c>
      <c r="I525" s="108">
        <f t="shared" si="37"/>
        <v>11507.07</v>
      </c>
      <c r="J525" s="108">
        <f t="shared" si="37"/>
        <v>57291.839999999997</v>
      </c>
      <c r="K525" s="108">
        <f t="shared" si="37"/>
        <v>28381.99</v>
      </c>
      <c r="L525" s="89">
        <f t="shared" si="37"/>
        <v>1904323.82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85169.91</v>
      </c>
      <c r="G529" s="18">
        <v>49396</v>
      </c>
      <c r="H529" s="18">
        <v>95750.58</v>
      </c>
      <c r="I529" s="18">
        <v>0</v>
      </c>
      <c r="J529" s="18">
        <v>0</v>
      </c>
      <c r="K529" s="18">
        <v>0</v>
      </c>
      <c r="L529" s="88">
        <f>SUM(F529:K529)</f>
        <v>230316.49</v>
      </c>
      <c r="M529" s="8"/>
      <c r="N529" s="265"/>
    </row>
    <row r="530" spans="1:14" s="3" customFormat="1" ht="12.2" customHeight="1" thickTop="1" x14ac:dyDescent="0.15">
      <c r="A530" s="139" t="s">
        <v>65</v>
      </c>
      <c r="B530" s="107">
        <v>21</v>
      </c>
      <c r="C530" s="107">
        <v>8</v>
      </c>
      <c r="D530" s="158" t="s">
        <v>432</v>
      </c>
      <c r="E530" s="107"/>
      <c r="F530" s="89">
        <f>SUM(F527:F529)</f>
        <v>85169.91</v>
      </c>
      <c r="G530" s="89">
        <f t="shared" ref="G530:L530" si="38">SUM(G527:G529)</f>
        <v>49396</v>
      </c>
      <c r="H530" s="89">
        <f t="shared" si="38"/>
        <v>95750.58</v>
      </c>
      <c r="I530" s="89">
        <f t="shared" si="38"/>
        <v>0</v>
      </c>
      <c r="J530" s="89">
        <f t="shared" si="38"/>
        <v>0</v>
      </c>
      <c r="K530" s="89">
        <f t="shared" si="38"/>
        <v>0</v>
      </c>
      <c r="L530" s="89">
        <f t="shared" si="38"/>
        <v>230316.49</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f>(124775.45*0.2831)+91090</f>
        <v>126413.92989500001</v>
      </c>
      <c r="G534" s="18">
        <f>(71140.7*0.2831)+54483.88</f>
        <v>74623.81216999999</v>
      </c>
      <c r="H534" s="18"/>
      <c r="I534" s="18"/>
      <c r="J534" s="18"/>
      <c r="K534" s="18"/>
      <c r="L534" s="88">
        <f>SUM(F534:K534)</f>
        <v>201037.742065</v>
      </c>
      <c r="M534" s="8"/>
      <c r="N534" s="265"/>
    </row>
    <row r="535" spans="1:14" s="3" customFormat="1" ht="12.2" customHeight="1" thickTop="1" x14ac:dyDescent="0.15">
      <c r="A535" s="139" t="s">
        <v>67</v>
      </c>
      <c r="B535" s="107">
        <v>21</v>
      </c>
      <c r="C535" s="107">
        <v>12</v>
      </c>
      <c r="D535" s="158" t="s">
        <v>432</v>
      </c>
      <c r="E535" s="107"/>
      <c r="F535" s="89">
        <f>SUM(F532:F534)</f>
        <v>126413.92989500001</v>
      </c>
      <c r="G535" s="89">
        <f t="shared" ref="G535:L535" si="39">SUM(G532:G534)</f>
        <v>74623.81216999999</v>
      </c>
      <c r="H535" s="89">
        <f t="shared" si="39"/>
        <v>0</v>
      </c>
      <c r="I535" s="89">
        <f t="shared" si="39"/>
        <v>0</v>
      </c>
      <c r="J535" s="89">
        <f t="shared" si="39"/>
        <v>0</v>
      </c>
      <c r="K535" s="89">
        <f t="shared" si="39"/>
        <v>0</v>
      </c>
      <c r="L535" s="89">
        <f t="shared" si="39"/>
        <v>201037.742065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30240.03</v>
      </c>
      <c r="I539" s="18"/>
      <c r="J539" s="18"/>
      <c r="K539" s="18"/>
      <c r="L539" s="88">
        <f>SUM(F539:K539)</f>
        <v>30240.03</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30240.03</v>
      </c>
      <c r="I540" s="89">
        <f t="shared" si="40"/>
        <v>0</v>
      </c>
      <c r="J540" s="89">
        <f t="shared" si="40"/>
        <v>0</v>
      </c>
      <c r="K540" s="89">
        <f t="shared" si="40"/>
        <v>0</v>
      </c>
      <c r="L540" s="89">
        <f t="shared" si="40"/>
        <v>30240.03</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225777.57</v>
      </c>
      <c r="I544" s="18"/>
      <c r="J544" s="18"/>
      <c r="K544" s="18"/>
      <c r="L544" s="88">
        <f>SUM(F544:K544)</f>
        <v>225777.57</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225777.57</v>
      </c>
      <c r="I545" s="192">
        <f t="shared" si="41"/>
        <v>0</v>
      </c>
      <c r="J545" s="192">
        <f t="shared" si="41"/>
        <v>0</v>
      </c>
      <c r="K545" s="192">
        <f t="shared" si="41"/>
        <v>0</v>
      </c>
      <c r="L545" s="192">
        <f t="shared" si="41"/>
        <v>225777.57</v>
      </c>
      <c r="M545" s="8"/>
      <c r="N545" s="265"/>
    </row>
    <row r="546" spans="1:14" s="3" customFormat="1" ht="12.2" customHeight="1" thickTop="1" x14ac:dyDescent="0.15">
      <c r="A546" s="98" t="s">
        <v>72</v>
      </c>
      <c r="B546" s="107">
        <v>21</v>
      </c>
      <c r="C546" s="107">
        <v>21</v>
      </c>
      <c r="D546" s="158" t="s">
        <v>432</v>
      </c>
      <c r="E546" s="107"/>
      <c r="F546" s="89">
        <f>F525+F530+F535+F540+F545</f>
        <v>951106.40989500005</v>
      </c>
      <c r="G546" s="89">
        <f t="shared" ref="G546:L546" si="42">G525+G530+G535+G540+G545</f>
        <v>474403.04216999997</v>
      </c>
      <c r="H546" s="89">
        <f t="shared" si="42"/>
        <v>1069005.3</v>
      </c>
      <c r="I546" s="89">
        <f t="shared" si="42"/>
        <v>11507.07</v>
      </c>
      <c r="J546" s="89">
        <f t="shared" si="42"/>
        <v>57291.839999999997</v>
      </c>
      <c r="K546" s="89">
        <f t="shared" si="42"/>
        <v>28381.99</v>
      </c>
      <c r="L546" s="89">
        <f t="shared" si="42"/>
        <v>2591695.6520649996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1904323.82</v>
      </c>
      <c r="G552" s="87">
        <f>L529</f>
        <v>230316.49</v>
      </c>
      <c r="H552" s="87">
        <f>L534</f>
        <v>201037.742065</v>
      </c>
      <c r="I552" s="87">
        <f>L539</f>
        <v>30240.03</v>
      </c>
      <c r="J552" s="87">
        <f>L544</f>
        <v>225777.57</v>
      </c>
      <c r="K552" s="87">
        <f>SUM(F552:J552)</f>
        <v>2591695.6520649996</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1904323.82</v>
      </c>
      <c r="G553" s="89">
        <f t="shared" si="43"/>
        <v>230316.49</v>
      </c>
      <c r="H553" s="89">
        <f t="shared" si="43"/>
        <v>201037.742065</v>
      </c>
      <c r="I553" s="89">
        <f t="shared" si="43"/>
        <v>30240.03</v>
      </c>
      <c r="J553" s="89">
        <f t="shared" si="43"/>
        <v>225777.57</v>
      </c>
      <c r="K553" s="89">
        <f t="shared" si="43"/>
        <v>2591695.6520649996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v>5370</v>
      </c>
      <c r="G565" s="18">
        <v>3285.71</v>
      </c>
      <c r="H565" s="18">
        <v>0</v>
      </c>
      <c r="I565" s="18">
        <v>0</v>
      </c>
      <c r="J565" s="18">
        <v>0</v>
      </c>
      <c r="K565" s="18">
        <v>0</v>
      </c>
      <c r="L565" s="88">
        <f>SUM(F565:K565)</f>
        <v>8655.7099999999991</v>
      </c>
      <c r="M565" s="8"/>
      <c r="N565" s="265"/>
    </row>
    <row r="566" spans="1:14" s="3" customFormat="1" ht="12.2" customHeight="1" thickTop="1" x14ac:dyDescent="0.15">
      <c r="A566" s="139" t="s">
        <v>65</v>
      </c>
      <c r="B566" s="107">
        <v>22</v>
      </c>
      <c r="C566" s="107">
        <v>8</v>
      </c>
      <c r="D566" s="195" t="s">
        <v>432</v>
      </c>
      <c r="E566" s="107"/>
      <c r="F566" s="89">
        <f t="shared" ref="F566:L566" si="45">SUM(F563:F565)</f>
        <v>5370</v>
      </c>
      <c r="G566" s="89">
        <f t="shared" si="45"/>
        <v>3285.71</v>
      </c>
      <c r="H566" s="89">
        <f t="shared" si="45"/>
        <v>0</v>
      </c>
      <c r="I566" s="89">
        <f t="shared" si="45"/>
        <v>0</v>
      </c>
      <c r="J566" s="89">
        <f t="shared" si="45"/>
        <v>0</v>
      </c>
      <c r="K566" s="89">
        <f t="shared" si="45"/>
        <v>0</v>
      </c>
      <c r="L566" s="89">
        <f t="shared" si="45"/>
        <v>8655.7099999999991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5370</v>
      </c>
      <c r="G572" s="89">
        <f t="shared" ref="G572:L572" si="47">G561+G566+G571</f>
        <v>3285.71</v>
      </c>
      <c r="H572" s="89">
        <f t="shared" si="47"/>
        <v>0</v>
      </c>
      <c r="I572" s="89">
        <f t="shared" si="47"/>
        <v>0</v>
      </c>
      <c r="J572" s="89">
        <f t="shared" si="47"/>
        <v>0</v>
      </c>
      <c r="K572" s="89">
        <f t="shared" si="47"/>
        <v>0</v>
      </c>
      <c r="L572" s="89">
        <f t="shared" si="47"/>
        <v>8655.7099999999991</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0</v>
      </c>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0</v>
      </c>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1402.56</v>
      </c>
      <c r="I580" s="87">
        <f t="shared" si="48"/>
        <v>1402.56</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0</v>
      </c>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338826.13</v>
      </c>
      <c r="I583" s="87">
        <f t="shared" si="48"/>
        <v>338826.13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0</v>
      </c>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93649.01</v>
      </c>
      <c r="I585" s="87">
        <f t="shared" si="48"/>
        <v>93649.01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0</v>
      </c>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v>0</v>
      </c>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v>164380.85999999999</v>
      </c>
      <c r="K592" s="104">
        <f t="shared" ref="K592:K598" si="49">SUM(H592:J592)</f>
        <v>164380.85999999999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225777.57</v>
      </c>
      <c r="K593" s="104">
        <f t="shared" si="49"/>
        <v>225777.57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58496.959999999999</v>
      </c>
      <c r="K594" s="104">
        <f t="shared" si="49"/>
        <v>58496.959999999999</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v>69636.78</v>
      </c>
      <c r="K595" s="104">
        <f t="shared" si="49"/>
        <v>69636.78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v>8417.59</v>
      </c>
      <c r="K596" s="104">
        <f t="shared" si="49"/>
        <v>8417.59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v>0</v>
      </c>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v>1353.19</v>
      </c>
      <c r="K598" s="104">
        <f t="shared" si="49"/>
        <v>1353.19</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528062.94999999995</v>
      </c>
      <c r="K599" s="108">
        <f>SUM(K592:K598)</f>
        <v>528062.94999999995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v>276109.46000000002</v>
      </c>
      <c r="K605" s="104">
        <f>SUM(H605:J605)</f>
        <v>276109.46000000002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276109.46000000002</v>
      </c>
      <c r="K606" s="108">
        <f>SUM(K603:K605)</f>
        <v>276109.46000000002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18213.39</v>
      </c>
      <c r="G614" s="18">
        <v>4509.7700000000004</v>
      </c>
      <c r="H614" s="18">
        <v>5604.48</v>
      </c>
      <c r="I614" s="18">
        <v>181.3</v>
      </c>
      <c r="J614" s="18">
        <v>0</v>
      </c>
      <c r="K614" s="18">
        <v>0</v>
      </c>
      <c r="L614" s="88">
        <f>SUM(F614:K614)</f>
        <v>28508.94</v>
      </c>
      <c r="M614" s="8"/>
      <c r="N614" s="265"/>
    </row>
    <row r="615" spans="1:14" s="3" customFormat="1" ht="12.2" customHeight="1" thickTop="1" x14ac:dyDescent="0.15">
      <c r="A615" s="98" t="s">
        <v>340</v>
      </c>
      <c r="B615" s="107">
        <v>23</v>
      </c>
      <c r="C615" s="107">
        <v>16</v>
      </c>
      <c r="D615" s="39" t="s">
        <v>432</v>
      </c>
      <c r="E615" s="107"/>
      <c r="F615" s="108">
        <f t="shared" ref="F615:L615" si="50">SUM(F612:F614)</f>
        <v>18213.39</v>
      </c>
      <c r="G615" s="108">
        <f t="shared" si="50"/>
        <v>4509.7700000000004</v>
      </c>
      <c r="H615" s="108">
        <f t="shared" si="50"/>
        <v>5604.48</v>
      </c>
      <c r="I615" s="108">
        <f t="shared" si="50"/>
        <v>181.3</v>
      </c>
      <c r="J615" s="108">
        <f t="shared" si="50"/>
        <v>0</v>
      </c>
      <c r="K615" s="108">
        <f t="shared" si="50"/>
        <v>0</v>
      </c>
      <c r="L615" s="89">
        <f t="shared" si="50"/>
        <v>28508.94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1573546.27</v>
      </c>
      <c r="H618" s="109">
        <f>SUM(F52)</f>
        <v>1573546.27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126373.27</v>
      </c>
      <c r="H619" s="109">
        <f>SUM(G52)</f>
        <v>126373.27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116920.56999999999</v>
      </c>
      <c r="H620" s="109">
        <f>SUM(H52)</f>
        <v>116920.57000000002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669657.46</v>
      </c>
      <c r="H622" s="109">
        <f>SUM(J52)</f>
        <v>669657.46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1573308.23</v>
      </c>
      <c r="H623" s="109">
        <f>F477</f>
        <v>1573308.2299999986</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86728.39</v>
      </c>
      <c r="H624" s="109">
        <f>G477</f>
        <v>86728.390000000014</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261.05</v>
      </c>
      <c r="H625" s="109">
        <f>H477</f>
        <v>261.04999999993015</v>
      </c>
      <c r="I625" s="121" t="s">
        <v>103</v>
      </c>
      <c r="J625" s="109">
        <f t="shared" si="51"/>
        <v>6.986056177993305E-11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669657.46</v>
      </c>
      <c r="H627" s="109">
        <f>J477</f>
        <v>669657.46000000008</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13364602.050000001</v>
      </c>
      <c r="H628" s="104">
        <f>SUM(F469)</f>
        <v>13364602.050000001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466395.48</v>
      </c>
      <c r="H629" s="104">
        <f>SUM(G469)</f>
        <v>466395.48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276026.49</v>
      </c>
      <c r="H630" s="104">
        <f>SUM(H469)</f>
        <v>276026.49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673.85</v>
      </c>
      <c r="H632" s="104">
        <f>SUM(J469)</f>
        <v>673.85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12949321.550000003</v>
      </c>
      <c r="H633" s="104">
        <f>SUM(F473)</f>
        <v>12949321.550000003</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276026.49000000005</v>
      </c>
      <c r="H634" s="104">
        <f>SUM(H473)</f>
        <v>276026.49000000005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216242.4</v>
      </c>
      <c r="H635" s="104">
        <f>I370</f>
        <v>216242.40000000002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379667.08999999997</v>
      </c>
      <c r="H636" s="104">
        <f>SUM(G473)</f>
        <v>379667.08999999997</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673.85</v>
      </c>
      <c r="H638" s="164">
        <f>SUM(J469)</f>
        <v>673.85</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669657.46</v>
      </c>
      <c r="H641" s="104">
        <f>SUM(G462)</f>
        <v>669657.46</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669657.46</v>
      </c>
      <c r="H643" s="104">
        <f>SUM(I462)</f>
        <v>669657.46</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673.85</v>
      </c>
      <c r="H645" s="104">
        <f>H409</f>
        <v>673.85</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673.85</v>
      </c>
      <c r="H647" s="104">
        <f>L409</f>
        <v>673.85</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528062.94999999995</v>
      </c>
      <c r="H648" s="104">
        <f>L209+L227+L245</f>
        <v>528062.94999999995</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276109.46000000002</v>
      </c>
      <c r="H649" s="104">
        <f>(J258+J339)-(J256+J337)</f>
        <v>276109.46000000002</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528062.94999999995</v>
      </c>
      <c r="H652" s="104">
        <f>J599</f>
        <v>528062.94999999995</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13495945.300000003</v>
      </c>
      <c r="I661" s="19">
        <f>SUM(F661:H661)</f>
        <v>13495945.300000003</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42296.42</v>
      </c>
      <c r="I662" s="19">
        <f>SUM(F662:H662)</f>
        <v>42296.42</v>
      </c>
      <c r="J662"/>
      <c r="K662" s="13"/>
      <c r="L662" s="13"/>
      <c r="M662" s="8"/>
    </row>
    <row r="663" spans="1:13" s="3" customFormat="1" ht="12.2" customHeight="1" x14ac:dyDescent="0.2">
      <c r="A663" s="1" t="s">
        <v>128</v>
      </c>
      <c r="F663" s="19">
        <f>(L209+L288)-(J209+J288)</f>
        <v>0</v>
      </c>
      <c r="G663" s="19">
        <f>(L227+L307)-(J227+J307)</f>
        <v>0</v>
      </c>
      <c r="H663" s="19">
        <f>(L245+L326)-(J245+J326)</f>
        <v>528062.94999999995</v>
      </c>
      <c r="I663" s="19">
        <f>SUM(F663:H663)</f>
        <v>528062.94999999995</v>
      </c>
      <c r="J663"/>
      <c r="K663" s="13"/>
      <c r="L663" s="13"/>
      <c r="M663" s="9"/>
    </row>
    <row r="664" spans="1:13" s="3" customFormat="1" ht="12.2" customHeight="1" x14ac:dyDescent="0.15">
      <c r="A664" s="197" t="s">
        <v>129</v>
      </c>
      <c r="B664" s="169"/>
      <c r="C664" s="169"/>
      <c r="D664" s="169"/>
      <c r="E664" s="169"/>
      <c r="F664" s="198">
        <f>SUM(F576:F588)+SUM(H603:H605)+SUM(L612)</f>
        <v>0</v>
      </c>
      <c r="G664" s="198">
        <f>SUM(G576:G588)+SUM(I603:I605)+L613</f>
        <v>0</v>
      </c>
      <c r="H664" s="198">
        <f>SUM(H576:H588)+SUM(J603:J605)+L614</f>
        <v>738496.1</v>
      </c>
      <c r="I664" s="19">
        <f>SUM(F664:H664)</f>
        <v>738496.1</v>
      </c>
      <c r="J664" s="13"/>
      <c r="K664" s="13"/>
      <c r="L664" s="13"/>
      <c r="M664" s="9"/>
    </row>
    <row r="665" spans="1:13" s="3" customFormat="1" ht="12.2" customHeight="1" x14ac:dyDescent="0.15">
      <c r="A665" s="1" t="s">
        <v>130</v>
      </c>
      <c r="F665" s="19">
        <f>F661-SUM(F662:F664)</f>
        <v>0</v>
      </c>
      <c r="G665" s="19">
        <f>G661-SUM(G662:G664)</f>
        <v>0</v>
      </c>
      <c r="H665" s="19">
        <f>H661-SUM(H662:H664)</f>
        <v>12187089.830000002</v>
      </c>
      <c r="I665" s="19">
        <f>I661-SUM(I662:I664)</f>
        <v>12187089.830000002</v>
      </c>
      <c r="J665" s="13"/>
      <c r="K665" s="13"/>
      <c r="L665" s="13"/>
      <c r="M665" s="8"/>
    </row>
    <row r="666" spans="1:13" s="3" customFormat="1" ht="12.2" customHeight="1" x14ac:dyDescent="0.2">
      <c r="A666" s="1" t="s">
        <v>131</v>
      </c>
      <c r="F666" s="245"/>
      <c r="G666" s="246"/>
      <c r="H666" s="246">
        <v>573.52</v>
      </c>
      <c r="I666" s="19">
        <f>SUM(F666:H666)</f>
        <v>573.52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21249.63</v>
      </c>
      <c r="I668" s="19">
        <f>ROUND(I665/I666,2)</f>
        <v>21249.63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-12.44</v>
      </c>
      <c r="I671" s="19">
        <f>SUM(F671:H671)</f>
        <v>-12.44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21720.77</v>
      </c>
      <c r="I673" s="19">
        <f>ROUND((I665+I670)/(I666+I671),2)</f>
        <v>21720.77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E9" sqref="E9:E1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26805.14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25974.11</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831.03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25973.94</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John Stark Regional</v>
      </c>
      <c r="C5" s="375"/>
      <c r="D5" s="375"/>
      <c r="E5" s="375"/>
      <c r="F5" s="375"/>
    </row>
    <row r="8" spans="1:9" ht="18" x14ac:dyDescent="0.25">
      <c r="A8" s="312" t="s">
        <v>1568</v>
      </c>
      <c r="F8" s="319" t="s">
        <v>1586</v>
      </c>
    </row>
    <row r="9" spans="1:9" ht="15" x14ac:dyDescent="0.2">
      <c r="A9" s="310" t="s">
        <v>1569</v>
      </c>
      <c r="B9" s="313">
        <f>'DOE25'!G97</f>
        <v>42296.42</v>
      </c>
      <c r="F9" s="310" t="s">
        <v>1582</v>
      </c>
    </row>
    <row r="10" spans="1:9" ht="15" x14ac:dyDescent="0.2">
      <c r="A10" s="310" t="s">
        <v>1570</v>
      </c>
      <c r="B10" s="313">
        <f>'DOE25'!G112-'DOE25'!G97</f>
        <v>0</v>
      </c>
      <c r="F10" s="310" t="s">
        <v>1583</v>
      </c>
    </row>
    <row r="11" spans="1:9" ht="15" x14ac:dyDescent="0.2">
      <c r="A11" s="310" t="s">
        <v>1571</v>
      </c>
      <c r="B11" s="313">
        <f>'DOE25'!G140</f>
        <v>5136.05</v>
      </c>
      <c r="F11" s="310" t="s">
        <v>1584</v>
      </c>
    </row>
    <row r="12" spans="1:9" ht="15" x14ac:dyDescent="0.2">
      <c r="A12" s="310" t="s">
        <v>1572</v>
      </c>
      <c r="B12" s="313">
        <f>'DOE25'!G170</f>
        <v>418963.01</v>
      </c>
      <c r="F12" s="310" t="s">
        <v>1585</v>
      </c>
    </row>
    <row r="13" spans="1:9" ht="15" x14ac:dyDescent="0.2">
      <c r="A13" s="310" t="s">
        <v>1573</v>
      </c>
      <c r="B13" s="313">
        <f>'DOE25'!G193-'DOE25'!G180</f>
        <v>0</v>
      </c>
      <c r="F13" s="310" t="s">
        <v>1595</v>
      </c>
    </row>
    <row r="14" spans="1:9" ht="18" x14ac:dyDescent="0.25">
      <c r="A14" s="312" t="s">
        <v>732</v>
      </c>
      <c r="B14" s="314">
        <f>SUM(B9:B13)</f>
        <v>466395.48</v>
      </c>
    </row>
    <row r="16" spans="1:9" ht="18" x14ac:dyDescent="0.25">
      <c r="A16" s="312" t="s">
        <v>786</v>
      </c>
      <c r="F16" s="319" t="s">
        <v>1587</v>
      </c>
    </row>
    <row r="17" spans="1:6" ht="15" x14ac:dyDescent="0.2">
      <c r="A17" s="310" t="s">
        <v>1574</v>
      </c>
      <c r="B17" s="313">
        <f>'DOE25'!L363-'DOE25'!L362</f>
        <v>379667.08999999997</v>
      </c>
      <c r="F17" s="310" t="s">
        <v>1588</v>
      </c>
    </row>
    <row r="18" spans="1:6" ht="15" x14ac:dyDescent="0.2">
      <c r="A18" s="310" t="s">
        <v>1575</v>
      </c>
      <c r="B18" s="323">
        <v>0</v>
      </c>
      <c r="F18" s="319" t="s">
        <v>1612</v>
      </c>
    </row>
    <row r="19" spans="1:6" ht="18" x14ac:dyDescent="0.25">
      <c r="A19" s="312" t="s">
        <v>725</v>
      </c>
      <c r="B19" s="314">
        <f>SUM(B17:B18)</f>
        <v>379667.08999999997</v>
      </c>
    </row>
    <row r="21" spans="1:6" ht="18.75" thickBot="1" x14ac:dyDescent="0.3">
      <c r="A21" s="312" t="s">
        <v>1576</v>
      </c>
    </row>
    <row r="22" spans="1:6" ht="18.75" thickTop="1" x14ac:dyDescent="0.25">
      <c r="A22" s="312" t="s">
        <v>1577</v>
      </c>
      <c r="B22" s="318">
        <f>B14-B19</f>
        <v>86728.390000000014</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86728.390000000014</v>
      </c>
      <c r="F33" s="310" t="s">
        <v>1593</v>
      </c>
    </row>
    <row r="36" spans="1:6" ht="15" x14ac:dyDescent="0.2">
      <c r="A36" s="310" t="s">
        <v>1579</v>
      </c>
      <c r="B36" s="324">
        <v>13286.08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0" sqref="C1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John Stark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3268592.3</v>
      </c>
      <c r="C9" s="228">
        <f>'DOE25'!G198+'DOE25'!G216+'DOE25'!G234+'DOE25'!G277+'DOE25'!G296+'DOE25'!G315</f>
        <v>1767592.91</v>
      </c>
    </row>
    <row r="10" spans="1:3" x14ac:dyDescent="0.2">
      <c r="A10" t="s">
        <v>775</v>
      </c>
      <c r="B10" s="239">
        <v>3207422.21</v>
      </c>
      <c r="C10" s="239">
        <v>1749243.44</v>
      </c>
    </row>
    <row r="11" spans="1:3" x14ac:dyDescent="0.2">
      <c r="A11" t="s">
        <v>776</v>
      </c>
      <c r="B11" s="239">
        <v>30665.09</v>
      </c>
      <c r="C11" s="239">
        <v>16015.71</v>
      </c>
    </row>
    <row r="12" spans="1:3" x14ac:dyDescent="0.2">
      <c r="A12" t="s">
        <v>777</v>
      </c>
      <c r="B12" s="239">
        <v>30505</v>
      </c>
      <c r="C12" s="239">
        <v>2333.7600000000002</v>
      </c>
    </row>
    <row r="13" spans="1:3" x14ac:dyDescent="0.2">
      <c r="A13" t="str">
        <f>IF(B9=B13,IF(C9=C13,"Check Total OK","Check Total Error"),"Check Total Error")</f>
        <v>Check Total OK</v>
      </c>
      <c r="B13" s="230">
        <f>SUM(B10:B12)</f>
        <v>3268592.3</v>
      </c>
      <c r="C13" s="230">
        <f>SUM(C10:C12)</f>
        <v>1767592.91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758129.89999999991</v>
      </c>
      <c r="C18" s="228">
        <f>'DOE25'!G199+'DOE25'!G217+'DOE25'!G235+'DOE25'!G278+'DOE25'!G297+'DOE25'!G316</f>
        <v>357515.19999999995</v>
      </c>
    </row>
    <row r="19" spans="1:3" x14ac:dyDescent="0.2">
      <c r="A19" t="s">
        <v>775</v>
      </c>
      <c r="B19" s="239">
        <v>446010.08</v>
      </c>
      <c r="C19" s="239">
        <v>293918.09000000003</v>
      </c>
    </row>
    <row r="20" spans="1:3" x14ac:dyDescent="0.2">
      <c r="A20" t="s">
        <v>776</v>
      </c>
      <c r="B20" s="239">
        <v>287779.52</v>
      </c>
      <c r="C20" s="239">
        <v>55233.05</v>
      </c>
    </row>
    <row r="21" spans="1:3" x14ac:dyDescent="0.2">
      <c r="A21" t="s">
        <v>777</v>
      </c>
      <c r="B21" s="239">
        <v>24340.3</v>
      </c>
      <c r="C21" s="239">
        <v>8364.06</v>
      </c>
    </row>
    <row r="22" spans="1:3" x14ac:dyDescent="0.2">
      <c r="A22" t="str">
        <f>IF(B18=B22,IF(C18=C22,"Check Total OK","Check Total Error"),"Check Total Error")</f>
        <v>Check Total OK</v>
      </c>
      <c r="B22" s="230">
        <f>SUM(B19:B21)</f>
        <v>758129.90000000014</v>
      </c>
      <c r="C22" s="230">
        <f>SUM(C19:C21)</f>
        <v>357515.2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346126.03</v>
      </c>
      <c r="C36" s="234">
        <f>'DOE25'!G201+'DOE25'!G219+'DOE25'!G237+'DOE25'!G280+'DOE25'!G299+'DOE25'!G318</f>
        <v>91316.2</v>
      </c>
    </row>
    <row r="37" spans="1:3" x14ac:dyDescent="0.2">
      <c r="A37" t="s">
        <v>775</v>
      </c>
      <c r="B37" s="239">
        <v>326199.39</v>
      </c>
      <c r="C37" s="239">
        <v>89007.42</v>
      </c>
    </row>
    <row r="38" spans="1:3" x14ac:dyDescent="0.2">
      <c r="A38" t="s">
        <v>776</v>
      </c>
      <c r="B38" s="239"/>
      <c r="C38" s="239"/>
    </row>
    <row r="39" spans="1:3" x14ac:dyDescent="0.2">
      <c r="A39" t="s">
        <v>777</v>
      </c>
      <c r="B39" s="239">
        <v>19926.64</v>
      </c>
      <c r="C39" s="239">
        <v>2308.7800000000002</v>
      </c>
    </row>
    <row r="40" spans="1:3" x14ac:dyDescent="0.2">
      <c r="A40" t="str">
        <f>IF(B36=B40,IF(C36=C40,"Check Total OK","Check Total Error"),"Check Total Error")</f>
        <v>Check Total OK</v>
      </c>
      <c r="B40" s="230">
        <f>SUM(B37:B39)</f>
        <v>346126.03</v>
      </c>
      <c r="C40" s="230">
        <f>SUM(C37:C39)</f>
        <v>91316.2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John Stark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7752768.2100000009</v>
      </c>
      <c r="D5" s="20">
        <f>SUM('DOE25'!L198:L201)+SUM('DOE25'!L216:L219)+SUM('DOE25'!L234:L237)-F5-G5-H5</f>
        <v>7278431.7600000007</v>
      </c>
      <c r="E5" s="242"/>
      <c r="F5" s="243">
        <f>325000</f>
        <v>325000</v>
      </c>
      <c r="G5" s="53">
        <f>SUM('DOE25'!J198:J201)+SUM('DOE25'!J216:J219)+SUM('DOE25'!J234:J237)</f>
        <v>90689.919999999998</v>
      </c>
      <c r="H5" s="53">
        <f>SUM('DOE25'!K198:K201)+SUM('DOE25'!K216:K219)+SUM('DOE25'!K234:K237)</f>
        <v>58646.53</v>
      </c>
      <c r="I5" s="255"/>
    </row>
    <row r="6" spans="1:9" x14ac:dyDescent="0.2">
      <c r="A6" s="32">
        <v>2100</v>
      </c>
      <c r="B6" t="s">
        <v>796</v>
      </c>
      <c r="C6" s="274">
        <f t="shared" si="0"/>
        <v>1048001.97</v>
      </c>
      <c r="D6" s="20">
        <f>'DOE25'!L203+'DOE25'!L221+'DOE25'!L239-F6-G6-H6</f>
        <v>990848.19</v>
      </c>
      <c r="E6" s="242"/>
      <c r="F6" s="243">
        <f>(82153.78-25000)</f>
        <v>57153.78</v>
      </c>
      <c r="G6" s="53">
        <f>'DOE25'!J203+'DOE25'!J221+'DOE25'!J239</f>
        <v>0</v>
      </c>
      <c r="H6" s="53">
        <f>'DOE25'!K203+'DOE25'!K221+'DOE25'!K239</f>
        <v>0</v>
      </c>
      <c r="I6" s="255"/>
    </row>
    <row r="7" spans="1:9" x14ac:dyDescent="0.2">
      <c r="A7" s="32">
        <v>2200</v>
      </c>
      <c r="B7" t="s">
        <v>821</v>
      </c>
      <c r="C7" s="274">
        <f t="shared" si="0"/>
        <v>642446.66</v>
      </c>
      <c r="D7" s="20">
        <f>'DOE25'!L204+'DOE25'!L222+'DOE25'!L240-F7-G7-H7</f>
        <v>397529.44000000006</v>
      </c>
      <c r="E7" s="242"/>
      <c r="F7" s="243"/>
      <c r="G7" s="53">
        <f>'DOE25'!J204+'DOE25'!J222+'DOE25'!J240</f>
        <v>151421.84</v>
      </c>
      <c r="H7" s="53">
        <f>'DOE25'!K204+'DOE25'!K222+'DOE25'!K240</f>
        <v>93495.38</v>
      </c>
      <c r="I7" s="255"/>
    </row>
    <row r="8" spans="1:9" x14ac:dyDescent="0.2">
      <c r="A8" s="32">
        <v>2300</v>
      </c>
      <c r="B8" t="s">
        <v>797</v>
      </c>
      <c r="C8" s="274">
        <f t="shared" si="0"/>
        <v>8774.24</v>
      </c>
      <c r="D8" s="242"/>
      <c r="E8" s="20">
        <f>'DOE25'!L205+'DOE25'!L223+'DOE25'!L241-F8-G8-H8-D9-D11</f>
        <v>0</v>
      </c>
      <c r="F8" s="243"/>
      <c r="G8" s="53">
        <f>'DOE25'!J205+'DOE25'!J223+'DOE25'!J241</f>
        <v>0</v>
      </c>
      <c r="H8" s="53">
        <f>'DOE25'!K205+'DOE25'!K223+'DOE25'!K241</f>
        <v>8774.24</v>
      </c>
      <c r="I8" s="255"/>
    </row>
    <row r="9" spans="1:9" ht="14.25" x14ac:dyDescent="0.2">
      <c r="A9" s="32">
        <v>2310</v>
      </c>
      <c r="B9" s="184" t="s">
        <v>888</v>
      </c>
      <c r="C9" s="274">
        <f t="shared" si="0"/>
        <v>118628.79</v>
      </c>
      <c r="D9" s="243">
        <v>118628.79</v>
      </c>
      <c r="E9" s="242"/>
      <c r="F9" s="252"/>
      <c r="G9" s="252"/>
      <c r="H9" s="252"/>
      <c r="I9" s="255"/>
    </row>
    <row r="10" spans="1:9" ht="14.25" x14ac:dyDescent="0.2">
      <c r="A10" s="32">
        <v>2317</v>
      </c>
      <c r="B10" s="184" t="s">
        <v>889</v>
      </c>
      <c r="C10" s="274">
        <f t="shared" si="0"/>
        <v>16000</v>
      </c>
      <c r="D10" s="242"/>
      <c r="E10" s="243">
        <v>16000</v>
      </c>
      <c r="F10" s="252"/>
      <c r="G10" s="252"/>
      <c r="H10" s="252"/>
      <c r="I10" s="255"/>
    </row>
    <row r="11" spans="1:9" ht="14.25" x14ac:dyDescent="0.2">
      <c r="A11" s="32">
        <v>2321</v>
      </c>
      <c r="B11" s="184" t="s">
        <v>890</v>
      </c>
      <c r="C11" s="274">
        <f t="shared" si="0"/>
        <v>456962.37</v>
      </c>
      <c r="D11" s="243">
        <v>456962.37</v>
      </c>
      <c r="E11" s="242"/>
      <c r="F11" s="252"/>
      <c r="G11" s="252"/>
      <c r="H11" s="252"/>
      <c r="I11" s="255"/>
    </row>
    <row r="12" spans="1:9" x14ac:dyDescent="0.2">
      <c r="A12" s="32">
        <v>2400</v>
      </c>
      <c r="B12" t="s">
        <v>711</v>
      </c>
      <c r="C12" s="274">
        <f t="shared" si="0"/>
        <v>822724.21</v>
      </c>
      <c r="D12" s="20">
        <f>'DOE25'!L206+'DOE25'!L224+'DOE25'!L242-F12-G12-H12</f>
        <v>802979.1</v>
      </c>
      <c r="E12" s="242"/>
      <c r="F12" s="243"/>
      <c r="G12" s="53">
        <f>'DOE25'!J206+'DOE25'!J224+'DOE25'!J242</f>
        <v>0</v>
      </c>
      <c r="H12" s="53">
        <f>'DOE25'!K206+'DOE25'!K224+'DOE25'!K242</f>
        <v>19745.11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1466780.21</v>
      </c>
      <c r="D14" s="20">
        <f>'DOE25'!L208+'DOE25'!L226+'DOE25'!L244-F14-G14-H14</f>
        <v>1432292.24</v>
      </c>
      <c r="E14" s="242"/>
      <c r="F14" s="243">
        <f>2297.27</f>
        <v>2297.27</v>
      </c>
      <c r="G14" s="53">
        <f>'DOE25'!J208+'DOE25'!J226+'DOE25'!J244</f>
        <v>32190.7</v>
      </c>
      <c r="H14" s="53">
        <f>'DOE25'!K208+'DOE25'!K226+'DOE25'!K244</f>
        <v>0</v>
      </c>
      <c r="I14" s="255"/>
    </row>
    <row r="15" spans="1:9" x14ac:dyDescent="0.2">
      <c r="A15" s="32">
        <v>2700</v>
      </c>
      <c r="B15" t="s">
        <v>799</v>
      </c>
      <c r="C15" s="274">
        <f t="shared" si="0"/>
        <v>528062.94999999995</v>
      </c>
      <c r="D15" s="20">
        <f>'DOE25'!L209+'DOE25'!L227+'DOE25'!L245-F15-G15-H15</f>
        <v>106800.51999999996</v>
      </c>
      <c r="E15" s="242"/>
      <c r="F15" s="243">
        <f>(156384.59-25000)+163074.03+(40555-25000)+53614.82+57633.99</f>
        <v>421262.43</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104171.94</v>
      </c>
      <c r="D25" s="242"/>
      <c r="E25" s="242"/>
      <c r="F25" s="254"/>
      <c r="G25" s="252"/>
      <c r="H25" s="252"/>
      <c r="I25" s="253">
        <f>'DOE25'!L261+'DOE25'!L262+'DOE25'!L342+'DOE25'!L343</f>
        <v>104171.94</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197464.76999999996</v>
      </c>
      <c r="D29" s="282">
        <f>'DOE25'!L359+'DOE25'!L360+'DOE25'!L361-'DOE25'!I368-F29-G29-H29</f>
        <v>195213.40999999997</v>
      </c>
      <c r="E29" s="242"/>
      <c r="F29" s="243"/>
      <c r="G29" s="53">
        <f>'DOE25'!J359+'DOE25'!J360+'DOE25'!J361</f>
        <v>29.36</v>
      </c>
      <c r="H29" s="53">
        <f>'DOE25'!K359+'DOE25'!K360+'DOE25'!K361</f>
        <v>2222</v>
      </c>
      <c r="I29" s="255"/>
    </row>
    <row r="30" spans="1:9" x14ac:dyDescent="0.2">
      <c r="A30" s="32"/>
      <c r="C30" s="275"/>
      <c r="D30" s="20"/>
      <c r="E30" s="279"/>
      <c r="F30" s="269"/>
      <c r="G30" s="53"/>
      <c r="H30" s="53"/>
      <c r="I30" s="255"/>
    </row>
    <row r="31" spans="1:9" x14ac:dyDescent="0.2">
      <c r="A31" s="32" t="s">
        <v>818</v>
      </c>
      <c r="B31" t="s">
        <v>817</v>
      </c>
      <c r="C31" s="274">
        <f>SUM(D31:I31)</f>
        <v>271128.60000000003</v>
      </c>
      <c r="D31" s="20">
        <f>'DOE25'!L291+'DOE25'!L310+'DOE25'!L329+'DOE25'!L334+'DOE25'!L335+'DOE25'!L336-F31-G31-H31</f>
        <v>236934.65000000002</v>
      </c>
      <c r="E31" s="242"/>
      <c r="F31" s="243"/>
      <c r="G31" s="53">
        <f>'DOE25'!J291+'DOE25'!J310+'DOE25'!J329+'DOE25'!J334+'DOE25'!J335+'DOE25'!J336</f>
        <v>1807</v>
      </c>
      <c r="H31" s="53">
        <f>'DOE25'!K291+'DOE25'!K310+'DOE25'!K329+'DOE25'!K334+'DOE25'!K335+'DOE25'!K336</f>
        <v>32386.95</v>
      </c>
      <c r="I31" s="255"/>
    </row>
    <row r="32" spans="1:9" ht="12" thickBot="1" x14ac:dyDescent="0.25">
      <c r="C32" s="275"/>
      <c r="G32" s="250"/>
      <c r="H32" s="250"/>
      <c r="I32" s="257"/>
    </row>
    <row r="33" spans="1:9" ht="12" thickTop="1" x14ac:dyDescent="0.2">
      <c r="B33" t="s">
        <v>809</v>
      </c>
      <c r="D33" s="244">
        <f t="shared" ref="D33:I33" si="1">SUM(D5:D31)</f>
        <v>12016620.469999999</v>
      </c>
      <c r="E33" s="244">
        <f t="shared" si="1"/>
        <v>16000</v>
      </c>
      <c r="F33" s="244">
        <f t="shared" si="1"/>
        <v>805713.48</v>
      </c>
      <c r="G33" s="244">
        <f t="shared" si="1"/>
        <v>276138.82</v>
      </c>
      <c r="H33" s="244">
        <f t="shared" si="1"/>
        <v>215270.21000000002</v>
      </c>
      <c r="I33" s="244">
        <f t="shared" si="1"/>
        <v>104171.94</v>
      </c>
    </row>
    <row r="35" spans="1:9" ht="12" thickBot="1" x14ac:dyDescent="0.25">
      <c r="B35" s="250" t="s">
        <v>831</v>
      </c>
      <c r="D35" s="251">
        <f>E33</f>
        <v>16000</v>
      </c>
      <c r="E35" s="247"/>
      <c r="F35" s="328" t="s">
        <v>1617</v>
      </c>
      <c r="G35" s="329"/>
      <c r="H35" s="329"/>
      <c r="I35" s="329"/>
    </row>
    <row r="36" spans="1:9" ht="12" thickTop="1" x14ac:dyDescent="0.2">
      <c r="B36" t="s">
        <v>810</v>
      </c>
      <c r="D36" s="20">
        <f>D33</f>
        <v>12016620.469999999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9" sqref="I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John Stark Regional</v>
      </c>
      <c r="B2" s="126">
        <f>'DOE25'!B2</f>
        <v>275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0</v>
      </c>
      <c r="G4" s="299">
        <f>'DOE25'!L212+'DOE25'!L291</f>
        <v>0</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0</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13116278.210000003</v>
      </c>
      <c r="G36" s="299">
        <f>'DOE25'!L248+'DOE25'!L329</f>
        <v>13116278.210000003</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John Stark Regional High School</v>
      </c>
      <c r="B38" s="300">
        <f>IFERROR(VLOOKUP(A38,'School Tables'!$Y$4:$Z$100,2,FALSE),"")</f>
        <v>26380</v>
      </c>
      <c r="C38" s="293" t="str">
        <f>IFERROR(INDEX('School Tables'!$X$4:$X$100,MATCH('School Level Expenditures'!A38,'School Tables'!$Y$4:$Y$100,0)),"")</f>
        <v>John Stark Regional</v>
      </c>
      <c r="D38" s="290">
        <v>12845149.610000003</v>
      </c>
      <c r="E38" s="290">
        <v>271128.59999999998</v>
      </c>
      <c r="F38" s="303">
        <f t="shared" si="2"/>
        <v>13116278.210000003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12845149.610000003</v>
      </c>
      <c r="E43" s="339">
        <f>SUM(E37:E42)</f>
        <v>271128.59999999998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I64" sqref="I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John Stark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1567413.6</v>
      </c>
      <c r="D8" s="95">
        <f>'DOE25'!G9</f>
        <v>3870.3</v>
      </c>
      <c r="E8" s="95">
        <f>'DOE25'!H9</f>
        <v>-16758.64</v>
      </c>
      <c r="F8" s="95">
        <f>'DOE25'!I9</f>
        <v>0</v>
      </c>
      <c r="G8" s="95">
        <f>'DOE25'!J9</f>
        <v>669657.46</v>
      </c>
      <c r="H8" s="124">
        <f>SUM(C8:G8)</f>
        <v>2224182.7200000002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6132.67</v>
      </c>
      <c r="D12" s="95">
        <f>'DOE25'!G13</f>
        <v>122502.97</v>
      </c>
      <c r="E12" s="95">
        <f>'DOE25'!H13</f>
        <v>133679.21</v>
      </c>
      <c r="F12" s="95">
        <f>'DOE25'!I13</f>
        <v>0</v>
      </c>
      <c r="G12" s="95">
        <f>'DOE25'!J13</f>
        <v>0</v>
      </c>
      <c r="H12" s="124">
        <f t="shared" si="0"/>
        <v>262314.84999999998</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1573546.27</v>
      </c>
      <c r="D18" s="41">
        <f>SUM(D8:D17)</f>
        <v>126373.27</v>
      </c>
      <c r="E18" s="41">
        <f>SUM(E8:E17)</f>
        <v>116920.56999999999</v>
      </c>
      <c r="F18" s="41">
        <f>SUM(F8:F17)</f>
        <v>0</v>
      </c>
      <c r="G18" s="41">
        <f>SUM(G8:G17)</f>
        <v>669657.46</v>
      </c>
      <c r="H18" s="41">
        <f t="shared" si="0"/>
        <v>2486497.5700000003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-124567.86</v>
      </c>
      <c r="D21" s="95">
        <f>'DOE25'!G22</f>
        <v>23061.29</v>
      </c>
      <c r="E21" s="95">
        <f>'DOE25'!H22</f>
        <v>101506.57</v>
      </c>
      <c r="F21" s="95">
        <f>'DOE25'!I22</f>
        <v>0</v>
      </c>
      <c r="G21" s="95">
        <f>'DOE25'!J22</f>
        <v>0</v>
      </c>
      <c r="H21" s="124">
        <f t="shared" ref="H21:H31" si="1">SUM(C21:G21)</f>
        <v>0</v>
      </c>
      <c r="I21" s="124"/>
    </row>
    <row r="22" spans="1:9" x14ac:dyDescent="0.2">
      <c r="A22" s="1" t="s">
        <v>151</v>
      </c>
      <c r="B22" s="6">
        <v>410</v>
      </c>
      <c r="C22" s="95">
        <f>'DOE25'!F23</f>
        <v>35069.730000000003</v>
      </c>
      <c r="D22" s="95">
        <f>'DOE25'!G23</f>
        <v>0</v>
      </c>
      <c r="E22" s="95">
        <f>'DOE25'!H23</f>
        <v>13710.13</v>
      </c>
      <c r="F22" s="95">
        <f>'DOE25'!I23</f>
        <v>0</v>
      </c>
      <c r="G22" s="95">
        <f>'DOE25'!J23</f>
        <v>0</v>
      </c>
      <c r="H22" s="124">
        <f t="shared" si="1"/>
        <v>48779.86</v>
      </c>
      <c r="I22" s="124"/>
    </row>
    <row r="23" spans="1:9" x14ac:dyDescent="0.2">
      <c r="A23" s="1" t="s">
        <v>152</v>
      </c>
      <c r="B23" s="6">
        <v>420</v>
      </c>
      <c r="C23" s="95">
        <f>'DOE25'!F24</f>
        <v>26970.98</v>
      </c>
      <c r="D23" s="95">
        <f>'DOE25'!G24</f>
        <v>0</v>
      </c>
      <c r="E23" s="95">
        <f>'DOE25'!H24</f>
        <v>0</v>
      </c>
      <c r="F23" s="95">
        <f>'DOE25'!I24</f>
        <v>0</v>
      </c>
      <c r="G23" s="95">
        <f>'DOE25'!J24</f>
        <v>0</v>
      </c>
      <c r="H23" s="124">
        <f t="shared" si="1"/>
        <v>26970.98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44339.94</v>
      </c>
      <c r="D27" s="95">
        <f>'DOE25'!G28</f>
        <v>0</v>
      </c>
      <c r="E27" s="95">
        <f>'DOE25'!H28</f>
        <v>0</v>
      </c>
      <c r="F27" s="95">
        <f>'DOE25'!I28</f>
        <v>0</v>
      </c>
      <c r="G27" s="24" t="s">
        <v>288</v>
      </c>
      <c r="H27" s="124">
        <f t="shared" si="1"/>
        <v>44339.94</v>
      </c>
      <c r="I27" s="124"/>
    </row>
    <row r="28" spans="1:9" x14ac:dyDescent="0.2">
      <c r="A28" s="1" t="s">
        <v>157</v>
      </c>
      <c r="B28" s="6">
        <v>470</v>
      </c>
      <c r="C28" s="95">
        <f>'DOE25'!F29</f>
        <v>18425.25</v>
      </c>
      <c r="D28" s="95">
        <f>'DOE25'!G29</f>
        <v>0</v>
      </c>
      <c r="E28" s="95">
        <f>'DOE25'!H29</f>
        <v>0</v>
      </c>
      <c r="F28" s="95">
        <f>'DOE25'!I29</f>
        <v>0</v>
      </c>
      <c r="G28" s="24" t="s">
        <v>288</v>
      </c>
      <c r="H28" s="124">
        <f t="shared" si="1"/>
        <v>18425.25</v>
      </c>
      <c r="I28" s="124"/>
    </row>
    <row r="29" spans="1:9" x14ac:dyDescent="0.2">
      <c r="A29" s="1" t="s">
        <v>158</v>
      </c>
      <c r="B29" s="6">
        <v>480</v>
      </c>
      <c r="C29" s="95">
        <f>'DOE25'!F30</f>
        <v>0</v>
      </c>
      <c r="D29" s="95">
        <f>'DOE25'!G30</f>
        <v>16583.59</v>
      </c>
      <c r="E29" s="95">
        <f>'DOE25'!H30</f>
        <v>1442.82</v>
      </c>
      <c r="F29" s="95">
        <f>'DOE25'!I30</f>
        <v>0</v>
      </c>
      <c r="G29" s="24" t="s">
        <v>288</v>
      </c>
      <c r="H29" s="124">
        <f t="shared" si="1"/>
        <v>18026.41</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238.0399999999936</v>
      </c>
      <c r="D31" s="41">
        <f>SUM(D21:D30)</f>
        <v>39644.880000000005</v>
      </c>
      <c r="E31" s="41">
        <f>SUM(E21:E30)</f>
        <v>116659.52000000002</v>
      </c>
      <c r="F31" s="41">
        <f>SUM(F21:F30)</f>
        <v>0</v>
      </c>
      <c r="G31" s="41">
        <f>SUM(G21:G30)</f>
        <v>0</v>
      </c>
      <c r="H31" s="41">
        <f t="shared" si="1"/>
        <v>156542.44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350000</v>
      </c>
      <c r="D45" s="24" t="s">
        <v>288</v>
      </c>
      <c r="E45" s="24" t="s">
        <v>288</v>
      </c>
      <c r="F45" s="24" t="s">
        <v>288</v>
      </c>
      <c r="G45" s="24" t="s">
        <v>288</v>
      </c>
      <c r="H45" s="124">
        <f t="shared" si="2"/>
        <v>350000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86728.39</v>
      </c>
      <c r="E47" s="95">
        <f>'DOE25'!H48</f>
        <v>261.05</v>
      </c>
      <c r="F47" s="95">
        <f>'DOE25'!I48</f>
        <v>0</v>
      </c>
      <c r="G47" s="95">
        <f>'DOE25'!J48</f>
        <v>669657.46</v>
      </c>
      <c r="H47" s="124">
        <f t="shared" si="2"/>
        <v>756646.89999999991</v>
      </c>
      <c r="I47" s="124"/>
    </row>
    <row r="48" spans="1:9" x14ac:dyDescent="0.2">
      <c r="A48" s="1" t="s">
        <v>882</v>
      </c>
      <c r="B48" s="6">
        <v>753</v>
      </c>
      <c r="C48" s="95">
        <f>'DOE25'!F49</f>
        <v>393022.73</v>
      </c>
      <c r="D48" s="95">
        <f>'DOE25'!G49</f>
        <v>0</v>
      </c>
      <c r="E48" s="95">
        <f>'DOE25'!H49</f>
        <v>0</v>
      </c>
      <c r="F48" s="95">
        <f>'DOE25'!I49</f>
        <v>0</v>
      </c>
      <c r="G48" s="95">
        <f>'DOE25'!J49</f>
        <v>0</v>
      </c>
      <c r="H48" s="124">
        <f t="shared" si="2"/>
        <v>393022.73</v>
      </c>
      <c r="I48" s="124"/>
    </row>
    <row r="49" spans="1:9" ht="12" thickBot="1" x14ac:dyDescent="0.25">
      <c r="A49" s="29" t="s">
        <v>883</v>
      </c>
      <c r="B49" s="71">
        <v>770</v>
      </c>
      <c r="C49" s="95">
        <f>'DOE25'!F50</f>
        <v>830285.5</v>
      </c>
      <c r="D49" s="24" t="s">
        <v>288</v>
      </c>
      <c r="E49" s="24" t="s">
        <v>288</v>
      </c>
      <c r="F49" s="24" t="s">
        <v>288</v>
      </c>
      <c r="G49" s="24" t="s">
        <v>288</v>
      </c>
      <c r="H49" s="124">
        <f t="shared" si="2"/>
        <v>830285.5</v>
      </c>
      <c r="I49" s="124"/>
    </row>
    <row r="50" spans="1:9" ht="12.75" thickTop="1" thickBot="1" x14ac:dyDescent="0.25">
      <c r="A50" s="38" t="s">
        <v>884</v>
      </c>
      <c r="B50" s="48"/>
      <c r="C50" s="41">
        <f>SUM(C34:C49)</f>
        <v>1573308.23</v>
      </c>
      <c r="D50" s="41">
        <f>SUM(D34:D49)</f>
        <v>86728.39</v>
      </c>
      <c r="E50" s="41">
        <f>SUM(E34:E49)</f>
        <v>261.05</v>
      </c>
      <c r="F50" s="41">
        <f>SUM(F34:F49)</f>
        <v>0</v>
      </c>
      <c r="G50" s="41">
        <f>SUM(G34:G49)</f>
        <v>669657.46</v>
      </c>
      <c r="H50" s="41">
        <f t="shared" si="2"/>
        <v>2329955.13</v>
      </c>
      <c r="I50" s="124"/>
    </row>
    <row r="51" spans="1:9" ht="12" thickTop="1" x14ac:dyDescent="0.2">
      <c r="A51" s="38" t="s">
        <v>885</v>
      </c>
      <c r="B51" s="2"/>
      <c r="C51" s="41">
        <f>C50+C31</f>
        <v>1573546.27</v>
      </c>
      <c r="D51" s="41">
        <f>D50+D31</f>
        <v>126373.27</v>
      </c>
      <c r="E51" s="41">
        <f>E50+E31</f>
        <v>116920.57000000002</v>
      </c>
      <c r="F51" s="41">
        <f>F50+F31</f>
        <v>0</v>
      </c>
      <c r="G51" s="41">
        <f>G50+G31</f>
        <v>669657.46</v>
      </c>
      <c r="H51" s="41">
        <f t="shared" si="2"/>
        <v>2486497.5700000003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9098029</v>
      </c>
      <c r="D56" s="95">
        <f>'DOE25'!G60</f>
        <v>0</v>
      </c>
      <c r="E56" s="95">
        <f>'DOE25'!H60</f>
        <v>0</v>
      </c>
      <c r="F56" s="95">
        <f>'DOE25'!I60</f>
        <v>0</v>
      </c>
      <c r="G56" s="95">
        <f>'DOE25'!J60</f>
        <v>0</v>
      </c>
      <c r="H56" s="124">
        <f t="shared" ref="H56:H63" si="3">SUM(C56:G56)</f>
        <v>9098029</v>
      </c>
      <c r="I56"/>
    </row>
    <row r="57" spans="1:9" x14ac:dyDescent="0.2">
      <c r="A57" s="1" t="s">
        <v>164</v>
      </c>
      <c r="B57" s="6" t="s">
        <v>165</v>
      </c>
      <c r="C57" s="95">
        <f>'DOE25'!F79</f>
        <v>5882.76</v>
      </c>
      <c r="D57" s="24" t="s">
        <v>288</v>
      </c>
      <c r="E57" s="95">
        <f>'DOE25'!H79</f>
        <v>0</v>
      </c>
      <c r="F57" s="24" t="s">
        <v>288</v>
      </c>
      <c r="G57" s="24" t="s">
        <v>288</v>
      </c>
      <c r="H57" s="124">
        <f t="shared" si="3"/>
        <v>5882.76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462.5</v>
      </c>
      <c r="D59" s="95">
        <f>'DOE25'!G96</f>
        <v>0</v>
      </c>
      <c r="E59" s="95">
        <f>'DOE25'!H96</f>
        <v>0</v>
      </c>
      <c r="F59" s="95">
        <f>'DOE25'!I96</f>
        <v>0</v>
      </c>
      <c r="G59" s="95">
        <f>'DOE25'!J96</f>
        <v>673.85</v>
      </c>
      <c r="H59" s="124">
        <f t="shared" si="3"/>
        <v>1136.3499999999999</v>
      </c>
      <c r="I59"/>
    </row>
    <row r="60" spans="1:9" x14ac:dyDescent="0.2">
      <c r="A60" s="1" t="s">
        <v>170</v>
      </c>
      <c r="B60" s="118" t="s">
        <v>171</v>
      </c>
      <c r="C60" s="24" t="s">
        <v>288</v>
      </c>
      <c r="D60" s="95">
        <f>'DOE25'!G97</f>
        <v>42296.42</v>
      </c>
      <c r="E60" s="24" t="s">
        <v>288</v>
      </c>
      <c r="F60" s="24" t="s">
        <v>288</v>
      </c>
      <c r="G60" s="24" t="s">
        <v>288</v>
      </c>
      <c r="H60" s="124">
        <f t="shared" si="3"/>
        <v>42296.42</v>
      </c>
      <c r="I60"/>
    </row>
    <row r="61" spans="1:9" ht="12" thickBot="1" x14ac:dyDescent="0.25">
      <c r="A61" s="1" t="s">
        <v>172</v>
      </c>
      <c r="B61" s="118" t="s">
        <v>173</v>
      </c>
      <c r="C61" s="95">
        <f>SUM('DOE25'!F98:F110)</f>
        <v>112745.06</v>
      </c>
      <c r="D61" s="95">
        <f>SUM('DOE25'!G98:G110)</f>
        <v>0</v>
      </c>
      <c r="E61" s="95">
        <f>SUM('DOE25'!H98:H110)</f>
        <v>341.48</v>
      </c>
      <c r="F61" s="95">
        <f>SUM('DOE25'!I98:I110)</f>
        <v>0</v>
      </c>
      <c r="G61" s="95">
        <f>SUM('DOE25'!J98:J110)</f>
        <v>0</v>
      </c>
      <c r="H61" s="124">
        <f t="shared" si="3"/>
        <v>113086.54</v>
      </c>
      <c r="I61"/>
    </row>
    <row r="62" spans="1:9" ht="12.75" thickTop="1" thickBot="1" x14ac:dyDescent="0.25">
      <c r="A62" s="29" t="s">
        <v>174</v>
      </c>
      <c r="B62" s="6"/>
      <c r="C62" s="130">
        <f>SUM(C57:C61)</f>
        <v>119090.31999999999</v>
      </c>
      <c r="D62" s="130">
        <f>SUM(D57:D61)</f>
        <v>42296.42</v>
      </c>
      <c r="E62" s="130">
        <f>SUM(E57:E61)</f>
        <v>341.48</v>
      </c>
      <c r="F62" s="130">
        <f>SUM(F57:F61)</f>
        <v>0</v>
      </c>
      <c r="G62" s="130">
        <f>SUM(G57:G61)</f>
        <v>673.85</v>
      </c>
      <c r="H62" s="124">
        <f t="shared" si="3"/>
        <v>162402.07</v>
      </c>
      <c r="I62"/>
    </row>
    <row r="63" spans="1:9" ht="12" thickTop="1" x14ac:dyDescent="0.2">
      <c r="A63" s="29" t="s">
        <v>175</v>
      </c>
      <c r="B63" s="6"/>
      <c r="C63" s="22">
        <f>C56+C62</f>
        <v>9217119.3200000003</v>
      </c>
      <c r="D63" s="22">
        <f>D56+D62</f>
        <v>42296.42</v>
      </c>
      <c r="E63" s="22">
        <f>E56+E62</f>
        <v>341.48</v>
      </c>
      <c r="F63" s="22">
        <f>F56+F62</f>
        <v>0</v>
      </c>
      <c r="G63" s="22">
        <f>G56+G62</f>
        <v>673.85</v>
      </c>
      <c r="H63" s="124">
        <f t="shared" si="3"/>
        <v>9260431.0700000003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3108541.29</v>
      </c>
      <c r="D66" s="24" t="s">
        <v>288</v>
      </c>
      <c r="E66" s="24" t="s">
        <v>288</v>
      </c>
      <c r="F66" s="24" t="s">
        <v>288</v>
      </c>
      <c r="G66" s="24" t="s">
        <v>288</v>
      </c>
      <c r="H66" s="124">
        <f t="shared" ref="H66:H81" si="4">SUM(C66:G66)</f>
        <v>3108541.29</v>
      </c>
      <c r="I66"/>
    </row>
    <row r="67" spans="1:9" x14ac:dyDescent="0.2">
      <c r="A67" s="1" t="s">
        <v>770</v>
      </c>
      <c r="B67" s="6">
        <v>3112</v>
      </c>
      <c r="C67" s="95">
        <f>'DOE25'!F118</f>
        <v>880872</v>
      </c>
      <c r="D67" s="24"/>
      <c r="E67" s="24"/>
      <c r="F67" s="24"/>
      <c r="G67" s="24"/>
      <c r="H67" s="124">
        <f t="shared" si="4"/>
        <v>880872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3989413.29</v>
      </c>
      <c r="D70" s="139">
        <f>D69</f>
        <v>0</v>
      </c>
      <c r="E70" s="139">
        <f>E69</f>
        <v>0</v>
      </c>
      <c r="F70" s="139">
        <f>F69</f>
        <v>0</v>
      </c>
      <c r="G70" s="139">
        <f>G69</f>
        <v>0</v>
      </c>
      <c r="H70" s="124">
        <f t="shared" si="4"/>
        <v>3989413.29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112952.9</v>
      </c>
      <c r="D75" s="24" t="s">
        <v>288</v>
      </c>
      <c r="E75" s="24" t="s">
        <v>288</v>
      </c>
      <c r="F75" s="24" t="s">
        <v>288</v>
      </c>
      <c r="G75" s="24" t="s">
        <v>288</v>
      </c>
      <c r="H75" s="124">
        <f t="shared" si="4"/>
        <v>112952.9</v>
      </c>
      <c r="I75"/>
    </row>
    <row r="76" spans="1:9" x14ac:dyDescent="0.2">
      <c r="A76" s="1" t="s">
        <v>257</v>
      </c>
      <c r="B76" s="6" t="s">
        <v>179</v>
      </c>
      <c r="C76" s="95">
        <f>SUM('DOE25'!F127:F130)</f>
        <v>15961.9</v>
      </c>
      <c r="D76" s="24" t="s">
        <v>288</v>
      </c>
      <c r="E76" s="95">
        <f>SUM('DOE25'!H127:H130)</f>
        <v>4450</v>
      </c>
      <c r="F76" s="95">
        <f>SUM('DOE25'!I127:I130)</f>
        <v>0</v>
      </c>
      <c r="G76" s="24" t="s">
        <v>288</v>
      </c>
      <c r="H76" s="124">
        <f t="shared" si="4"/>
        <v>20411.900000000001</v>
      </c>
      <c r="I76"/>
    </row>
    <row r="77" spans="1:9" ht="12" thickBot="1" x14ac:dyDescent="0.25">
      <c r="A77" s="1" t="s">
        <v>258</v>
      </c>
      <c r="B77" s="6" t="s">
        <v>180</v>
      </c>
      <c r="C77" s="95">
        <f>SUM('DOE25'!F131:F135)</f>
        <v>0</v>
      </c>
      <c r="D77" s="95">
        <f>SUM('DOE25'!G131:G135)</f>
        <v>5136.05</v>
      </c>
      <c r="E77" s="95">
        <f>SUM('DOE25'!H131:H135)</f>
        <v>0</v>
      </c>
      <c r="F77" s="95">
        <f>SUM('DOE25'!I131:I135)</f>
        <v>0</v>
      </c>
      <c r="G77" s="95">
        <f>SUM('DOE25'!J131:J135)</f>
        <v>0</v>
      </c>
      <c r="H77" s="124">
        <f t="shared" si="4"/>
        <v>5136.05</v>
      </c>
      <c r="I77"/>
    </row>
    <row r="78" spans="1:9" ht="12.75" thickTop="1" thickBot="1" x14ac:dyDescent="0.25">
      <c r="A78" s="29" t="s">
        <v>259</v>
      </c>
      <c r="B78" s="6"/>
      <c r="C78" s="130">
        <f>SUM(C72:C77)</f>
        <v>128914.79999999999</v>
      </c>
      <c r="D78" s="130">
        <f>SUM(D72:D77)</f>
        <v>5136.05</v>
      </c>
      <c r="E78" s="130">
        <f>SUM(E72:E77)</f>
        <v>4450</v>
      </c>
      <c r="F78" s="130">
        <f>SUM(F72:F77)</f>
        <v>0</v>
      </c>
      <c r="G78" s="130">
        <f>SUM(G72:G77)</f>
        <v>0</v>
      </c>
      <c r="H78" s="124">
        <f t="shared" si="4"/>
        <v>138500.84999999998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4118328.09</v>
      </c>
      <c r="D81" s="130">
        <f>SUM(D79:D80)+D78+D70</f>
        <v>5136.05</v>
      </c>
      <c r="E81" s="130">
        <f>SUM(E79:E80)+E78+E70</f>
        <v>4450</v>
      </c>
      <c r="F81" s="130">
        <f>SUM(F79:F80)+F78+F70</f>
        <v>0</v>
      </c>
      <c r="G81" s="130">
        <f>SUM(G79:G80)+G78+G70</f>
        <v>0</v>
      </c>
      <c r="H81" s="130">
        <f t="shared" si="4"/>
        <v>4127914.1399999997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19278.330000000002</v>
      </c>
      <c r="F85" s="95">
        <f>'DOE25'!I147</f>
        <v>0</v>
      </c>
      <c r="G85" s="24" t="s">
        <v>288</v>
      </c>
      <c r="H85" s="124">
        <f t="shared" ref="H85:H104" si="5">SUM(C85:G85)</f>
        <v>19278.330000000002</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29154.639999999999</v>
      </c>
      <c r="D88" s="326">
        <f>SUM('DOE25'!G153:G162)</f>
        <v>418963.01</v>
      </c>
      <c r="E88" s="326">
        <f>SUM('DOE25'!H153:H162)</f>
        <v>251956.68000000002</v>
      </c>
      <c r="F88" s="326">
        <f>SUM('DOE25'!I153:I162)</f>
        <v>0</v>
      </c>
      <c r="G88" s="24" t="s">
        <v>288</v>
      </c>
      <c r="H88" s="124">
        <f t="shared" si="5"/>
        <v>700074.33000000007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29154.639999999999</v>
      </c>
      <c r="D91" s="131">
        <f>SUM(D85:D90)</f>
        <v>418963.01</v>
      </c>
      <c r="E91" s="131">
        <f>SUM(E85:E90)</f>
        <v>271235.01</v>
      </c>
      <c r="F91" s="131">
        <f>SUM(F85:F90)</f>
        <v>0</v>
      </c>
      <c r="G91" s="24" t="s">
        <v>288</v>
      </c>
      <c r="H91" s="124">
        <f t="shared" si="5"/>
        <v>719352.66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13364602.050000001</v>
      </c>
      <c r="D104" s="86">
        <f>D63+D81+D91+D103</f>
        <v>466395.48</v>
      </c>
      <c r="E104" s="86">
        <f>E63+E81+E91+E103</f>
        <v>276026.49</v>
      </c>
      <c r="F104" s="86">
        <f>F63+F81+F91+F103</f>
        <v>0</v>
      </c>
      <c r="G104" s="86">
        <f>G63+G81+G103</f>
        <v>673.85</v>
      </c>
      <c r="H104" s="86">
        <f t="shared" si="5"/>
        <v>14107697.870000001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5214699.28</v>
      </c>
      <c r="D109" s="24" t="s">
        <v>288</v>
      </c>
      <c r="E109" s="95">
        <f>('DOE25'!L277)+('DOE25'!L296)+('DOE25'!L315)</f>
        <v>131506.23000000001</v>
      </c>
      <c r="F109" s="24" t="s">
        <v>288</v>
      </c>
      <c r="G109" s="24" t="s">
        <v>288</v>
      </c>
      <c r="H109" s="124">
        <f t="shared" ref="H109:H115" si="6">SUM(C109:G109)</f>
        <v>5346205.5100000007</v>
      </c>
    </row>
    <row r="110" spans="1:8" x14ac:dyDescent="0.2">
      <c r="A110" t="s">
        <v>198</v>
      </c>
      <c r="B110" s="32" t="s">
        <v>199</v>
      </c>
      <c r="C110" s="95">
        <f>('DOE25'!L199)+('DOE25'!L217)+('DOE25'!L235)</f>
        <v>1904696.3200000001</v>
      </c>
      <c r="D110" s="24" t="s">
        <v>288</v>
      </c>
      <c r="E110" s="95">
        <f>('DOE25'!L278)+('DOE25'!L297)+('DOE25'!L316)</f>
        <v>81327.3</v>
      </c>
      <c r="F110" s="24" t="s">
        <v>288</v>
      </c>
      <c r="G110" s="24" t="s">
        <v>288</v>
      </c>
      <c r="H110" s="124">
        <f t="shared" si="6"/>
        <v>1986023.62</v>
      </c>
    </row>
    <row r="111" spans="1:8" x14ac:dyDescent="0.2">
      <c r="A111" t="s">
        <v>200</v>
      </c>
      <c r="B111" s="32" t="s">
        <v>165</v>
      </c>
      <c r="C111" s="95">
        <f>('DOE25'!L200)+('DOE25'!L218)+('DOE25'!L236)</f>
        <v>93649.01</v>
      </c>
      <c r="D111" s="24" t="s">
        <v>288</v>
      </c>
      <c r="E111" s="95">
        <f>('DOE25'!L279)+('DOE25'!L298)+('DOE25'!L317)</f>
        <v>0</v>
      </c>
      <c r="F111" s="24" t="s">
        <v>288</v>
      </c>
      <c r="G111" s="24" t="s">
        <v>288</v>
      </c>
      <c r="H111" s="124">
        <f t="shared" si="6"/>
        <v>93649.01</v>
      </c>
    </row>
    <row r="112" spans="1:8" x14ac:dyDescent="0.2">
      <c r="A112" t="s">
        <v>201</v>
      </c>
      <c r="B112" s="32" t="s">
        <v>167</v>
      </c>
      <c r="C112" s="95">
        <f>('DOE25'!L201)+('DOE25'!L219)+('DOE25'!L237)</f>
        <v>539723.60000000009</v>
      </c>
      <c r="D112" s="24" t="s">
        <v>288</v>
      </c>
      <c r="E112" s="95">
        <f>+('DOE25'!L280)+('DOE25'!L299)+('DOE25'!L318)</f>
        <v>4450</v>
      </c>
      <c r="F112" s="24" t="s">
        <v>288</v>
      </c>
      <c r="G112" s="24" t="s">
        <v>288</v>
      </c>
      <c r="H112" s="124">
        <f t="shared" si="6"/>
        <v>544173.60000000009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7752768.2100000009</v>
      </c>
      <c r="D115" s="86">
        <f>SUM(D109:D114)</f>
        <v>0</v>
      </c>
      <c r="E115" s="86">
        <f>SUM(E109:E114)</f>
        <v>217283.53000000003</v>
      </c>
      <c r="F115" s="86">
        <f>SUM(F109:F114)</f>
        <v>0</v>
      </c>
      <c r="G115" s="86">
        <f>SUM(G109:G114)</f>
        <v>0</v>
      </c>
      <c r="H115" s="86">
        <f t="shared" si="6"/>
        <v>7970051.7400000012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1048001.97</v>
      </c>
      <c r="D118" s="24" t="s">
        <v>288</v>
      </c>
      <c r="E118" s="95">
        <f>+('DOE25'!L282)+('DOE25'!L301)+('DOE25'!L320)</f>
        <v>0</v>
      </c>
      <c r="F118" s="24" t="s">
        <v>288</v>
      </c>
      <c r="G118" s="24" t="s">
        <v>288</v>
      </c>
      <c r="H118" s="124">
        <f t="shared" ref="H118:H145" si="7">SUM(C118:G118)</f>
        <v>1048001.97</v>
      </c>
    </row>
    <row r="119" spans="1:8" x14ac:dyDescent="0.2">
      <c r="A119" t="s">
        <v>208</v>
      </c>
      <c r="B119" s="32" t="s">
        <v>209</v>
      </c>
      <c r="C119" s="95">
        <f>('DOE25'!L204)+('DOE25'!L222)+('DOE25'!L240)</f>
        <v>642446.66</v>
      </c>
      <c r="D119" s="24" t="s">
        <v>288</v>
      </c>
      <c r="E119" s="95">
        <f>+('DOE25'!L283)+('DOE25'!L302)+('DOE25'!L321)</f>
        <v>37053.660000000003</v>
      </c>
      <c r="F119" s="24" t="s">
        <v>288</v>
      </c>
      <c r="G119" s="24" t="s">
        <v>288</v>
      </c>
      <c r="H119" s="124">
        <f t="shared" si="7"/>
        <v>679500.32000000007</v>
      </c>
    </row>
    <row r="120" spans="1:8" x14ac:dyDescent="0.2">
      <c r="A120" t="s">
        <v>210</v>
      </c>
      <c r="B120" s="32" t="s">
        <v>211</v>
      </c>
      <c r="C120" s="95">
        <f>('DOE25'!L205)+('DOE25'!L223)+('DOE25'!L241)</f>
        <v>584365.4</v>
      </c>
      <c r="D120" s="24" t="s">
        <v>288</v>
      </c>
      <c r="E120" s="95">
        <f>+('DOE25'!L284)+('DOE25'!L303)+('DOE25'!L322)</f>
        <v>5391.41</v>
      </c>
      <c r="F120" s="24" t="s">
        <v>288</v>
      </c>
      <c r="G120" s="24" t="s">
        <v>288</v>
      </c>
      <c r="H120" s="124">
        <f t="shared" si="7"/>
        <v>589756.81000000006</v>
      </c>
    </row>
    <row r="121" spans="1:8" x14ac:dyDescent="0.2">
      <c r="A121" t="s">
        <v>212</v>
      </c>
      <c r="B121" s="32" t="s">
        <v>213</v>
      </c>
      <c r="C121" s="95">
        <f>('DOE25'!L206)+('DOE25'!L224)+('DOE25'!L242)</f>
        <v>822724.21</v>
      </c>
      <c r="D121" s="24" t="s">
        <v>288</v>
      </c>
      <c r="E121" s="95">
        <f>+('DOE25'!L285)+('DOE25'!L304)+('DOE25'!L323)</f>
        <v>11400</v>
      </c>
      <c r="F121" s="24" t="s">
        <v>288</v>
      </c>
      <c r="G121" s="24" t="s">
        <v>288</v>
      </c>
      <c r="H121" s="124">
        <f t="shared" si="7"/>
        <v>834124.21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1466780.21</v>
      </c>
      <c r="D123" s="24" t="s">
        <v>288</v>
      </c>
      <c r="E123" s="95">
        <f>+('DOE25'!L287)+('DOE25'!L306)+('DOE25'!L325)</f>
        <v>0</v>
      </c>
      <c r="F123" s="24" t="s">
        <v>288</v>
      </c>
      <c r="G123" s="24" t="s">
        <v>288</v>
      </c>
      <c r="H123" s="124">
        <f t="shared" si="7"/>
        <v>1466780.21</v>
      </c>
    </row>
    <row r="124" spans="1:8" x14ac:dyDescent="0.2">
      <c r="A124" t="s">
        <v>218</v>
      </c>
      <c r="B124" s="32" t="s">
        <v>219</v>
      </c>
      <c r="C124" s="95">
        <f>('DOE25'!L209)+('DOE25'!L227)+('DOE25'!L245+'DOE25'!L255)</f>
        <v>528062.94999999995</v>
      </c>
      <c r="D124" s="24" t="s">
        <v>288</v>
      </c>
      <c r="E124" s="95">
        <f>+('DOE25'!L288)+('DOE25'!L307)+('DOE25'!L326)</f>
        <v>0</v>
      </c>
      <c r="F124" s="24" t="s">
        <v>288</v>
      </c>
      <c r="G124" s="24" t="s">
        <v>288</v>
      </c>
      <c r="H124" s="124">
        <f t="shared" si="7"/>
        <v>528062.94999999995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379667.08999999997</v>
      </c>
      <c r="E127" s="24" t="s">
        <v>288</v>
      </c>
      <c r="F127" s="24" t="s">
        <v>288</v>
      </c>
      <c r="G127" s="24" t="s">
        <v>288</v>
      </c>
      <c r="H127" s="124">
        <f t="shared" si="7"/>
        <v>379667.08999999997</v>
      </c>
    </row>
    <row r="128" spans="1:8" ht="12.75" thickTop="1" thickBot="1" x14ac:dyDescent="0.25">
      <c r="A128" s="33" t="s">
        <v>226</v>
      </c>
      <c r="C128" s="86">
        <f>SUM(C118:C127)</f>
        <v>5092381.3999999994</v>
      </c>
      <c r="D128" s="86">
        <f>SUM(D118:D127)</f>
        <v>379667.08999999997</v>
      </c>
      <c r="E128" s="86">
        <f>SUM(E118:E127)</f>
        <v>53845.070000000007</v>
      </c>
      <c r="F128" s="86">
        <f>SUM(F118:F127)</f>
        <v>0</v>
      </c>
      <c r="G128" s="86">
        <f>SUM(G118:G127)</f>
        <v>0</v>
      </c>
      <c r="H128" s="86">
        <f t="shared" si="7"/>
        <v>5525893.5599999996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75305.55</v>
      </c>
      <c r="D131" s="24" t="s">
        <v>288</v>
      </c>
      <c r="E131" s="129">
        <f>'DOE25'!L342</f>
        <v>0</v>
      </c>
      <c r="F131" s="24" t="s">
        <v>288</v>
      </c>
      <c r="G131" s="24" t="s">
        <v>288</v>
      </c>
      <c r="H131" s="124">
        <f t="shared" si="7"/>
        <v>75305.55</v>
      </c>
    </row>
    <row r="132" spans="1:8" x14ac:dyDescent="0.2">
      <c r="A132" t="s">
        <v>230</v>
      </c>
      <c r="B132" s="32">
        <v>5120</v>
      </c>
      <c r="C132" s="95">
        <f>'DOE25'!L262</f>
        <v>28866.39</v>
      </c>
      <c r="D132" s="24" t="s">
        <v>288</v>
      </c>
      <c r="E132" s="129">
        <f>'DOE25'!L343</f>
        <v>0</v>
      </c>
      <c r="F132" s="24" t="s">
        <v>288</v>
      </c>
      <c r="G132" s="24" t="s">
        <v>288</v>
      </c>
      <c r="H132" s="124">
        <f t="shared" si="7"/>
        <v>28866.39</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4897.8900000000003</v>
      </c>
      <c r="F134" s="95">
        <f>'DOE25'!K382</f>
        <v>0</v>
      </c>
      <c r="G134" s="95">
        <f>'DOE25'!K435</f>
        <v>0</v>
      </c>
      <c r="H134" s="124">
        <f t="shared" si="7"/>
        <v>4897.8900000000003</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469.06</v>
      </c>
      <c r="D138" s="24" t="s">
        <v>288</v>
      </c>
      <c r="E138" s="24" t="s">
        <v>288</v>
      </c>
      <c r="F138" s="24" t="s">
        <v>288</v>
      </c>
      <c r="G138" s="24" t="s">
        <v>288</v>
      </c>
      <c r="H138" s="124">
        <f t="shared" si="7"/>
        <v>469.06</v>
      </c>
    </row>
    <row r="139" spans="1:8" x14ac:dyDescent="0.2">
      <c r="A139" t="s">
        <v>239</v>
      </c>
      <c r="B139" s="32">
        <v>5252</v>
      </c>
      <c r="C139" s="95">
        <f>'DOE25'!L402</f>
        <v>204.79</v>
      </c>
      <c r="D139" s="24" t="s">
        <v>288</v>
      </c>
      <c r="E139" s="24" t="s">
        <v>288</v>
      </c>
      <c r="F139" s="24" t="s">
        <v>288</v>
      </c>
      <c r="G139" s="24" t="s">
        <v>288</v>
      </c>
      <c r="H139" s="124">
        <f t="shared" si="7"/>
        <v>204.79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-673.85</v>
      </c>
      <c r="D141" s="24" t="s">
        <v>288</v>
      </c>
      <c r="E141" s="24" t="s">
        <v>288</v>
      </c>
      <c r="F141" s="24" t="s">
        <v>288</v>
      </c>
      <c r="G141" s="24" t="s">
        <v>288</v>
      </c>
      <c r="H141" s="124">
        <f t="shared" si="7"/>
        <v>-673.85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104171.93999999999</v>
      </c>
      <c r="D144" s="141">
        <f>SUM(D130:D143)</f>
        <v>0</v>
      </c>
      <c r="E144" s="141">
        <f>SUM(E130:E143)</f>
        <v>4897.8900000000003</v>
      </c>
      <c r="F144" s="141">
        <f>SUM(F130:F143)</f>
        <v>0</v>
      </c>
      <c r="G144" s="141">
        <f>SUM(G130:G143)</f>
        <v>0</v>
      </c>
      <c r="H144" s="141">
        <f t="shared" si="7"/>
        <v>109069.82999999999</v>
      </c>
    </row>
    <row r="145" spans="1:9" ht="12.75" thickTop="1" thickBot="1" x14ac:dyDescent="0.25">
      <c r="A145" s="33" t="s">
        <v>244</v>
      </c>
      <c r="C145" s="86">
        <f>(C115+C128+C144)</f>
        <v>12949321.549999999</v>
      </c>
      <c r="D145" s="86">
        <f>(D115+D128+D144)</f>
        <v>379667.08999999997</v>
      </c>
      <c r="E145" s="86">
        <f>(E115+E128+E144)</f>
        <v>276026.49000000005</v>
      </c>
      <c r="F145" s="86">
        <f>(F115+F128+F144)</f>
        <v>0</v>
      </c>
      <c r="G145" s="86">
        <f>(G115+G128+G144)</f>
        <v>0</v>
      </c>
      <c r="H145" s="86">
        <f t="shared" si="7"/>
        <v>13605015.129999999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75305.55</v>
      </c>
      <c r="C156" s="137">
        <f>'DOE25'!G496</f>
        <v>0</v>
      </c>
      <c r="D156" s="137">
        <f>'DOE25'!H496</f>
        <v>0</v>
      </c>
      <c r="E156" s="137">
        <f>'DOE25'!I496</f>
        <v>0</v>
      </c>
      <c r="F156" s="137">
        <f>'DOE25'!J496</f>
        <v>0</v>
      </c>
      <c r="G156" s="138">
        <f>SUM(B156:F156)</f>
        <v>75305.55</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John Stark Regional</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21721</v>
      </c>
    </row>
    <row r="7" spans="1:4" x14ac:dyDescent="0.2">
      <c r="B7" t="s">
        <v>701</v>
      </c>
      <c r="C7" s="178">
        <f>IF('DOE25'!I666+'DOE25'!I671=0,0,ROUND('DOE25'!I673,0))</f>
        <v>21721</v>
      </c>
    </row>
    <row r="9" spans="1:4" x14ac:dyDescent="0.2">
      <c r="A9" s="186" t="s">
        <v>94</v>
      </c>
      <c r="B9" s="187" t="s">
        <v>1800</v>
      </c>
      <c r="C9" s="180" t="s">
        <v>720</v>
      </c>
      <c r="D9" s="180" t="s">
        <v>721</v>
      </c>
    </row>
    <row r="10" spans="1:4" x14ac:dyDescent="0.2">
      <c r="A10">
        <v>1100</v>
      </c>
      <c r="B10" t="s">
        <v>702</v>
      </c>
      <c r="C10" s="178">
        <f>ROUND('DOE25'!L198+'DOE25'!L216+'DOE25'!L234+'DOE25'!L277+'DOE25'!L296+'DOE25'!L315,0)</f>
        <v>5346206</v>
      </c>
      <c r="D10" s="181">
        <f>ROUND((C10/$C$28)*100,1)</f>
        <v>39.700000000000003</v>
      </c>
    </row>
    <row r="11" spans="1:4" x14ac:dyDescent="0.2">
      <c r="A11">
        <v>1200</v>
      </c>
      <c r="B11" t="s">
        <v>703</v>
      </c>
      <c r="C11" s="178">
        <f>ROUND('DOE25'!L199+'DOE25'!L217+'DOE25'!L235+'DOE25'!L278+'DOE25'!L297+'DOE25'!L316,0)</f>
        <v>1986024</v>
      </c>
      <c r="D11" s="181">
        <f>ROUND((C11/$C$28)*100,1)</f>
        <v>14.7</v>
      </c>
    </row>
    <row r="12" spans="1:4" x14ac:dyDescent="0.2">
      <c r="A12">
        <v>1300</v>
      </c>
      <c r="B12" t="s">
        <v>704</v>
      </c>
      <c r="C12" s="178">
        <f>ROUND('DOE25'!L200+'DOE25'!L218+'DOE25'!L236+'DOE25'!L279+'DOE25'!L298+'DOE25'!L317,0)</f>
        <v>93649</v>
      </c>
      <c r="D12" s="181">
        <f>ROUND((C12/$C$28)*100,1)</f>
        <v>0.7</v>
      </c>
    </row>
    <row r="13" spans="1:4" x14ac:dyDescent="0.2">
      <c r="A13">
        <v>1400</v>
      </c>
      <c r="B13" t="s">
        <v>705</v>
      </c>
      <c r="C13" s="178">
        <f>ROUND('DOE25'!L201+'DOE25'!L219+'DOE25'!L237+'DOE25'!L280+'DOE25'!L299+'DOE25'!L318,0)</f>
        <v>544174</v>
      </c>
      <c r="D13" s="181">
        <f>ROUND((C13/$C$28)*100,1)</f>
        <v>4</v>
      </c>
    </row>
    <row r="14" spans="1:4" x14ac:dyDescent="0.2">
      <c r="D14" s="181"/>
    </row>
    <row r="15" spans="1:4" x14ac:dyDescent="0.2">
      <c r="A15">
        <v>2100</v>
      </c>
      <c r="B15" t="s">
        <v>706</v>
      </c>
      <c r="C15" s="178">
        <f>ROUND('DOE25'!L203+'DOE25'!L221+'DOE25'!L239+'DOE25'!L282+'DOE25'!L301+'DOE25'!L320,0)</f>
        <v>1048002</v>
      </c>
      <c r="D15" s="181">
        <f t="shared" ref="D15:D27" si="0">ROUND((C15/$C$28)*100,1)</f>
        <v>7.8</v>
      </c>
    </row>
    <row r="16" spans="1:4" x14ac:dyDescent="0.2">
      <c r="A16">
        <v>2200</v>
      </c>
      <c r="B16" t="s">
        <v>707</v>
      </c>
      <c r="C16" s="178">
        <f>ROUND('DOE25'!L204+'DOE25'!L222+'DOE25'!L240+'DOE25'!L283+'DOE25'!L302+'DOE25'!L321,0)</f>
        <v>679500</v>
      </c>
      <c r="D16" s="181">
        <f t="shared" si="0"/>
        <v>5</v>
      </c>
    </row>
    <row r="17" spans="1:4" x14ac:dyDescent="0.2">
      <c r="A17" s="182" t="s">
        <v>723</v>
      </c>
      <c r="B17" t="s">
        <v>738</v>
      </c>
      <c r="C17" s="178">
        <f>ROUND('DOE25'!L205+'DOE25'!L210+'DOE25'!L223+'DOE25'!L228+'DOE25'!L241+'DOE25'!L246+'DOE25'!L284+'DOE25'!L289+'DOE25'!L303+'DOE25'!L308+'DOE25'!L322+'DOE25'!L327,0)</f>
        <v>589757</v>
      </c>
      <c r="D17" s="181">
        <f t="shared" si="0"/>
        <v>4.4000000000000004</v>
      </c>
    </row>
    <row r="18" spans="1:4" x14ac:dyDescent="0.2">
      <c r="A18">
        <v>2400</v>
      </c>
      <c r="B18" t="s">
        <v>711</v>
      </c>
      <c r="C18" s="178">
        <f>ROUND('DOE25'!L206+'DOE25'!L224+'DOE25'!L242+'DOE25'!L285+'DOE25'!L304+'DOE25'!L323,0)</f>
        <v>834124</v>
      </c>
      <c r="D18" s="181">
        <f t="shared" si="0"/>
        <v>6.2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1466780</v>
      </c>
      <c r="D20" s="181">
        <f t="shared" si="0"/>
        <v>10.9</v>
      </c>
    </row>
    <row r="21" spans="1:4" x14ac:dyDescent="0.2">
      <c r="A21">
        <v>2700</v>
      </c>
      <c r="B21" t="s">
        <v>710</v>
      </c>
      <c r="C21" s="178">
        <f>ROUND('DOE25'!L209+'DOE25'!L227+'DOE25'!L245+'DOE25'!L288+'DOE25'!L307+'DOE25'!L326,0)</f>
        <v>528063</v>
      </c>
      <c r="D21" s="181">
        <f t="shared" si="0"/>
        <v>3.9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28866</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337370.58</v>
      </c>
      <c r="D27" s="181">
        <f t="shared" si="0"/>
        <v>2.5</v>
      </c>
    </row>
    <row r="28" spans="1:4" x14ac:dyDescent="0.2">
      <c r="B28" s="186" t="s">
        <v>719</v>
      </c>
      <c r="C28" s="179">
        <f>SUM(C10:C27)</f>
        <v>13482515.58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13482515.58</v>
      </c>
    </row>
    <row r="31" spans="1:4" x14ac:dyDescent="0.2">
      <c r="B31" s="33"/>
      <c r="C31" s="179"/>
    </row>
    <row r="32" spans="1:4" x14ac:dyDescent="0.2">
      <c r="A32">
        <v>5100</v>
      </c>
      <c r="B32" s="33" t="s">
        <v>726</v>
      </c>
      <c r="C32" s="179">
        <f>ROUND('DOE25'!L261+'DOE25'!L342,0)</f>
        <v>75306</v>
      </c>
    </row>
    <row r="34" spans="1:4" x14ac:dyDescent="0.2">
      <c r="A34" s="186" t="s">
        <v>94</v>
      </c>
      <c r="B34" s="187" t="s">
        <v>1801</v>
      </c>
      <c r="C34" s="180" t="s">
        <v>720</v>
      </c>
      <c r="D34" s="180" t="s">
        <v>721</v>
      </c>
    </row>
    <row r="35" spans="1:4" x14ac:dyDescent="0.2">
      <c r="A35">
        <v>1100</v>
      </c>
      <c r="B35" s="184" t="s">
        <v>727</v>
      </c>
      <c r="C35" s="178">
        <f>ROUND('DOE25'!F60+'DOE25'!G60+'DOE25'!H60+'DOE25'!I60+'DOE25'!J60,0)</f>
        <v>9098029</v>
      </c>
      <c r="D35" s="181">
        <f t="shared" ref="D35:D40" si="1">ROUND((C35/$C$41)*100,1)</f>
        <v>64.7</v>
      </c>
    </row>
    <row r="36" spans="1:4" x14ac:dyDescent="0.2">
      <c r="B36" s="184" t="s">
        <v>739</v>
      </c>
      <c r="C36" s="178">
        <f>SUM('DOE25'!F112:J112)-SUM('DOE25'!G97:G110)+('DOE25'!F175+'DOE25'!F176+'DOE25'!I175+'DOE25'!I176)-C35</f>
        <v>120105.65000000037</v>
      </c>
      <c r="D36" s="181">
        <f t="shared" si="1"/>
        <v>0.9</v>
      </c>
    </row>
    <row r="37" spans="1:4" x14ac:dyDescent="0.2">
      <c r="A37" s="182" t="s">
        <v>835</v>
      </c>
      <c r="B37" s="184" t="s">
        <v>728</v>
      </c>
      <c r="C37" s="178">
        <f>ROUND('DOE25'!F117+'DOE25'!F118,0)</f>
        <v>3989413</v>
      </c>
      <c r="D37" s="181">
        <f t="shared" si="1"/>
        <v>28.4</v>
      </c>
    </row>
    <row r="38" spans="1:4" x14ac:dyDescent="0.2">
      <c r="A38" s="182" t="s">
        <v>734</v>
      </c>
      <c r="B38" s="184" t="s">
        <v>729</v>
      </c>
      <c r="C38" s="178">
        <f>ROUND(SUM('DOE25'!F140:J140)-SUM('DOE25'!F117:F119),0)</f>
        <v>138501</v>
      </c>
      <c r="D38" s="181">
        <f t="shared" si="1"/>
        <v>1</v>
      </c>
    </row>
    <row r="39" spans="1:4" x14ac:dyDescent="0.2">
      <c r="A39">
        <v>4000</v>
      </c>
      <c r="B39" s="184" t="s">
        <v>730</v>
      </c>
      <c r="C39" s="178">
        <f>ROUND('DOE25'!F170+'DOE25'!G170+'DOE25'!H170+'DOE25'!I170,0)</f>
        <v>719353</v>
      </c>
      <c r="D39" s="181">
        <f t="shared" si="1"/>
        <v>5.0999999999999996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14065401.65</v>
      </c>
      <c r="D41" s="183">
        <f>SUM(D35:D40)</f>
        <v>100.1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7" sqref="C27:M27"/>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John Stark Regional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1</v>
      </c>
      <c r="B4" s="218">
        <v>32</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f>IF('School Level Expenditures'!$B$2='School Tables'!W38,'School Tables'!AD38,"")</f>
        <v>35</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2022-09-07T20:40:12Z</cp:lastPrinted>
  <dcterms:created xsi:type="dcterms:W3CDTF">1997-12-04T19:04:30Z</dcterms:created>
  <dcterms:modified xsi:type="dcterms:W3CDTF">2022-12-19T16:04:47Z</dcterms:modified>
</cp:coreProperties>
</file>