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05EFE6F-C038-4506-8C35-528A4C4D5D2D}"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44" i="1" l="1"/>
  <c r="H543" i="1"/>
  <c r="H542" i="1"/>
  <c r="G534" i="1"/>
  <c r="G533" i="1"/>
  <c r="G532" i="1"/>
  <c r="F534" i="1"/>
  <c r="F533" i="1"/>
  <c r="F532" i="1"/>
  <c r="J528" i="1" l="1"/>
  <c r="I527" i="1"/>
  <c r="J527" i="1"/>
  <c r="I529" i="1"/>
  <c r="I528" i="1"/>
  <c r="H528" i="1"/>
  <c r="H527" i="1"/>
  <c r="F529" i="1"/>
  <c r="F527" i="1"/>
  <c r="J524" i="1"/>
  <c r="J523" i="1"/>
  <c r="J522" i="1"/>
  <c r="I524" i="1"/>
  <c r="I523" i="1"/>
  <c r="I522" i="1"/>
  <c r="H524" i="1"/>
  <c r="H523" i="1"/>
  <c r="H522" i="1"/>
  <c r="F524" i="1"/>
  <c r="F523" i="1"/>
  <c r="F522" i="1"/>
  <c r="B29" i="12" l="1"/>
  <c r="B21" i="12"/>
  <c r="B19" i="12"/>
  <c r="B12" i="12"/>
  <c r="H593"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4" i="2"/>
  <c r="C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H653" i="1"/>
  <c r="G654" i="1"/>
  <c r="H654" i="1"/>
  <c r="H655" i="1"/>
  <c r="H656" i="1"/>
  <c r="I170" i="1"/>
  <c r="H34" i="2" l="1"/>
  <c r="C120" i="2"/>
  <c r="H24" i="2"/>
  <c r="H125" i="2"/>
  <c r="H13" i="2"/>
  <c r="H28" i="2"/>
  <c r="H43" i="2"/>
  <c r="F409" i="1"/>
  <c r="H644" i="1" s="1"/>
  <c r="G646" i="1"/>
  <c r="H113" i="2"/>
  <c r="D18" i="13"/>
  <c r="C18" i="13" s="1"/>
  <c r="H47" i="2"/>
  <c r="H100" i="2"/>
  <c r="H79" i="2"/>
  <c r="H73" i="2"/>
  <c r="E121" i="2"/>
  <c r="H97" i="2"/>
  <c r="H61" i="2"/>
  <c r="E120" i="2"/>
  <c r="H120" i="2" s="1"/>
  <c r="D144" i="2"/>
  <c r="H89" i="2"/>
  <c r="H72" i="2"/>
  <c r="H9" i="2"/>
  <c r="C32" i="10"/>
  <c r="G409" i="1"/>
  <c r="H646" i="1" s="1"/>
  <c r="H30" i="2"/>
  <c r="H27" i="2"/>
  <c r="H12" i="2"/>
  <c r="H132" i="2"/>
  <c r="H36" i="2"/>
  <c r="H48" i="2"/>
  <c r="H102" i="2"/>
  <c r="H99" i="2"/>
  <c r="H23" i="2"/>
  <c r="H15" i="2"/>
  <c r="H143" i="2"/>
  <c r="J652" i="1"/>
  <c r="H96" i="2"/>
  <c r="H87" i="2"/>
  <c r="H77" i="2"/>
  <c r="H26" i="2"/>
  <c r="C112" i="2"/>
  <c r="H112" i="2" s="1"/>
  <c r="G477" i="1"/>
  <c r="H624" i="1" s="1"/>
  <c r="J624" i="1" s="1"/>
  <c r="H59" i="2"/>
  <c r="H35" i="2"/>
  <c r="H94" i="2"/>
  <c r="H69" i="2"/>
  <c r="H29" i="2"/>
  <c r="H25" i="2"/>
  <c r="H17" i="2"/>
  <c r="H8" i="2"/>
  <c r="H38" i="2"/>
  <c r="H44" i="2"/>
  <c r="H101" i="2"/>
  <c r="H98" i="2"/>
  <c r="H76" i="2"/>
  <c r="H11" i="2"/>
  <c r="I409" i="1"/>
  <c r="H135" i="2"/>
  <c r="H93" i="2"/>
  <c r="H80" i="2"/>
  <c r="H22" i="2"/>
  <c r="G662" i="1"/>
  <c r="C119" i="2"/>
  <c r="E13" i="13"/>
  <c r="C13" i="13" s="1"/>
  <c r="C12" i="10"/>
  <c r="A40" i="12"/>
  <c r="C13" i="10"/>
  <c r="C110" i="2"/>
  <c r="D15" i="13"/>
  <c r="C15" i="13" s="1"/>
  <c r="C121" i="2"/>
  <c r="H121" i="2" s="1"/>
  <c r="D6" i="13"/>
  <c r="C6" i="13" s="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H109" i="2" s="1"/>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0" i="2" l="1"/>
  <c r="L572" i="1"/>
  <c r="B33" i="16"/>
  <c r="H103" i="2"/>
  <c r="F194" i="1"/>
  <c r="G628" i="1" s="1"/>
  <c r="J628" i="1" s="1"/>
  <c r="H114" i="2"/>
  <c r="H118" i="2"/>
  <c r="H91" i="2"/>
  <c r="H62" i="2"/>
  <c r="H16" i="2"/>
  <c r="H57" i="2"/>
  <c r="H85" i="2"/>
  <c r="H18" i="2"/>
  <c r="H21" i="2"/>
  <c r="H31" i="2"/>
  <c r="D51" i="2"/>
  <c r="H50" i="2"/>
  <c r="C81" i="2"/>
  <c r="H81" i="2" s="1"/>
  <c r="H78" i="2"/>
  <c r="H42" i="2"/>
  <c r="H134" i="2"/>
  <c r="G24" i="14"/>
  <c r="H24" i="14" s="1"/>
  <c r="I24" i="14" s="1"/>
  <c r="H123" i="2"/>
  <c r="H119" i="2"/>
  <c r="E128" i="2"/>
  <c r="E115" i="2"/>
  <c r="F661" i="1"/>
  <c r="F665" i="1" s="1"/>
  <c r="F668" i="1" s="1"/>
  <c r="D128" i="2"/>
  <c r="D145" i="2" s="1"/>
  <c r="H127" i="2"/>
  <c r="I663" i="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104" i="2" s="1"/>
  <c r="H63" i="2"/>
  <c r="H51" i="2"/>
  <c r="E145" i="2"/>
  <c r="H115" i="2"/>
  <c r="H128" i="2"/>
  <c r="H673" i="1"/>
  <c r="C6" i="10" s="1"/>
  <c r="C144" i="2"/>
  <c r="C145"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<sst xmlns="http://schemas.openxmlformats.org/spreadsheetml/2006/main" count="6531" uniqueCount="1803">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</sst>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pane ySplit="7" topLeftCell="A640" activePane="bottomLeft" state="frozen"/>
      <selection pane="bottomLeft" activeCell="H674" sqref="H67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1166</v>
      </c>
      <c r="B2" s="126">
        <f>INDEX('School Tables'!$AH$3:$AH$208,MATCH('DOE25'!A2,'School Tables'!$AJ$3:$AJ$208,0))</f>
        <v>285</v>
      </c>
      <c r="C2" s="126">
        <f>INDEX('School Tables'!$AI$3:$AI$208,MATCH('DOE25'!A2,'School Tables'!$AJ$3:$AJ$208,0))</f>
        <v>285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v>300</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v>244161.13</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v>2864929.01</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259233.65</v>
      </c>
      <c r="G13" s="18">
        <v>281541.8</v>
      </c>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22998</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v>10407.9</v>
      </c>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10000</v>
      </c>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513394.78</v>
      </c>
      <c r="G19" s="41">
        <f>SUM(G9:G18)</f>
        <v>304839.8</v>
      </c>
      <c r="H19" s="41">
        <f>SUM(H9:H18)</f>
        <v>2875336.9099999997</v>
      </c>
      <c r="I19" s="41">
        <f>SUM(I9:I18)</f>
        <v>0</v>
      </c>
      <c r="J19" s="41">
        <f>SUM(J9:J18)</f>
        <v>0</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230856.09</v>
      </c>
      <c r="H22" s="18">
        <v>2828879.2</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v>40199.42</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78353.8</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v>6258.29</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435040.98</v>
      </c>
      <c r="G31" s="18">
        <v>73983.710000000006</v>
      </c>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513394.77999999997</v>
      </c>
      <c r="G32" s="41">
        <f>SUM(G22:G31)</f>
        <v>304839.8</v>
      </c>
      <c r="H32" s="41">
        <f>SUM(H22:H31)</f>
        <v>2875336.91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0</v>
      </c>
      <c r="G51" s="41">
        <f>SUM(G35:G50)</f>
        <v>0</v>
      </c>
      <c r="H51" s="41">
        <f>SUM(H35:H50)</f>
        <v>0</v>
      </c>
      <c r="I51" s="41">
        <f>SUM(I35:I50)</f>
        <v>0</v>
      </c>
      <c r="J51" s="41">
        <f>SUM(J35:J50)</f>
        <v>0</v>
      </c>
      <c r="K51" s="45" t="s">
        <v>288</v>
      </c>
      <c r="L51" s="45" t="s">
        <v>288</v>
      </c>
      <c r="N51" s="263"/>
    </row>
    <row r="52" spans="1:14" s="3" customFormat="1" ht="12.2" customHeight="1" thickTop="1" x14ac:dyDescent="0.15">
      <c r="A52" s="38" t="s">
        <v>455</v>
      </c>
      <c r="B52" s="39" t="s">
        <v>289</v>
      </c>
      <c r="C52" s="6">
        <v>37</v>
      </c>
      <c r="D52" s="39" t="s">
        <v>653</v>
      </c>
      <c r="E52" s="39"/>
      <c r="F52" s="41">
        <f>F51+F32</f>
        <v>513394.77999999997</v>
      </c>
      <c r="G52" s="41">
        <f>G51+G32</f>
        <v>304839.8</v>
      </c>
      <c r="H52" s="41">
        <f>H51+H32</f>
        <v>2875336.91</v>
      </c>
      <c r="I52" s="41">
        <f>I51+I32</f>
        <v>0</v>
      </c>
      <c r="J52" s="41">
        <f>J51+J32</f>
        <v>0</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21253614.379999999</v>
      </c>
      <c r="G57" s="18"/>
      <c r="H57" s="18"/>
      <c r="I57" s="18"/>
      <c r="J57" s="18">
        <v>0</v>
      </c>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21253614.379999999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247430.01</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767045.52</v>
      </c>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1014475.53</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v>57726.34</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14000</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150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56666.2</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75117.56</v>
      </c>
      <c r="G110" s="18"/>
      <c r="H110" s="18">
        <v>133032.78</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89267.56</v>
      </c>
      <c r="G111" s="41">
        <f>SUM(G96:G110)</f>
        <v>57726.34</v>
      </c>
      <c r="H111" s="41">
        <f>SUM(H96:H110)</f>
        <v>189698.97999999998</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22357357.469999999</v>
      </c>
      <c r="G112" s="41">
        <f>G60+G111</f>
        <v>57726.34</v>
      </c>
      <c r="H112" s="41">
        <f>H60+H79+H94+H111</f>
        <v>189698.97999999998</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7097462.96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4584319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1433.36</v>
      </c>
      <c r="G120" s="18">
        <v>77441.45</v>
      </c>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11683215.32</v>
      </c>
      <c r="G121" s="41">
        <f>SUM(G117:G120)</f>
        <v>77441.45</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670194.57999999996</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178498.86</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892466.21</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141772.01999999999</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1741159.65</v>
      </c>
      <c r="G136" s="41">
        <f>SUM(G123:G135)</f>
        <v>141772.01999999999</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13424374.970000001</v>
      </c>
      <c r="G140" s="41">
        <f>G121+SUM(G136:G137)</f>
        <v>219213.46999999997</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31979.27</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1211799.98</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779540.07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165412.5</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150183.49</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1140233.6399999999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604451.34</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637128.04</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37304.6</v>
      </c>
      <c r="H161" s="18">
        <v>654892.23</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1389470.42</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637128.04</v>
      </c>
      <c r="G163" s="41">
        <f>SUM(G150:G162)</f>
        <v>1177538.24</v>
      </c>
      <c r="H163" s="41">
        <f>SUM(H150:H162)</f>
        <v>4987729.2999999989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637128.04</v>
      </c>
      <c r="G170" s="41">
        <f>G147+G163+SUM(G164:G169)</f>
        <v>1177538.24</v>
      </c>
      <c r="H170" s="41">
        <f>H147+H163+SUM(H164:H169)</f>
        <v>4987729.2999999989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600000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600000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600000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36418860.479999997</v>
      </c>
      <c r="G194" s="47">
        <f>G112+G140+G170+G193</f>
        <v>1454478.0499999998</v>
      </c>
      <c r="H194" s="47">
        <f>H112+H140+H170+H193</f>
        <v>5177428.2799999993</v>
      </c>
      <c r="I194" s="47">
        <f>I112+I140+I170+I193</f>
        <v>0</v>
      </c>
      <c r="J194" s="47">
        <f>J112+J140+J193</f>
        <v>600000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3492803.8599999994</v>
      </c>
      <c r="G198" s="18">
        <v>1915680.99</v>
      </c>
      <c r="H198" s="18">
        <v>39792.229999999996</v>
      </c>
      <c r="I198" s="18">
        <v>102931.47</v>
      </c>
      <c r="J198" s="18">
        <v>25158.622706378774</v>
      </c>
      <c r="K198" s="18"/>
      <c r="L198" s="19">
        <f>SUM(F198:K198)</f>
        <v>5576367.1727063786</v>
      </c>
      <c r="M198" s="8"/>
      <c r="N198" s="265"/>
    </row>
    <row r="199" spans="1:14" s="3" customFormat="1" ht="12.2" customHeight="1" x14ac:dyDescent="0.15">
      <c r="A199" s="1" t="s">
        <v>439</v>
      </c>
      <c r="B199" s="2" t="s">
        <v>341</v>
      </c>
      <c r="C199" s="2" t="s">
        <v>291</v>
      </c>
      <c r="D199" s="2" t="s">
        <v>431</v>
      </c>
      <c r="E199" s="6">
        <v>1200</v>
      </c>
      <c r="F199" s="18">
        <v>1729134.2965973874</v>
      </c>
      <c r="G199" s="18">
        <v>955381.86</v>
      </c>
      <c r="H199" s="18">
        <v>859054.43446289888</v>
      </c>
      <c r="I199" s="18">
        <v>15495.092439736052</v>
      </c>
      <c r="J199" s="18">
        <v>7736.62</v>
      </c>
      <c r="K199" s="18">
        <v>1110</v>
      </c>
      <c r="L199" s="19">
        <f>SUM(F199:K199)</f>
        <v>3567912.3035000227</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746025.95</v>
      </c>
      <c r="G203" s="18">
        <v>411972.72</v>
      </c>
      <c r="H203" s="18">
        <v>50953.393315976122</v>
      </c>
      <c r="I203" s="18">
        <v>15246.630000000001</v>
      </c>
      <c r="J203" s="18">
        <v>3160.33</v>
      </c>
      <c r="K203" s="18"/>
      <c r="L203" s="19">
        <f t="shared" ref="L203:L209" si="0">SUM(F203:K203)</f>
        <v>1227359.0233159759</v>
      </c>
      <c r="M203" s="8"/>
      <c r="N203" s="265"/>
    </row>
    <row r="204" spans="1:14" s="3" customFormat="1" ht="12.2" customHeight="1" x14ac:dyDescent="0.15">
      <c r="A204" s="1" t="s">
        <v>443</v>
      </c>
      <c r="B204" s="2" t="s">
        <v>341</v>
      </c>
      <c r="C204" s="2" t="s">
        <v>295</v>
      </c>
      <c r="D204" s="2" t="s">
        <v>431</v>
      </c>
      <c r="E204" s="6">
        <v>2200</v>
      </c>
      <c r="F204" s="18">
        <v>213504.2381361943</v>
      </c>
      <c r="G204" s="18">
        <v>148132.48421062084</v>
      </c>
      <c r="H204" s="18">
        <v>54769.378277595722</v>
      </c>
      <c r="I204" s="18">
        <v>71562.989890918878</v>
      </c>
      <c r="J204" s="18">
        <v>4838.6291188221039</v>
      </c>
      <c r="K204" s="18"/>
      <c r="L204" s="19">
        <f t="shared" si="0"/>
        <v>492807.7196341519</v>
      </c>
      <c r="M204" s="8"/>
      <c r="N204" s="265"/>
    </row>
    <row r="205" spans="1:14" s="3" customFormat="1" ht="12.2" customHeight="1" x14ac:dyDescent="0.15">
      <c r="A205" s="1" t="s">
        <v>444</v>
      </c>
      <c r="B205" s="2" t="s">
        <v>341</v>
      </c>
      <c r="C205" s="2" t="s">
        <v>296</v>
      </c>
      <c r="D205" s="2" t="s">
        <v>431</v>
      </c>
      <c r="E205" s="6">
        <v>2300</v>
      </c>
      <c r="F205" s="18">
        <v>195191.53182997846</v>
      </c>
      <c r="G205" s="18">
        <v>113441.49</v>
      </c>
      <c r="H205" s="18">
        <v>112730.21281905103</v>
      </c>
      <c r="I205" s="18">
        <v>5498.7622085559096</v>
      </c>
      <c r="J205" s="18"/>
      <c r="K205" s="18">
        <v>12335.206395834268</v>
      </c>
      <c r="L205" s="19">
        <f t="shared" si="0"/>
        <v>439197.2032534196</v>
      </c>
      <c r="M205" s="8"/>
      <c r="N205" s="265"/>
    </row>
    <row r="206" spans="1:14" s="3" customFormat="1" ht="12.2" customHeight="1" x14ac:dyDescent="0.15">
      <c r="A206" s="1" t="s">
        <v>445</v>
      </c>
      <c r="B206" s="2" t="s">
        <v>341</v>
      </c>
      <c r="C206" s="2" t="s">
        <v>297</v>
      </c>
      <c r="D206" s="2" t="s">
        <v>431</v>
      </c>
      <c r="E206" s="6">
        <v>2400</v>
      </c>
      <c r="F206" s="18">
        <v>536243.48</v>
      </c>
      <c r="G206" s="18">
        <v>295626.17</v>
      </c>
      <c r="H206" s="18">
        <v>9935.31</v>
      </c>
      <c r="I206" s="18">
        <v>4481.6000000000004</v>
      </c>
      <c r="J206" s="18"/>
      <c r="K206" s="18">
        <v>2644.27</v>
      </c>
      <c r="L206" s="19">
        <f t="shared" si="0"/>
        <v>848930.83</v>
      </c>
      <c r="M206" s="8"/>
      <c r="N206" s="265"/>
    </row>
    <row r="207" spans="1:14" s="3" customFormat="1" ht="12.2" customHeight="1" x14ac:dyDescent="0.15">
      <c r="A207" s="1" t="s">
        <v>446</v>
      </c>
      <c r="B207" s="2" t="s">
        <v>341</v>
      </c>
      <c r="C207" s="2" t="s">
        <v>298</v>
      </c>
      <c r="D207" s="2" t="s">
        <v>431</v>
      </c>
      <c r="E207" s="6">
        <v>2500</v>
      </c>
      <c r="F207" s="18">
        <v>120336.95039547514</v>
      </c>
      <c r="G207" s="18">
        <v>66125.64</v>
      </c>
      <c r="H207" s="18">
        <v>7470.7277730394562</v>
      </c>
      <c r="I207" s="18">
        <v>15.478744893836692</v>
      </c>
      <c r="J207" s="18"/>
      <c r="K207" s="18"/>
      <c r="L207" s="19">
        <f t="shared" si="0"/>
        <v>193948.79691340844</v>
      </c>
      <c r="M207" s="8"/>
      <c r="N207" s="265"/>
    </row>
    <row r="208" spans="1:14" s="3" customFormat="1" ht="12.2" customHeight="1" x14ac:dyDescent="0.15">
      <c r="A208" s="1" t="s">
        <v>447</v>
      </c>
      <c r="B208" s="2" t="s">
        <v>341</v>
      </c>
      <c r="C208" s="2" t="s">
        <v>299</v>
      </c>
      <c r="D208" s="2" t="s">
        <v>431</v>
      </c>
      <c r="E208" s="6">
        <v>2600</v>
      </c>
      <c r="F208" s="18">
        <v>290970.60062845086</v>
      </c>
      <c r="G208" s="18">
        <v>160442.70000000001</v>
      </c>
      <c r="H208" s="18">
        <v>337781.01638865191</v>
      </c>
      <c r="I208" s="18">
        <v>295742.03413924674</v>
      </c>
      <c r="J208" s="18"/>
      <c r="K208" s="18"/>
      <c r="L208" s="19">
        <f t="shared" si="0"/>
        <v>1084936.3511563495</v>
      </c>
      <c r="M208" s="8"/>
      <c r="N208" s="265"/>
    </row>
    <row r="209" spans="1:14" s="3" customFormat="1" ht="12.2" customHeight="1" x14ac:dyDescent="0.15">
      <c r="A209" s="1" t="s">
        <v>448</v>
      </c>
      <c r="B209" s="2" t="s">
        <v>341</v>
      </c>
      <c r="C209" s="2" t="s">
        <v>300</v>
      </c>
      <c r="D209" s="2" t="s">
        <v>431</v>
      </c>
      <c r="E209" s="6">
        <v>2700</v>
      </c>
      <c r="F209" s="18"/>
      <c r="G209" s="18"/>
      <c r="H209" s="18">
        <v>308892.27868653764</v>
      </c>
      <c r="I209" s="18"/>
      <c r="J209" s="18"/>
      <c r="K209" s="18"/>
      <c r="L209" s="19">
        <f t="shared" si="0"/>
        <v>308892.27868653764</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7324210.9075874863</v>
      </c>
      <c r="G212" s="41">
        <f t="shared" si="1"/>
        <v>4066804.0542106214</v>
      </c>
      <c r="H212" s="41">
        <f t="shared" si="1"/>
        <v>1781378.9817237507</v>
      </c>
      <c r="I212" s="41">
        <f t="shared" si="1"/>
        <v>510974.05742335145</v>
      </c>
      <c r="J212" s="41">
        <f t="shared" si="1"/>
        <v>40894.201825200886</v>
      </c>
      <c r="K212" s="41">
        <f t="shared" si="1"/>
        <v>16089.476395834268</v>
      </c>
      <c r="L212" s="41">
        <f t="shared" si="1"/>
        <v>13740351.679166244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2009934.4430639225</v>
      </c>
      <c r="G216" s="18">
        <v>1150718.4567048042</v>
      </c>
      <c r="H216" s="18">
        <v>20870.77</v>
      </c>
      <c r="I216" s="18">
        <v>46688.69</v>
      </c>
      <c r="J216" s="18">
        <v>3263.7599999999998</v>
      </c>
      <c r="K216" s="18"/>
      <c r="L216" s="19">
        <f>SUM(F216:K216)</f>
        <v>3231476.1197687266</v>
      </c>
      <c r="M216" s="8"/>
      <c r="N216" s="265"/>
    </row>
    <row r="217" spans="1:14" s="3" customFormat="1" ht="12.2" customHeight="1" x14ac:dyDescent="0.15">
      <c r="A217" s="1" t="s">
        <v>439</v>
      </c>
      <c r="B217" s="2" t="s">
        <v>346</v>
      </c>
      <c r="C217" s="2" t="s">
        <v>291</v>
      </c>
      <c r="D217" s="2" t="s">
        <v>431</v>
      </c>
      <c r="E217" s="6">
        <v>1200</v>
      </c>
      <c r="F217" s="18">
        <v>795411.00554360996</v>
      </c>
      <c r="G217" s="18">
        <v>455385.06712348771</v>
      </c>
      <c r="H217" s="18">
        <v>965199.6469466266</v>
      </c>
      <c r="I217" s="18">
        <v>4705.802281725546</v>
      </c>
      <c r="J217" s="18"/>
      <c r="K217" s="18">
        <v>277.5</v>
      </c>
      <c r="L217" s="19">
        <f>SUM(F217:K217)</f>
        <v>2220979.0218954501</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30850</v>
      </c>
      <c r="G219" s="18">
        <v>17662.100655055801</v>
      </c>
      <c r="H219" s="18">
        <v>9047.99</v>
      </c>
      <c r="I219" s="18">
        <v>4822.0200000000004</v>
      </c>
      <c r="J219" s="18"/>
      <c r="K219" s="18"/>
      <c r="L219" s="19">
        <f>SUM(F219:K219)</f>
        <v>62382.110655055803</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198752.7</v>
      </c>
      <c r="G221" s="18">
        <v>113788.98518198084</v>
      </c>
      <c r="H221" s="18">
        <v>34982.759682632313</v>
      </c>
      <c r="I221" s="18">
        <v>3155.66</v>
      </c>
      <c r="J221" s="18">
        <v>720.66</v>
      </c>
      <c r="K221" s="18"/>
      <c r="L221" s="19">
        <f t="shared" ref="L221:L227" si="2">SUM(F221:K221)</f>
        <v>351400.76486461307</v>
      </c>
      <c r="M221" s="8"/>
      <c r="N221" s="265"/>
    </row>
    <row r="222" spans="1:14" s="3" customFormat="1" ht="12.2" customHeight="1" x14ac:dyDescent="0.15">
      <c r="A222" s="1" t="s">
        <v>443</v>
      </c>
      <c r="B222" s="2" t="s">
        <v>346</v>
      </c>
      <c r="C222" s="2" t="s">
        <v>295</v>
      </c>
      <c r="D222" s="2" t="s">
        <v>431</v>
      </c>
      <c r="E222" s="6">
        <v>2200</v>
      </c>
      <c r="F222" s="18">
        <v>119066.54126610406</v>
      </c>
      <c r="G222" s="18">
        <v>84826.300048038596</v>
      </c>
      <c r="H222" s="18">
        <v>27326.244627418411</v>
      </c>
      <c r="I222" s="18">
        <v>33173.383264128919</v>
      </c>
      <c r="J222" s="18">
        <v>2642.0427674282896</v>
      </c>
      <c r="K222" s="18"/>
      <c r="L222" s="19">
        <f t="shared" si="2"/>
        <v>267034.51197311823</v>
      </c>
      <c r="M222" s="8"/>
      <c r="N222" s="265"/>
    </row>
    <row r="223" spans="1:14" s="3" customFormat="1" ht="12.2" customHeight="1" x14ac:dyDescent="0.15">
      <c r="A223" s="1" t="s">
        <v>444</v>
      </c>
      <c r="B223" s="2" t="s">
        <v>346</v>
      </c>
      <c r="C223" s="2" t="s">
        <v>296</v>
      </c>
      <c r="D223" s="2" t="s">
        <v>431</v>
      </c>
      <c r="E223" s="6">
        <v>2300</v>
      </c>
      <c r="F223" s="18">
        <v>109216.01116622526</v>
      </c>
      <c r="G223" s="18">
        <v>62527.84965197993</v>
      </c>
      <c r="H223" s="18">
        <v>60880.95844144185</v>
      </c>
      <c r="I223" s="18">
        <v>3002.4960719576247</v>
      </c>
      <c r="J223" s="18"/>
      <c r="K223" s="18">
        <v>6735.4083238317553</v>
      </c>
      <c r="L223" s="19">
        <f t="shared" si="2"/>
        <v>242362.72365543645</v>
      </c>
      <c r="M223" s="8"/>
      <c r="N223" s="265"/>
    </row>
    <row r="224" spans="1:14" s="3" customFormat="1" ht="12.2" customHeight="1" x14ac:dyDescent="0.15">
      <c r="A224" s="1" t="s">
        <v>445</v>
      </c>
      <c r="B224" s="2" t="s">
        <v>346</v>
      </c>
      <c r="C224" s="2" t="s">
        <v>297</v>
      </c>
      <c r="D224" s="2" t="s">
        <v>431</v>
      </c>
      <c r="E224" s="6">
        <v>2400</v>
      </c>
      <c r="F224" s="18">
        <v>290592.12</v>
      </c>
      <c r="G224" s="18">
        <v>166368.46914120109</v>
      </c>
      <c r="H224" s="18">
        <v>2540.0100000000002</v>
      </c>
      <c r="I224" s="18">
        <v>1358.9</v>
      </c>
      <c r="J224" s="18">
        <v>1373</v>
      </c>
      <c r="K224" s="18"/>
      <c r="L224" s="19">
        <f t="shared" si="2"/>
        <v>462232.49914120114</v>
      </c>
      <c r="M224" s="8"/>
      <c r="N224" s="265"/>
    </row>
    <row r="225" spans="1:14" s="3" customFormat="1" ht="12.2" customHeight="1" x14ac:dyDescent="0.15">
      <c r="A225" s="1" t="s">
        <v>446</v>
      </c>
      <c r="B225" s="2" t="s">
        <v>346</v>
      </c>
      <c r="C225" s="2" t="s">
        <v>298</v>
      </c>
      <c r="D225" s="2" t="s">
        <v>431</v>
      </c>
      <c r="E225" s="6">
        <v>2500</v>
      </c>
      <c r="F225" s="18">
        <v>65707.736972437939</v>
      </c>
      <c r="G225" s="18">
        <v>37618.694252714304</v>
      </c>
      <c r="H225" s="18">
        <v>4079.250919109395</v>
      </c>
      <c r="I225" s="18">
        <v>8.4518786192036632</v>
      </c>
      <c r="J225" s="18"/>
      <c r="K225" s="18"/>
      <c r="L225" s="19">
        <f t="shared" si="2"/>
        <v>107414.13402288085</v>
      </c>
      <c r="M225" s="8"/>
      <c r="N225" s="265"/>
    </row>
    <row r="226" spans="1:14" s="3" customFormat="1" ht="12.2" customHeight="1" x14ac:dyDescent="0.15">
      <c r="A226" s="1" t="s">
        <v>447</v>
      </c>
      <c r="B226" s="2" t="s">
        <v>346</v>
      </c>
      <c r="C226" s="2" t="s">
        <v>299</v>
      </c>
      <c r="D226" s="2" t="s">
        <v>431</v>
      </c>
      <c r="E226" s="6">
        <v>2600</v>
      </c>
      <c r="F226" s="18">
        <v>230048.34993917495</v>
      </c>
      <c r="G226" s="18">
        <v>131706.22733320927</v>
      </c>
      <c r="H226" s="18">
        <v>155994.30129595546</v>
      </c>
      <c r="I226" s="18">
        <v>219973.66525295147</v>
      </c>
      <c r="J226" s="18">
        <v>6937.79</v>
      </c>
      <c r="K226" s="18"/>
      <c r="L226" s="19">
        <f t="shared" si="2"/>
        <v>744660.3338212911</v>
      </c>
      <c r="M226" s="8"/>
      <c r="N226" s="265"/>
    </row>
    <row r="227" spans="1:14" s="3" customFormat="1" ht="12.2" customHeight="1" x14ac:dyDescent="0.15">
      <c r="A227" s="1" t="s">
        <v>448</v>
      </c>
      <c r="B227" s="2" t="s">
        <v>346</v>
      </c>
      <c r="C227" s="2" t="s">
        <v>300</v>
      </c>
      <c r="D227" s="2" t="s">
        <v>431</v>
      </c>
      <c r="E227" s="6">
        <v>2700</v>
      </c>
      <c r="F227" s="18"/>
      <c r="G227" s="18"/>
      <c r="H227" s="18">
        <v>238811.44977712439</v>
      </c>
      <c r="I227" s="18"/>
      <c r="J227" s="18"/>
      <c r="K227" s="18"/>
      <c r="L227" s="19">
        <f t="shared" si="2"/>
        <v>238811.44977712439</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3849578.9079514751</v>
      </c>
      <c r="G230" s="41">
        <f>SUM(G216:G229)</f>
        <v>2220602.1500924719</v>
      </c>
      <c r="H230" s="41">
        <f>SUM(H216:H229)</f>
        <v>1519733.3816903085</v>
      </c>
      <c r="I230" s="41">
        <f>SUM(I216:I229)</f>
        <v>316889.06874938274</v>
      </c>
      <c r="J230" s="41">
        <f>SUM(J216:J229)</f>
        <v>14937.25276742829</v>
      </c>
      <c r="K230" s="41">
        <f t="shared" si="3"/>
        <v>7012.9083238317553</v>
      </c>
      <c r="L230" s="41">
        <f t="shared" si="3"/>
        <v>7928753.6695748987</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2432710.4964526193</v>
      </c>
      <c r="G234" s="18">
        <v>1137586.2997032567</v>
      </c>
      <c r="H234" s="18">
        <v>31461.79</v>
      </c>
      <c r="I234" s="18">
        <v>68272.44</v>
      </c>
      <c r="J234" s="18">
        <v>11946.994101988599</v>
      </c>
      <c r="K234" s="18">
        <v>560</v>
      </c>
      <c r="L234" s="19">
        <f>SUM(F234:K234)</f>
        <v>3682538.0202578646</v>
      </c>
      <c r="M234" s="8"/>
      <c r="N234" s="265"/>
    </row>
    <row r="235" spans="1:14" s="3" customFormat="1" ht="12.2" customHeight="1" x14ac:dyDescent="0.15">
      <c r="A235" s="1" t="s">
        <v>439</v>
      </c>
      <c r="B235" s="2" t="s">
        <v>350</v>
      </c>
      <c r="C235" s="2" t="s">
        <v>291</v>
      </c>
      <c r="D235" s="2" t="s">
        <v>431</v>
      </c>
      <c r="E235" s="6">
        <v>1200</v>
      </c>
      <c r="F235" s="18">
        <v>806073.53785900259</v>
      </c>
      <c r="G235" s="18">
        <v>376936.84294013004</v>
      </c>
      <c r="H235" s="18">
        <v>657255.00859047449</v>
      </c>
      <c r="I235" s="18">
        <v>5683.9452785384028</v>
      </c>
      <c r="J235" s="18"/>
      <c r="K235" s="18">
        <v>277.5</v>
      </c>
      <c r="L235" s="19">
        <f>SUM(F235:K235)</f>
        <v>1846226.8346681455</v>
      </c>
      <c r="M235" s="8"/>
      <c r="N235" s="265"/>
    </row>
    <row r="236" spans="1:14" s="3" customFormat="1" ht="12.2" customHeight="1" x14ac:dyDescent="0.15">
      <c r="A236" s="1" t="s">
        <v>440</v>
      </c>
      <c r="B236" s="2" t="s">
        <v>350</v>
      </c>
      <c r="C236" s="2" t="s">
        <v>292</v>
      </c>
      <c r="D236" s="2" t="s">
        <v>431</v>
      </c>
      <c r="E236" s="6">
        <v>1300</v>
      </c>
      <c r="F236" s="18">
        <v>1066379.97</v>
      </c>
      <c r="G236" s="18">
        <v>498661.5728217435</v>
      </c>
      <c r="H236" s="18">
        <v>88328.71</v>
      </c>
      <c r="I236" s="18">
        <v>52928.02</v>
      </c>
      <c r="J236" s="18">
        <v>1719.61</v>
      </c>
      <c r="K236" s="18">
        <v>250</v>
      </c>
      <c r="L236" s="19">
        <f>SUM(F236:K236)</f>
        <v>1708267.8828217436</v>
      </c>
      <c r="M236" s="8"/>
      <c r="N236" s="265"/>
    </row>
    <row r="237" spans="1:14" s="3" customFormat="1" ht="12.2" customHeight="1" x14ac:dyDescent="0.15">
      <c r="A237" s="1" t="s">
        <v>441</v>
      </c>
      <c r="B237" s="2" t="s">
        <v>350</v>
      </c>
      <c r="C237" s="2" t="s">
        <v>293</v>
      </c>
      <c r="D237" s="2" t="s">
        <v>431</v>
      </c>
      <c r="E237" s="6">
        <v>1400</v>
      </c>
      <c r="F237" s="18">
        <v>140425</v>
      </c>
      <c r="G237" s="18">
        <v>65665.666397966314</v>
      </c>
      <c r="H237" s="18">
        <v>82517.31</v>
      </c>
      <c r="I237" s="18">
        <v>28943.31</v>
      </c>
      <c r="J237" s="18"/>
      <c r="K237" s="18"/>
      <c r="L237" s="19">
        <f>SUM(F237:K237)</f>
        <v>317551.28639796632</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360836.55999999994</v>
      </c>
      <c r="G239" s="18">
        <v>168734.72083425141</v>
      </c>
      <c r="H239" s="18">
        <v>12677.797001391571</v>
      </c>
      <c r="I239" s="18">
        <v>5715.22</v>
      </c>
      <c r="J239" s="18">
        <v>305.82</v>
      </c>
      <c r="K239" s="18"/>
      <c r="L239" s="19">
        <f t="shared" ref="L239:L245" si="4">SUM(F239:K239)</f>
        <v>548270.11783564277</v>
      </c>
      <c r="M239" s="8"/>
      <c r="N239" s="265"/>
    </row>
    <row r="240" spans="1:14" s="3" customFormat="1" ht="12.2" customHeight="1" x14ac:dyDescent="0.15">
      <c r="A240" s="1" t="s">
        <v>443</v>
      </c>
      <c r="B240" s="2" t="s">
        <v>350</v>
      </c>
      <c r="C240" s="2" t="s">
        <v>295</v>
      </c>
      <c r="D240" s="2" t="s">
        <v>431</v>
      </c>
      <c r="E240" s="6">
        <v>2200</v>
      </c>
      <c r="F240" s="18">
        <v>156521.41059770167</v>
      </c>
      <c r="G240" s="18">
        <v>95010.709999999992</v>
      </c>
      <c r="H240" s="18">
        <v>37042.087094985851</v>
      </c>
      <c r="I240" s="18">
        <v>62423.556844952196</v>
      </c>
      <c r="J240" s="18">
        <v>3460.2681137496074</v>
      </c>
      <c r="K240" s="18"/>
      <c r="L240" s="19">
        <f t="shared" si="4"/>
        <v>354458.03265138931</v>
      </c>
      <c r="M240" s="8"/>
      <c r="N240" s="265"/>
    </row>
    <row r="241" spans="1:14" s="3" customFormat="1" ht="12.2" customHeight="1" x14ac:dyDescent="0.15">
      <c r="A241" s="1" t="s">
        <v>444</v>
      </c>
      <c r="B241" s="2" t="s">
        <v>350</v>
      </c>
      <c r="C241" s="2" t="s">
        <v>296</v>
      </c>
      <c r="D241" s="2" t="s">
        <v>431</v>
      </c>
      <c r="E241" s="6">
        <v>2300</v>
      </c>
      <c r="F241" s="18">
        <v>137004.44582798405</v>
      </c>
      <c r="G241" s="18">
        <v>64066.145691556754</v>
      </c>
      <c r="H241" s="18">
        <v>79735.43873950711</v>
      </c>
      <c r="I241" s="18">
        <v>3932.3517194864662</v>
      </c>
      <c r="J241" s="18"/>
      <c r="K241" s="18">
        <v>8821.3252803339765</v>
      </c>
      <c r="L241" s="19">
        <f t="shared" si="4"/>
        <v>293559.70725886838</v>
      </c>
      <c r="M241" s="8"/>
      <c r="N241" s="265"/>
    </row>
    <row r="242" spans="1:14" s="3" customFormat="1" ht="12.2" customHeight="1" x14ac:dyDescent="0.15">
      <c r="A242" s="1" t="s">
        <v>445</v>
      </c>
      <c r="B242" s="2" t="s">
        <v>350</v>
      </c>
      <c r="C242" s="2" t="s">
        <v>297</v>
      </c>
      <c r="D242" s="2" t="s">
        <v>431</v>
      </c>
      <c r="E242" s="6">
        <v>2400</v>
      </c>
      <c r="F242" s="18">
        <v>498664.36</v>
      </c>
      <c r="G242" s="18">
        <v>233185.88220270877</v>
      </c>
      <c r="H242" s="18">
        <v>17285.689999999999</v>
      </c>
      <c r="I242" s="18">
        <v>2027.06</v>
      </c>
      <c r="J242" s="18"/>
      <c r="K242" s="18">
        <v>10910.37</v>
      </c>
      <c r="L242" s="19">
        <f t="shared" si="4"/>
        <v>762073.36220270873</v>
      </c>
      <c r="M242" s="8"/>
      <c r="N242" s="265"/>
    </row>
    <row r="243" spans="1:14" s="3" customFormat="1" ht="12.2" customHeight="1" x14ac:dyDescent="0.15">
      <c r="A243" s="1" t="s">
        <v>446</v>
      </c>
      <c r="B243" s="2" t="s">
        <v>350</v>
      </c>
      <c r="C243" s="2" t="s">
        <v>298</v>
      </c>
      <c r="D243" s="2" t="s">
        <v>431</v>
      </c>
      <c r="E243" s="6">
        <v>2500</v>
      </c>
      <c r="F243" s="18">
        <v>86057.042632086901</v>
      </c>
      <c r="G243" s="18">
        <v>40242.071424863396</v>
      </c>
      <c r="H243" s="18">
        <v>5342.5713078511462</v>
      </c>
      <c r="I243" s="18">
        <v>11.069376486959644</v>
      </c>
      <c r="J243" s="18"/>
      <c r="K243" s="18"/>
      <c r="L243" s="19">
        <f t="shared" si="4"/>
        <v>131652.7547412884</v>
      </c>
      <c r="M243" s="8"/>
      <c r="N243" s="265"/>
    </row>
    <row r="244" spans="1:14" s="3" customFormat="1" ht="12.2" customHeight="1" x14ac:dyDescent="0.15">
      <c r="A244" s="1" t="s">
        <v>447</v>
      </c>
      <c r="B244" s="2" t="s">
        <v>350</v>
      </c>
      <c r="C244" s="2" t="s">
        <v>299</v>
      </c>
      <c r="D244" s="2" t="s">
        <v>431</v>
      </c>
      <c r="E244" s="6">
        <v>2600</v>
      </c>
      <c r="F244" s="18">
        <v>272547.65943237417</v>
      </c>
      <c r="G244" s="18">
        <v>127448.98500342778</v>
      </c>
      <c r="H244" s="18">
        <v>487292.3123153926</v>
      </c>
      <c r="I244" s="18">
        <v>334049.18060780177</v>
      </c>
      <c r="J244" s="18">
        <v>2829.53</v>
      </c>
      <c r="K244" s="18"/>
      <c r="L244" s="19">
        <f t="shared" si="4"/>
        <v>1224167.6673589963</v>
      </c>
      <c r="M244" s="8"/>
      <c r="N244" s="265"/>
    </row>
    <row r="245" spans="1:14" s="3" customFormat="1" ht="12.2" customHeight="1" x14ac:dyDescent="0.15">
      <c r="A245" s="1" t="s">
        <v>448</v>
      </c>
      <c r="B245" s="2" t="s">
        <v>350</v>
      </c>
      <c r="C245" s="2" t="s">
        <v>300</v>
      </c>
      <c r="D245" s="2" t="s">
        <v>431</v>
      </c>
      <c r="E245" s="6">
        <v>2700</v>
      </c>
      <c r="F245" s="18"/>
      <c r="G245" s="18"/>
      <c r="H245" s="18">
        <v>290974.81153633795</v>
      </c>
      <c r="I245" s="18"/>
      <c r="J245" s="18"/>
      <c r="K245" s="18"/>
      <c r="L245" s="19">
        <f t="shared" si="4"/>
        <v>290974.81153633795</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5957220.4828017689</v>
      </c>
      <c r="G248" s="41">
        <f t="shared" si="5"/>
        <v>2807538.8970199041</v>
      </c>
      <c r="H248" s="41">
        <f t="shared" si="5"/>
        <v>1789913.5265859407</v>
      </c>
      <c r="I248" s="41">
        <f t="shared" si="5"/>
        <v>563986.15382726584</v>
      </c>
      <c r="J248" s="41">
        <f t="shared" si="5"/>
        <v>20262.222215738206</v>
      </c>
      <c r="K248" s="41">
        <f t="shared" si="5"/>
        <v>20819.195280333977</v>
      </c>
      <c r="L248" s="41">
        <f t="shared" si="5"/>
        <v>11159740.477730954</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v>215496.97</v>
      </c>
      <c r="G252" s="18">
        <v>100770.88938431587</v>
      </c>
      <c r="H252" s="18">
        <v>1253.1300000000001</v>
      </c>
      <c r="I252" s="18">
        <v>18046.86</v>
      </c>
      <c r="J252" s="18"/>
      <c r="K252" s="18"/>
      <c r="L252" s="19">
        <f t="shared" si="6"/>
        <v>335567.84938431589</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301884.78999999998</v>
      </c>
      <c r="I256" s="18"/>
      <c r="J256" s="18"/>
      <c r="K256" s="18"/>
      <c r="L256" s="19">
        <f t="shared" si="6"/>
        <v>301884.78999999998</v>
      </c>
      <c r="M256" s="8"/>
      <c r="N256" s="265"/>
    </row>
    <row r="257" spans="1:14" s="3" customFormat="1" ht="12.2" customHeight="1" thickTop="1" thickBot="1" x14ac:dyDescent="0.2">
      <c r="A257" s="38" t="s">
        <v>461</v>
      </c>
      <c r="B257" s="40">
        <v>10</v>
      </c>
      <c r="C257" s="40">
        <v>7</v>
      </c>
      <c r="D257" s="39" t="s">
        <v>431</v>
      </c>
      <c r="E257" s="40"/>
      <c r="F257" s="41">
        <f t="shared" ref="F257:K257" si="7">SUM(F251:F256)</f>
        <v>215496.97</v>
      </c>
      <c r="G257" s="41">
        <f t="shared" si="7"/>
        <v>100770.88938431587</v>
      </c>
      <c r="H257" s="41">
        <f t="shared" si="7"/>
        <v>303137.91999999998</v>
      </c>
      <c r="I257" s="41">
        <f t="shared" si="7"/>
        <v>18046.86</v>
      </c>
      <c r="J257" s="41">
        <f t="shared" si="7"/>
        <v>0</v>
      </c>
      <c r="K257" s="41">
        <f t="shared" si="7"/>
        <v>0</v>
      </c>
      <c r="L257" s="41">
        <f>SUM(F257:K257)</f>
        <v>637452.63938431593</v>
      </c>
      <c r="M257" s="8"/>
      <c r="N257" s="265"/>
    </row>
    <row r="258" spans="1:14" s="3" customFormat="1" ht="12.2" customHeight="1" thickTop="1" x14ac:dyDescent="0.15">
      <c r="A258" s="38" t="s">
        <v>462</v>
      </c>
      <c r="B258" s="40">
        <v>10</v>
      </c>
      <c r="C258" s="40">
        <v>8</v>
      </c>
      <c r="D258" s="39" t="s">
        <v>431</v>
      </c>
      <c r="E258" s="40"/>
      <c r="F258" s="41">
        <f t="shared" ref="F258:L258" si="8">F212+F230+F248+F257</f>
        <v>17346507.268340729</v>
      </c>
      <c r="G258" s="41">
        <f t="shared" si="8"/>
        <v>9195715.9907073136</v>
      </c>
      <c r="H258" s="41">
        <f t="shared" si="8"/>
        <v>5394163.8100000005</v>
      </c>
      <c r="I258" s="41">
        <f t="shared" si="8"/>
        <v>1409896.1400000001</v>
      </c>
      <c r="J258" s="41">
        <f t="shared" si="8"/>
        <v>76093.676808367381</v>
      </c>
      <c r="K258" s="41">
        <f t="shared" si="8"/>
        <v>43921.58</v>
      </c>
      <c r="L258" s="41">
        <f t="shared" si="8"/>
        <v>33466298.465856411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1631795.23</v>
      </c>
      <c r="L261" s="19">
        <f>SUM(F261:K261)</f>
        <v>1631795.23</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720766.78</v>
      </c>
      <c r="L262" s="19">
        <f>SUM(F262:K262)</f>
        <v>720766.78</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600000</v>
      </c>
      <c r="L267" s="19">
        <f t="shared" si="9"/>
        <v>600000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2952562.01</v>
      </c>
      <c r="L271" s="41">
        <f t="shared" si="9"/>
        <v>2952562.01</v>
      </c>
      <c r="M271" s="8"/>
      <c r="N271" s="265"/>
    </row>
    <row r="272" spans="1:14" s="34" customFormat="1" ht="12.2" customHeight="1" thickTop="1" x14ac:dyDescent="0.2">
      <c r="A272" s="43" t="s">
        <v>464</v>
      </c>
      <c r="B272" s="40">
        <v>10</v>
      </c>
      <c r="C272" s="40">
        <v>18</v>
      </c>
      <c r="D272" s="39" t="s">
        <v>431</v>
      </c>
      <c r="E272" s="40"/>
      <c r="F272" s="42">
        <f t="shared" ref="F272:L272" si="11">F258+F271</f>
        <v>17346507.268340729</v>
      </c>
      <c r="G272" s="42">
        <f t="shared" si="11"/>
        <v>9195715.9907073136</v>
      </c>
      <c r="H272" s="42">
        <f t="shared" si="11"/>
        <v>5394163.8100000005</v>
      </c>
      <c r="I272" s="42">
        <f t="shared" si="11"/>
        <v>1409896.1400000001</v>
      </c>
      <c r="J272" s="42">
        <f t="shared" si="11"/>
        <v>76093.676808367381</v>
      </c>
      <c r="K272" s="42">
        <f t="shared" si="11"/>
        <v>2996483.59</v>
      </c>
      <c r="L272" s="42">
        <f t="shared" si="11"/>
        <v>36418860.475856408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1178100.6200000001</v>
      </c>
      <c r="G277" s="18">
        <v>525622.0557560001</v>
      </c>
      <c r="H277" s="18"/>
      <c r="I277" s="18">
        <v>279127.43629600003</v>
      </c>
      <c r="J277" s="18">
        <v>2558.1946320000002</v>
      </c>
      <c r="K277" s="18"/>
      <c r="L277" s="19">
        <f>SUM(F277:K277)</f>
        <v>1985408.3066840002</v>
      </c>
      <c r="M277" s="8"/>
      <c r="N277" s="265"/>
    </row>
    <row r="278" spans="1:14" s="3" customFormat="1" ht="12.2" customHeight="1" x14ac:dyDescent="0.15">
      <c r="A278" s="1" t="s">
        <v>439</v>
      </c>
      <c r="B278" s="2" t="s">
        <v>357</v>
      </c>
      <c r="C278" s="2" t="s">
        <v>291</v>
      </c>
      <c r="D278" s="2" t="s">
        <v>431</v>
      </c>
      <c r="E278" s="6">
        <v>1200</v>
      </c>
      <c r="F278" s="18">
        <v>190765.02540799999</v>
      </c>
      <c r="G278" s="18">
        <v>47995.966172</v>
      </c>
      <c r="H278" s="18">
        <v>14734.298207999998</v>
      </c>
      <c r="I278" s="18">
        <v>7866.653151999999</v>
      </c>
      <c r="J278" s="18">
        <v>4228.1223680000003</v>
      </c>
      <c r="K278" s="18"/>
      <c r="L278" s="19">
        <f>SUM(F278:K278)</f>
        <v>265590.06530799996</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1723.5</v>
      </c>
      <c r="G280" s="18"/>
      <c r="H280" s="18"/>
      <c r="I280" s="18"/>
      <c r="J280" s="18"/>
      <c r="K280" s="18"/>
      <c r="L280" s="19">
        <f>SUM(F280:K280)</f>
        <v>1723.5</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96304.043235999998</v>
      </c>
      <c r="G282" s="18">
        <v>27469.399416</v>
      </c>
      <c r="H282" s="18">
        <v>15928.080492000001</v>
      </c>
      <c r="I282" s="18">
        <v>14944.489523999999</v>
      </c>
      <c r="J282" s="18">
        <v>3042.2380640000001</v>
      </c>
      <c r="K282" s="18"/>
      <c r="L282" s="19">
        <f t="shared" ref="L282:L288" si="12">SUM(F282:K282)</f>
        <v>157688.25073200001</v>
      </c>
      <c r="M282" s="8"/>
      <c r="N282" s="265"/>
    </row>
    <row r="283" spans="1:14" s="3" customFormat="1" ht="12.2" customHeight="1" x14ac:dyDescent="0.15">
      <c r="A283" s="1" t="s">
        <v>443</v>
      </c>
      <c r="B283" s="2" t="s">
        <v>357</v>
      </c>
      <c r="C283" s="2" t="s">
        <v>295</v>
      </c>
      <c r="D283" s="2" t="s">
        <v>431</v>
      </c>
      <c r="E283" s="6">
        <v>2200</v>
      </c>
      <c r="F283" s="18">
        <v>85611.881783999997</v>
      </c>
      <c r="G283" s="18">
        <v>25177.991687999995</v>
      </c>
      <c r="H283" s="18">
        <v>42383.279643999995</v>
      </c>
      <c r="I283" s="18">
        <v>13356.533976000001</v>
      </c>
      <c r="J283" s="18">
        <v>33537.272831999995</v>
      </c>
      <c r="K283" s="18"/>
      <c r="L283" s="19">
        <f t="shared" si="12"/>
        <v>200066.959924</v>
      </c>
      <c r="M283" s="8"/>
      <c r="N283" s="265"/>
    </row>
    <row r="284" spans="1:14" s="3" customFormat="1" ht="12.2" customHeight="1" x14ac:dyDescent="0.15">
      <c r="A284" s="1" t="s">
        <v>444</v>
      </c>
      <c r="B284" s="2" t="s">
        <v>357</v>
      </c>
      <c r="C284" s="2" t="s">
        <v>296</v>
      </c>
      <c r="D284" s="2" t="s">
        <v>431</v>
      </c>
      <c r="E284" s="6">
        <v>2300</v>
      </c>
      <c r="F284" s="18"/>
      <c r="G284" s="18"/>
      <c r="H284" s="18">
        <v>1291.8138800000002</v>
      </c>
      <c r="I284" s="18"/>
      <c r="J284" s="18"/>
      <c r="K284" s="18">
        <v>202.8272</v>
      </c>
      <c r="L284" s="19">
        <f t="shared" si="12"/>
        <v>1494.6410800000001</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v>332.61799999999999</v>
      </c>
      <c r="L287" s="19">
        <f t="shared" si="12"/>
        <v>332.61799999999999</v>
      </c>
      <c r="M287" s="8"/>
      <c r="N287" s="265"/>
    </row>
    <row r="288" spans="1:14" s="3" customFormat="1" ht="12.2" customHeight="1" x14ac:dyDescent="0.15">
      <c r="A288" s="1" t="s">
        <v>448</v>
      </c>
      <c r="B288" s="2" t="s">
        <v>357</v>
      </c>
      <c r="C288" s="2" t="s">
        <v>300</v>
      </c>
      <c r="D288" s="2" t="s">
        <v>431</v>
      </c>
      <c r="E288" s="6">
        <v>2700</v>
      </c>
      <c r="F288" s="18"/>
      <c r="G288" s="18"/>
      <c r="H288" s="18">
        <v>60659.54466</v>
      </c>
      <c r="I288" s="18"/>
      <c r="J288" s="18"/>
      <c r="K288" s="18"/>
      <c r="L288" s="19">
        <f t="shared" si="12"/>
        <v>60659.54466</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1552505.0704280001</v>
      </c>
      <c r="G291" s="42">
        <f t="shared" si="13"/>
        <v>626265.41303200019</v>
      </c>
      <c r="H291" s="42">
        <f t="shared" si="13"/>
        <v>134997.01688399998</v>
      </c>
      <c r="I291" s="42">
        <f t="shared" si="13"/>
        <v>315295.11294799997</v>
      </c>
      <c r="J291" s="42">
        <f t="shared" si="13"/>
        <v>43365.827895999995</v>
      </c>
      <c r="K291" s="42">
        <f t="shared" si="13"/>
        <v>535.4452</v>
      </c>
      <c r="L291" s="41">
        <f t="shared" si="13"/>
        <v>2672963.8863880001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376951.81</v>
      </c>
      <c r="G296" s="18">
        <v>131393.27449500002</v>
      </c>
      <c r="H296" s="18">
        <v>115</v>
      </c>
      <c r="I296" s="18">
        <v>73833.369669999985</v>
      </c>
      <c r="J296" s="18">
        <v>788.17388999999991</v>
      </c>
      <c r="K296" s="18"/>
      <c r="L296" s="19">
        <f>SUM(F296:K296)</f>
        <v>583081.62805499998</v>
      </c>
      <c r="M296" s="8"/>
      <c r="N296" s="265"/>
    </row>
    <row r="297" spans="1:14" s="3" customFormat="1" ht="12.2" customHeight="1" x14ac:dyDescent="0.15">
      <c r="A297" s="1" t="s">
        <v>439</v>
      </c>
      <c r="B297" s="2" t="s">
        <v>358</v>
      </c>
      <c r="C297" s="2" t="s">
        <v>291</v>
      </c>
      <c r="D297" s="2" t="s">
        <v>431</v>
      </c>
      <c r="E297" s="6">
        <v>1200</v>
      </c>
      <c r="F297" s="18">
        <v>23340.945659999998</v>
      </c>
      <c r="G297" s="18">
        <v>7945.825315</v>
      </c>
      <c r="H297" s="18">
        <v>7649.0391599999994</v>
      </c>
      <c r="I297" s="18">
        <v>3748.9880400000002</v>
      </c>
      <c r="J297" s="18">
        <v>931.90985999999998</v>
      </c>
      <c r="K297" s="18"/>
      <c r="L297" s="19">
        <f>SUM(F297:K297)</f>
        <v>43616.708035000003</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49994.467844999999</v>
      </c>
      <c r="G301" s="18">
        <v>14260.23207</v>
      </c>
      <c r="H301" s="18">
        <v>8268.7692149999984</v>
      </c>
      <c r="I301" s="18">
        <v>7758.156105</v>
      </c>
      <c r="J301" s="18">
        <v>651.16128000000003</v>
      </c>
      <c r="K301" s="18"/>
      <c r="L301" s="19">
        <f>SUM(F301:K301)</f>
        <v>80932.786515</v>
      </c>
      <c r="M301" s="8"/>
      <c r="N301" s="265"/>
    </row>
    <row r="302" spans="1:14" s="3" customFormat="1" ht="12.2" customHeight="1" x14ac:dyDescent="0.15">
      <c r="A302" s="1" t="s">
        <v>443</v>
      </c>
      <c r="B302" s="2" t="s">
        <v>358</v>
      </c>
      <c r="C302" s="2" t="s">
        <v>295</v>
      </c>
      <c r="D302" s="2" t="s">
        <v>431</v>
      </c>
      <c r="E302" s="6">
        <v>2200</v>
      </c>
      <c r="F302" s="18">
        <v>44443.829429999998</v>
      </c>
      <c r="G302" s="18">
        <v>13070.690009999998</v>
      </c>
      <c r="H302" s="18">
        <v>30698.989755000002</v>
      </c>
      <c r="I302" s="18">
        <v>6933.7982699999993</v>
      </c>
      <c r="J302" s="18">
        <v>17410.256639999996</v>
      </c>
      <c r="K302" s="18"/>
      <c r="L302" s="19">
        <f t="shared" ref="L302:L307" si="14">SUM(F302:K302)</f>
        <v>112557.56410499998</v>
      </c>
      <c r="M302" s="8"/>
      <c r="N302" s="265"/>
    </row>
    <row r="303" spans="1:14" s="3" customFormat="1" ht="12.2" customHeight="1" x14ac:dyDescent="0.15">
      <c r="A303" s="1" t="s">
        <v>444</v>
      </c>
      <c r="B303" s="2" t="s">
        <v>358</v>
      </c>
      <c r="C303" s="2" t="s">
        <v>296</v>
      </c>
      <c r="D303" s="2" t="s">
        <v>431</v>
      </c>
      <c r="E303" s="6">
        <v>2300</v>
      </c>
      <c r="F303" s="18"/>
      <c r="G303" s="18"/>
      <c r="H303" s="18">
        <v>670.62135000000001</v>
      </c>
      <c r="I303" s="18"/>
      <c r="J303" s="18"/>
      <c r="K303" s="18">
        <v>105.294</v>
      </c>
      <c r="L303" s="19">
        <f t="shared" si="14"/>
        <v>775.91534999999999</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v>13403.25</v>
      </c>
      <c r="I306" s="18"/>
      <c r="J306" s="18"/>
      <c r="K306" s="18">
        <v>172.67249999999999</v>
      </c>
      <c r="L306" s="19">
        <f t="shared" si="14"/>
        <v>13575.922500000001</v>
      </c>
      <c r="M306" s="8"/>
      <c r="N306" s="265"/>
    </row>
    <row r="307" spans="1:14" s="3" customFormat="1" ht="12.2" customHeight="1" x14ac:dyDescent="0.15">
      <c r="A307" s="1" t="s">
        <v>448</v>
      </c>
      <c r="B307" s="2" t="s">
        <v>358</v>
      </c>
      <c r="C307" s="2" t="s">
        <v>300</v>
      </c>
      <c r="D307" s="2" t="s">
        <v>431</v>
      </c>
      <c r="E307" s="6">
        <v>2700</v>
      </c>
      <c r="F307" s="18"/>
      <c r="G307" s="18"/>
      <c r="H307" s="18">
        <v>18087.033824999999</v>
      </c>
      <c r="I307" s="18"/>
      <c r="J307" s="18"/>
      <c r="K307" s="18"/>
      <c r="L307" s="19">
        <f t="shared" si="14"/>
        <v>18087.033824999999</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494731.05293499999</v>
      </c>
      <c r="G310" s="42">
        <f t="shared" si="15"/>
        <v>166670.02189</v>
      </c>
      <c r="H310" s="42">
        <f t="shared" si="15"/>
        <v>78892.703305000003</v>
      </c>
      <c r="I310" s="42">
        <f t="shared" si="15"/>
        <v>92274.312084999983</v>
      </c>
      <c r="J310" s="42">
        <f t="shared" si="15"/>
        <v>19781.501669999998</v>
      </c>
      <c r="K310" s="42">
        <f t="shared" si="15"/>
        <v>277.9665</v>
      </c>
      <c r="L310" s="41">
        <f t="shared" si="15"/>
        <v>852627.5583850001</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457910.8</v>
      </c>
      <c r="G315" s="18">
        <v>172089.82493900004</v>
      </c>
      <c r="H315" s="18">
        <v>1358.8</v>
      </c>
      <c r="I315" s="18">
        <v>101037.92257399998</v>
      </c>
      <c r="J315" s="18">
        <v>1032.295658</v>
      </c>
      <c r="K315" s="18"/>
      <c r="L315" s="19">
        <f>SUM(F315:K315)</f>
        <v>733429.64317100006</v>
      </c>
      <c r="M315" s="8"/>
      <c r="N315" s="265"/>
    </row>
    <row r="316" spans="1:14" s="3" customFormat="1" ht="12.2" customHeight="1" x14ac:dyDescent="0.15">
      <c r="A316" s="1" t="s">
        <v>439</v>
      </c>
      <c r="B316" s="2" t="s">
        <v>359</v>
      </c>
      <c r="C316" s="2" t="s">
        <v>291</v>
      </c>
      <c r="D316" s="2" t="s">
        <v>431</v>
      </c>
      <c r="E316" s="6">
        <v>1200</v>
      </c>
      <c r="F316" s="18">
        <v>204303.25185200002</v>
      </c>
      <c r="G316" s="18">
        <v>100924.238543</v>
      </c>
      <c r="H316" s="18">
        <v>10018.182552</v>
      </c>
      <c r="I316" s="18">
        <v>4910.1652880000001</v>
      </c>
      <c r="J316" s="18">
        <v>1220.5510920000002</v>
      </c>
      <c r="K316" s="18"/>
      <c r="L316" s="19">
        <f>SUM(F316:K316)</f>
        <v>321376.38932700001</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87495.436809000021</v>
      </c>
      <c r="G320" s="18">
        <v>24447.975854</v>
      </c>
      <c r="H320" s="18">
        <v>10829.862123000001</v>
      </c>
      <c r="I320" s="18">
        <v>10161.096380999999</v>
      </c>
      <c r="J320" s="18">
        <v>852.84601599999996</v>
      </c>
      <c r="K320" s="18"/>
      <c r="L320" s="19">
        <f t="shared" ref="L320:L326" si="16">SUM(F320:K320)</f>
        <v>133787.21718300003</v>
      </c>
      <c r="M320" s="8"/>
      <c r="N320" s="265"/>
    </row>
    <row r="321" spans="1:14" s="3" customFormat="1" ht="12.2" customHeight="1" x14ac:dyDescent="0.15">
      <c r="A321" s="1" t="s">
        <v>443</v>
      </c>
      <c r="B321" s="2" t="s">
        <v>359</v>
      </c>
      <c r="C321" s="2" t="s">
        <v>295</v>
      </c>
      <c r="D321" s="2" t="s">
        <v>431</v>
      </c>
      <c r="E321" s="6">
        <v>2200</v>
      </c>
      <c r="F321" s="18">
        <v>78015.124446000002</v>
      </c>
      <c r="G321" s="18">
        <v>18634.215921999999</v>
      </c>
      <c r="H321" s="18">
        <v>40207.413911000003</v>
      </c>
      <c r="I321" s="18">
        <v>9490.3994939999993</v>
      </c>
      <c r="J321" s="18">
        <v>25975.050208000001</v>
      </c>
      <c r="K321" s="18"/>
      <c r="L321" s="19">
        <f t="shared" si="16"/>
        <v>172322.20398100003</v>
      </c>
      <c r="M321" s="8"/>
      <c r="N321" s="265"/>
    </row>
    <row r="322" spans="1:14" s="3" customFormat="1" ht="12.2" customHeight="1" x14ac:dyDescent="0.15">
      <c r="A322" s="1" t="s">
        <v>444</v>
      </c>
      <c r="B322" s="2" t="s">
        <v>359</v>
      </c>
      <c r="C322" s="2" t="s">
        <v>296</v>
      </c>
      <c r="D322" s="2" t="s">
        <v>431</v>
      </c>
      <c r="E322" s="6">
        <v>2300</v>
      </c>
      <c r="F322" s="18"/>
      <c r="G322" s="18"/>
      <c r="H322" s="18">
        <v>878.33347000000015</v>
      </c>
      <c r="I322" s="18"/>
      <c r="J322" s="18"/>
      <c r="K322" s="18">
        <v>137.9068</v>
      </c>
      <c r="L322" s="19">
        <f t="shared" si="16"/>
        <v>1016.2402700000001</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v>17554.650000000001</v>
      </c>
      <c r="I325" s="18"/>
      <c r="J325" s="18"/>
      <c r="K325" s="18">
        <v>226.15450000000001</v>
      </c>
      <c r="L325" s="19">
        <f t="shared" si="16"/>
        <v>17780.804500000002</v>
      </c>
      <c r="M325" s="8"/>
      <c r="N325" s="265"/>
    </row>
    <row r="326" spans="1:14" s="3" customFormat="1" ht="12.2" customHeight="1" x14ac:dyDescent="0.15">
      <c r="A326" s="1" t="s">
        <v>448</v>
      </c>
      <c r="B326" s="2" t="s">
        <v>359</v>
      </c>
      <c r="C326" s="2" t="s">
        <v>300</v>
      </c>
      <c r="D326" s="2" t="s">
        <v>431</v>
      </c>
      <c r="E326" s="6">
        <v>2700</v>
      </c>
      <c r="F326" s="18"/>
      <c r="G326" s="18"/>
      <c r="H326" s="18">
        <v>23689.146164999998</v>
      </c>
      <c r="I326" s="18"/>
      <c r="J326" s="18"/>
      <c r="K326" s="18"/>
      <c r="L326" s="19">
        <f t="shared" si="16"/>
        <v>23689.146164999998</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827724.6131069999</v>
      </c>
      <c r="G329" s="42">
        <f t="shared" si="17"/>
        <v>316096.25525800005</v>
      </c>
      <c r="H329" s="42">
        <f t="shared" si="17"/>
        <v>104536.388221</v>
      </c>
      <c r="I329" s="42">
        <f t="shared" si="17"/>
        <v>125599.58373699998</v>
      </c>
      <c r="J329" s="42">
        <f t="shared" si="17"/>
        <v>29080.742974000001</v>
      </c>
      <c r="K329" s="42">
        <f t="shared" si="17"/>
        <v>364.06130000000002</v>
      </c>
      <c r="L329" s="41">
        <f t="shared" si="17"/>
        <v>1403401.6445970002</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112602.26250000001</v>
      </c>
      <c r="G333" s="18">
        <v>6239.8976849999999</v>
      </c>
      <c r="H333" s="18">
        <v>16594.233354999997</v>
      </c>
      <c r="I333" s="18">
        <v>17573.901345000002</v>
      </c>
      <c r="J333" s="18"/>
      <c r="K333" s="18"/>
      <c r="L333" s="19">
        <f t="shared" ref="L333:L338" si="18">SUM(F333:K333)</f>
        <v>153010.29488500001</v>
      </c>
      <c r="M333" s="8"/>
      <c r="N333" s="265"/>
    </row>
    <row r="334" spans="1:14" s="3" customFormat="1" ht="12.2" customHeight="1" x14ac:dyDescent="0.15">
      <c r="A334" s="1" t="s">
        <v>353</v>
      </c>
      <c r="B334" s="6">
        <v>14</v>
      </c>
      <c r="C334" s="2" t="s">
        <v>309</v>
      </c>
      <c r="D334" s="2" t="s">
        <v>431</v>
      </c>
      <c r="E334" s="6">
        <v>1600</v>
      </c>
      <c r="F334" s="18">
        <v>77210.09</v>
      </c>
      <c r="G334" s="18">
        <v>7160.24</v>
      </c>
      <c r="H334" s="18">
        <v>8991.09</v>
      </c>
      <c r="I334" s="18">
        <v>1898.48</v>
      </c>
      <c r="J334" s="18"/>
      <c r="K334" s="18">
        <v>165</v>
      </c>
      <c r="L334" s="19">
        <f t="shared" si="18"/>
        <v>95424.9</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189812.35250000001</v>
      </c>
      <c r="G338" s="41">
        <f t="shared" si="19"/>
        <v>13400.137685</v>
      </c>
      <c r="H338" s="41">
        <f t="shared" si="19"/>
        <v>25585.323354999997</v>
      </c>
      <c r="I338" s="41">
        <f t="shared" si="19"/>
        <v>19472.381345000002</v>
      </c>
      <c r="J338" s="41">
        <f t="shared" si="19"/>
        <v>0</v>
      </c>
      <c r="K338" s="41">
        <f t="shared" si="19"/>
        <v>165</v>
      </c>
      <c r="L338" s="41">
        <f t="shared" si="18"/>
        <v>248435.194885</v>
      </c>
      <c r="M338" s="8"/>
      <c r="N338" s="265"/>
    </row>
    <row r="339" spans="1:43" s="3" customFormat="1" ht="12.2" customHeight="1" thickTop="1" x14ac:dyDescent="0.15">
      <c r="A339" s="38" t="s">
        <v>468</v>
      </c>
      <c r="B339" s="40">
        <v>14</v>
      </c>
      <c r="C339" s="40">
        <v>7</v>
      </c>
      <c r="D339" s="39" t="s">
        <v>431</v>
      </c>
      <c r="E339" s="40"/>
      <c r="F339" s="41">
        <f t="shared" ref="F339:L339" si="20">F291+F310+F329+F338</f>
        <v>3064773.0889699999</v>
      </c>
      <c r="G339" s="41">
        <f t="shared" si="20"/>
        <v>1122431.8278650001</v>
      </c>
      <c r="H339" s="41">
        <f t="shared" si="20"/>
        <v>344011.43176499999</v>
      </c>
      <c r="I339" s="41">
        <f t="shared" si="20"/>
        <v>552641.39011499996</v>
      </c>
      <c r="J339" s="41">
        <f t="shared" si="20"/>
        <v>92228.072539999994</v>
      </c>
      <c r="K339" s="41">
        <f t="shared" si="20"/>
        <v>1342.473</v>
      </c>
      <c r="L339" s="41">
        <f t="shared" si="20"/>
        <v>5177428.2842549998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3064773.0889699999</v>
      </c>
      <c r="G353" s="41">
        <f>G339</f>
        <v>1122431.8278650001</v>
      </c>
      <c r="H353" s="41">
        <f>H339</f>
        <v>344011.43176499999</v>
      </c>
      <c r="I353" s="41">
        <f>I339</f>
        <v>552641.39011499996</v>
      </c>
      <c r="J353" s="41">
        <f>J339</f>
        <v>92228.072539999994</v>
      </c>
      <c r="K353" s="47">
        <f>K339+K352</f>
        <v>1342.473</v>
      </c>
      <c r="L353" s="41">
        <f>L339+L352</f>
        <v>5177428.2842549998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217008.21079678589</v>
      </c>
      <c r="G359" s="18">
        <v>95261.73</v>
      </c>
      <c r="H359" s="18">
        <v>12238.058513713695</v>
      </c>
      <c r="I359" s="18">
        <v>310920.96999999997</v>
      </c>
      <c r="J359" s="18">
        <v>5287.16</v>
      </c>
      <c r="K359" s="18"/>
      <c r="L359" s="13">
        <f>SUM(F359:K359)</f>
        <v>640716.12931049953</v>
      </c>
      <c r="M359" s="8"/>
      <c r="N359" s="265"/>
    </row>
    <row r="360" spans="1:22" s="3" customFormat="1" ht="12.2" customHeight="1" x14ac:dyDescent="0.15">
      <c r="A360" s="1" t="s">
        <v>542</v>
      </c>
      <c r="B360" s="2" t="s">
        <v>366</v>
      </c>
      <c r="C360" s="6">
        <v>2</v>
      </c>
      <c r="D360" s="2" t="s">
        <v>431</v>
      </c>
      <c r="E360" s="6"/>
      <c r="F360" s="18">
        <v>164250.54465502538</v>
      </c>
      <c r="G360" s="18">
        <v>98279.2</v>
      </c>
      <c r="H360" s="18">
        <v>3760.4006688512814</v>
      </c>
      <c r="I360" s="18">
        <v>146180.54999999999</v>
      </c>
      <c r="J360" s="18">
        <v>310.60000000000002</v>
      </c>
      <c r="K360" s="18"/>
      <c r="L360" s="19">
        <f>SUM(F360:K360)</f>
        <v>412781.29532387661</v>
      </c>
      <c r="M360" s="8"/>
      <c r="N360" s="265"/>
    </row>
    <row r="361" spans="1:22" s="3" customFormat="1" ht="12.2" customHeight="1" x14ac:dyDescent="0.15">
      <c r="A361" s="3" t="s">
        <v>543</v>
      </c>
      <c r="B361" s="2" t="s">
        <v>366</v>
      </c>
      <c r="C361" s="6">
        <v>3</v>
      </c>
      <c r="D361" s="2" t="s">
        <v>431</v>
      </c>
      <c r="E361" s="6"/>
      <c r="F361" s="18">
        <v>130687.91454818872</v>
      </c>
      <c r="G361" s="18">
        <v>87169.49</v>
      </c>
      <c r="H361" s="18">
        <v>7227.2308174350219</v>
      </c>
      <c r="I361" s="18">
        <v>175085.77</v>
      </c>
      <c r="J361" s="18">
        <v>810.22</v>
      </c>
      <c r="K361" s="18"/>
      <c r="L361" s="19">
        <f>SUM(F361:K361)</f>
        <v>400980.62536562374</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511946.67</v>
      </c>
      <c r="G363" s="47">
        <f t="shared" si="22"/>
        <v>280710.42</v>
      </c>
      <c r="H363" s="47">
        <f t="shared" si="22"/>
        <v>23225.69</v>
      </c>
      <c r="I363" s="47">
        <f t="shared" si="22"/>
        <v>632187.28999999992</v>
      </c>
      <c r="J363" s="47">
        <f t="shared" si="22"/>
        <v>6407.9800000000005</v>
      </c>
      <c r="K363" s="47">
        <f t="shared" si="22"/>
        <v>0</v>
      </c>
      <c r="L363" s="47">
        <f t="shared" si="22"/>
        <v>1454478.0499999998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310920.96999999997</v>
      </c>
      <c r="G368" s="18">
        <v>146180.54999999999</v>
      </c>
      <c r="H368" s="18">
        <v>175085.77</v>
      </c>
      <c r="I368" s="56">
        <f>SUM(F368:H368)</f>
        <v>632187.28999999992</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310920.96999999997</v>
      </c>
      <c r="G370" s="47">
        <f>SUM(G368:G369)</f>
        <v>146180.54999999999</v>
      </c>
      <c r="H370" s="47">
        <f>SUM(H368:H369)</f>
        <v>175085.77</v>
      </c>
      <c r="I370" s="47">
        <f>SUM(I368:I369)</f>
        <v>632187.28999999992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v>0</v>
      </c>
      <c r="G397" s="18">
        <v>500000</v>
      </c>
      <c r="H397" s="18"/>
      <c r="I397" s="18"/>
      <c r="J397" s="24" t="s">
        <v>288</v>
      </c>
      <c r="K397" s="24" t="s">
        <v>288</v>
      </c>
      <c r="L397" s="56">
        <f t="shared" si="26"/>
        <v>500000</v>
      </c>
      <c r="M397" s="8"/>
      <c r="N397" s="265"/>
    </row>
    <row r="398" spans="1:14" s="3" customFormat="1" ht="12.2" customHeight="1" x14ac:dyDescent="0.15">
      <c r="A398" s="79" t="s">
        <v>515</v>
      </c>
      <c r="B398" s="2" t="s">
        <v>381</v>
      </c>
      <c r="C398" s="6">
        <v>10</v>
      </c>
      <c r="D398" s="2" t="s">
        <v>432</v>
      </c>
      <c r="E398" s="6"/>
      <c r="F398" s="18" t="s">
        <v>1802</v>
      </c>
      <c r="G398" s="18">
        <v>100000</v>
      </c>
      <c r="H398" s="18"/>
      <c r="I398" s="18"/>
      <c r="J398" s="24" t="s">
        <v>288</v>
      </c>
      <c r="K398" s="24" t="s">
        <v>288</v>
      </c>
      <c r="L398" s="56">
        <f t="shared" si="26"/>
        <v>100000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600000</v>
      </c>
      <c r="H402" s="47">
        <f>SUM(H396:H401)</f>
        <v>0</v>
      </c>
      <c r="I402" s="47">
        <f>SUM(I396:I401)</f>
        <v>0</v>
      </c>
      <c r="J402" s="45" t="s">
        <v>288</v>
      </c>
      <c r="K402" s="45" t="s">
        <v>288</v>
      </c>
      <c r="L402" s="47">
        <f>SUM(L396:L401)</f>
        <v>600000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600000</v>
      </c>
      <c r="H409" s="47">
        <f>H394+H402+H408</f>
        <v>0</v>
      </c>
      <c r="I409" s="47">
        <f>I394+I402+I408</f>
        <v>0</v>
      </c>
      <c r="J409" s="24" t="s">
        <v>288</v>
      </c>
      <c r="K409" s="24" t="s">
        <v>288</v>
      </c>
      <c r="L409" s="47">
        <f>L394+L402+L408</f>
        <v>600000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v>500000</v>
      </c>
      <c r="G423" s="18"/>
      <c r="H423" s="18"/>
      <c r="I423" s="18"/>
      <c r="J423" s="18"/>
      <c r="K423" s="18"/>
      <c r="L423" s="56">
        <f t="shared" si="29"/>
        <v>500000</v>
      </c>
      <c r="M423" s="8"/>
      <c r="N423" s="265"/>
    </row>
    <row r="424" spans="1:21" s="3" customFormat="1" ht="12.2" customHeight="1" x14ac:dyDescent="0.15">
      <c r="A424" s="79" t="s">
        <v>515</v>
      </c>
      <c r="B424" s="6">
        <v>17</v>
      </c>
      <c r="C424" s="6">
        <v>10</v>
      </c>
      <c r="D424" s="2" t="s">
        <v>432</v>
      </c>
      <c r="E424" s="6"/>
      <c r="F424" s="18">
        <v>100000</v>
      </c>
      <c r="G424" s="18"/>
      <c r="H424" s="18"/>
      <c r="I424" s="18"/>
      <c r="J424" s="18"/>
      <c r="K424" s="18"/>
      <c r="L424" s="56">
        <f t="shared" si="29"/>
        <v>100000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600000</v>
      </c>
      <c r="G428" s="47">
        <f t="shared" si="30"/>
        <v>0</v>
      </c>
      <c r="H428" s="47">
        <f t="shared" si="30"/>
        <v>0</v>
      </c>
      <c r="I428" s="47">
        <f t="shared" si="30"/>
        <v>0</v>
      </c>
      <c r="J428" s="47">
        <f t="shared" si="30"/>
        <v>0</v>
      </c>
      <c r="K428" s="47">
        <f t="shared" si="30"/>
        <v>0</v>
      </c>
      <c r="L428" s="47">
        <f t="shared" si="30"/>
        <v>600000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600000</v>
      </c>
      <c r="G435" s="47">
        <f t="shared" si="32"/>
        <v>0</v>
      </c>
      <c r="H435" s="47">
        <f t="shared" si="32"/>
        <v>0</v>
      </c>
      <c r="I435" s="47">
        <f t="shared" si="32"/>
        <v>0</v>
      </c>
      <c r="J435" s="47">
        <f t="shared" si="32"/>
        <v>0</v>
      </c>
      <c r="K435" s="47">
        <f t="shared" si="32"/>
        <v>0</v>
      </c>
      <c r="L435" s="47">
        <f t="shared" si="32"/>
        <v>600000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c r="G466" s="18"/>
      <c r="H466" s="18"/>
      <c r="I466" s="18"/>
      <c r="J466" s="18"/>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36418860.479999997</v>
      </c>
      <c r="G469" s="18">
        <v>1454478.05</v>
      </c>
      <c r="H469" s="18">
        <v>5177428.28</v>
      </c>
      <c r="I469" s="18"/>
      <c r="J469" s="18">
        <v>600000</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36418860.479999997</v>
      </c>
      <c r="G471" s="53">
        <f>SUM(G469:G470)</f>
        <v>1454478.05</v>
      </c>
      <c r="H471" s="53">
        <f>SUM(H469:H470)</f>
        <v>5177428.28</v>
      </c>
      <c r="I471" s="53">
        <f>SUM(I469:I470)</f>
        <v>0</v>
      </c>
      <c r="J471" s="53">
        <f>SUM(J469:J470)</f>
        <v>600000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36418860.479999997</v>
      </c>
      <c r="G473" s="18">
        <v>1454478.05</v>
      </c>
      <c r="H473" s="18">
        <v>5177428.28</v>
      </c>
      <c r="I473" s="18"/>
      <c r="J473" s="18">
        <v>600000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36418860.479999997</v>
      </c>
      <c r="G475" s="53">
        <f>SUM(G473:G474)</f>
        <v>1454478.05</v>
      </c>
      <c r="H475" s="53">
        <f>SUM(H473:H474)</f>
        <v>5177428.28</v>
      </c>
      <c r="I475" s="53">
        <f>SUM(I473:I474)</f>
        <v>0</v>
      </c>
      <c r="J475" s="53">
        <f>SUM(J473:J474)</f>
        <v>600000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0</v>
      </c>
      <c r="G477" s="53">
        <f>(G466+G471)- G475</f>
        <v>0</v>
      </c>
      <c r="H477" s="53">
        <f>(H466+H471)- H475</f>
        <v>0</v>
      </c>
      <c r="I477" s="53">
        <f>(I466+I471)- I475</f>
        <v>0</v>
      </c>
      <c r="J477" s="53">
        <f>(J466+J471)- J475</f>
        <v>0</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F278+F199</f>
        <v>1919899.3220053874</v>
      </c>
      <c r="G522" s="18"/>
      <c r="H522" s="18">
        <f>H199+H278</f>
        <v>873788.7326708989</v>
      </c>
      <c r="I522" s="18">
        <f>I199+I278</f>
        <v>23361.745591736049</v>
      </c>
      <c r="J522" s="18">
        <f>J199+J278</f>
        <v>11964.742367999999</v>
      </c>
      <c r="K522" s="18"/>
      <c r="L522" s="88">
        <f>SUM(F522:K522)</f>
        <v>2829014.5426360224</v>
      </c>
      <c r="N522" s="264"/>
    </row>
    <row r="523" spans="1:14" s="52" customFormat="1" ht="12.2" customHeight="1" x14ac:dyDescent="0.2">
      <c r="A523" s="22" t="s">
        <v>634</v>
      </c>
      <c r="B523" s="105">
        <v>21</v>
      </c>
      <c r="C523" s="115">
        <v>2</v>
      </c>
      <c r="D523" s="2" t="s">
        <v>432</v>
      </c>
      <c r="E523" s="115"/>
      <c r="F523" s="18">
        <f>F217+F297</f>
        <v>818751.95120360993</v>
      </c>
      <c r="G523" s="18"/>
      <c r="H523" s="18">
        <f>H217+H297</f>
        <v>972848.68610662664</v>
      </c>
      <c r="I523" s="18">
        <f>I217+I297</f>
        <v>8454.7903217255462</v>
      </c>
      <c r="J523" s="18">
        <f>J297</f>
        <v>931.90985999999998</v>
      </c>
      <c r="K523" s="18"/>
      <c r="L523" s="88">
        <f>SUM(F523:K523)</f>
        <v>1800987.3374919624</v>
      </c>
      <c r="N523" s="264"/>
    </row>
    <row r="524" spans="1:14" s="52" customFormat="1" ht="12.2" customHeight="1" thickBot="1" x14ac:dyDescent="0.25">
      <c r="A524" s="22" t="s">
        <v>635</v>
      </c>
      <c r="B524" s="105">
        <v>21</v>
      </c>
      <c r="C524" s="115">
        <v>3</v>
      </c>
      <c r="D524" s="2" t="s">
        <v>432</v>
      </c>
      <c r="E524" s="115"/>
      <c r="F524" s="18">
        <f>F235+F316</f>
        <v>1010376.7897110026</v>
      </c>
      <c r="G524" s="18"/>
      <c r="H524" s="18">
        <f>H235+H316</f>
        <v>667273.19114247453</v>
      </c>
      <c r="I524" s="18">
        <f>I235+I316</f>
        <v>10594.110566538402</v>
      </c>
      <c r="J524" s="18">
        <f>J316</f>
        <v>1220.5510920000002</v>
      </c>
      <c r="K524" s="18"/>
      <c r="L524" s="88">
        <f>SUM(F524:K524)</f>
        <v>1689464.6425120153</v>
      </c>
      <c r="N524" s="264"/>
    </row>
    <row r="525" spans="1:14" s="52" customFormat="1" ht="12.2" customHeight="1" thickTop="1" x14ac:dyDescent="0.2">
      <c r="A525" s="139" t="s">
        <v>63</v>
      </c>
      <c r="B525" s="107">
        <v>21</v>
      </c>
      <c r="C525" s="194">
        <v>4</v>
      </c>
      <c r="D525" s="195" t="s">
        <v>432</v>
      </c>
      <c r="E525" s="194"/>
      <c r="F525" s="108">
        <f>SUM(F522:F524)</f>
        <v>3749028.0629199999</v>
      </c>
      <c r="G525" s="108">
        <f t="shared" ref="G525:L525" si="36">SUM(G522:G524)</f>
        <v>0</v>
      </c>
      <c r="H525" s="108">
        <f t="shared" si="36"/>
        <v>2513910.6099199997</v>
      </c>
      <c r="I525" s="108">
        <f t="shared" si="36"/>
        <v>42410.646479999996</v>
      </c>
      <c r="J525" s="108">
        <f t="shared" si="36"/>
        <v>14117.203319999999</v>
      </c>
      <c r="K525" s="108">
        <f t="shared" si="36"/>
        <v>0</v>
      </c>
      <c r="L525" s="89">
        <f t="shared" si="36"/>
        <v>6319466.5226400001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59645+51108+37773.98+15351.9+33602.98+37773.98+14292.03+33241.66</f>
        <v>282789.53000000003</v>
      </c>
      <c r="G527" s="18"/>
      <c r="H527" s="18">
        <f>33540.85+8928.1</f>
        <v>42468.95</v>
      </c>
      <c r="I527" s="18">
        <f>612.7+2064.26+1146.04+556.79+31+949.25+800</f>
        <v>6160.04</v>
      </c>
      <c r="J527" s="18">
        <f>1000+892.71+1267.62</f>
        <v>3160.33</v>
      </c>
      <c r="K527" s="18"/>
      <c r="L527" s="88">
        <f>SUM(F527:K527)</f>
        <v>334578.85000000003</v>
      </c>
      <c r="M527" s="8"/>
      <c r="N527" s="265"/>
    </row>
    <row r="528" spans="1:14" s="3" customFormat="1" ht="12.2" customHeight="1" x14ac:dyDescent="0.15">
      <c r="A528" s="22" t="s">
        <v>634</v>
      </c>
      <c r="B528" s="105">
        <v>21</v>
      </c>
      <c r="C528" s="115">
        <v>6</v>
      </c>
      <c r="D528" s="2" t="s">
        <v>432</v>
      </c>
      <c r="E528" s="115"/>
      <c r="F528" s="18"/>
      <c r="G528" s="18"/>
      <c r="H528" s="18">
        <f>34264.35</f>
        <v>34264.35</v>
      </c>
      <c r="I528" s="18">
        <f>495.2+649.96</f>
        <v>1145.1600000000001</v>
      </c>
      <c r="J528" s="18">
        <f>720.66</f>
        <v>720.66</v>
      </c>
      <c r="K528" s="18"/>
      <c r="L528" s="88">
        <f>SUM(F528:K528)</f>
        <v>36130.170000000006</v>
      </c>
      <c r="M528" s="8"/>
      <c r="N528" s="265"/>
    </row>
    <row r="529" spans="1:14" s="3" customFormat="1" ht="12.2" customHeight="1" thickBot="1" x14ac:dyDescent="0.2">
      <c r="A529" s="22" t="s">
        <v>635</v>
      </c>
      <c r="B529" s="118">
        <v>21</v>
      </c>
      <c r="C529" s="118">
        <v>7</v>
      </c>
      <c r="D529" s="2" t="s">
        <v>432</v>
      </c>
      <c r="E529" s="118"/>
      <c r="F529" s="18">
        <f>25658.98+634.07</f>
        <v>26293.05</v>
      </c>
      <c r="G529" s="18"/>
      <c r="H529" s="18"/>
      <c r="I529" s="18">
        <f>495.2+634.07</f>
        <v>1129.27</v>
      </c>
      <c r="J529" s="18">
        <v>305.82</v>
      </c>
      <c r="K529" s="18"/>
      <c r="L529" s="88">
        <f>SUM(F529:K529)</f>
        <v>27728.14</v>
      </c>
      <c r="M529" s="8"/>
      <c r="N529" s="265"/>
    </row>
    <row r="530" spans="1:14" s="3" customFormat="1" ht="12.2" customHeight="1" thickTop="1" x14ac:dyDescent="0.15">
      <c r="A530" s="139" t="s">
        <v>65</v>
      </c>
      <c r="B530" s="107">
        <v>21</v>
      </c>
      <c r="C530" s="107">
        <v>8</v>
      </c>
      <c r="D530" s="158" t="s">
        <v>432</v>
      </c>
      <c r="E530" s="107"/>
      <c r="F530" s="89">
        <f>SUM(F527:F529)</f>
        <v>309082.58</v>
      </c>
      <c r="G530" s="89">
        <f t="shared" ref="G530:L530" si="37">SUM(G527:G529)</f>
        <v>0</v>
      </c>
      <c r="H530" s="89">
        <f t="shared" si="37"/>
        <v>76733.299999999988</v>
      </c>
      <c r="I530" s="89">
        <f t="shared" si="37"/>
        <v>8434.4699999999993</v>
      </c>
      <c r="J530" s="89">
        <f t="shared" si="37"/>
        <v>4186.8099999999995</v>
      </c>
      <c r="K530" s="89">
        <f t="shared" si="37"/>
        <v>0</v>
      </c>
      <c r="L530" s="89">
        <f t="shared" si="37"/>
        <v>398437.16000000003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50960+50960+95612+21637+21637</f>
        <v>240806</v>
      </c>
      <c r="G532" s="18">
        <f>9444+290+6183+3364+12750+25500+25500+15111.2</f>
        <v>98142.2</v>
      </c>
      <c r="H532" s="18"/>
      <c r="I532" s="18"/>
      <c r="J532" s="18"/>
      <c r="K532" s="18"/>
      <c r="L532" s="88">
        <f>SUM(F532:K532)</f>
        <v>338948.2</v>
      </c>
      <c r="M532" s="8"/>
      <c r="N532" s="265"/>
    </row>
    <row r="533" spans="1:14" s="3" customFormat="1" ht="12.2" customHeight="1" x14ac:dyDescent="0.15">
      <c r="A533" s="22" t="s">
        <v>634</v>
      </c>
      <c r="B533" s="105">
        <v>21</v>
      </c>
      <c r="C533" s="105">
        <v>10</v>
      </c>
      <c r="D533" s="2" t="s">
        <v>432</v>
      </c>
      <c r="E533" s="105"/>
      <c r="F533" s="18">
        <f>50960+42908</f>
        <v>93868</v>
      </c>
      <c r="G533" s="18">
        <f>25500+7180.9+9444</f>
        <v>42124.9</v>
      </c>
      <c r="H533" s="18"/>
      <c r="I533" s="18"/>
      <c r="J533" s="18"/>
      <c r="K533" s="18"/>
      <c r="L533" s="88">
        <f>SUM(F533:K533)</f>
        <v>135992.9</v>
      </c>
      <c r="M533" s="8"/>
      <c r="N533" s="265"/>
    </row>
    <row r="534" spans="1:14" s="3" customFormat="1" ht="12.2" customHeight="1" thickBot="1" x14ac:dyDescent="0.2">
      <c r="A534" s="22" t="s">
        <v>635</v>
      </c>
      <c r="B534" s="105">
        <v>21</v>
      </c>
      <c r="C534" s="105">
        <v>11</v>
      </c>
      <c r="D534" s="2" t="s">
        <v>432</v>
      </c>
      <c r="E534" s="105"/>
      <c r="F534" s="18">
        <f>50960+43890</f>
        <v>94850</v>
      </c>
      <c r="G534" s="18">
        <f>25500+7161+7256.03</f>
        <v>39917.03</v>
      </c>
      <c r="H534" s="18"/>
      <c r="I534" s="18"/>
      <c r="J534" s="18"/>
      <c r="K534" s="18"/>
      <c r="L534" s="88">
        <f>SUM(F534:K534)</f>
        <v>134767.03</v>
      </c>
      <c r="M534" s="8"/>
      <c r="N534" s="265"/>
    </row>
    <row r="535" spans="1:14" s="3" customFormat="1" ht="12.2" customHeight="1" thickTop="1" x14ac:dyDescent="0.15">
      <c r="A535" s="139" t="s">
        <v>67</v>
      </c>
      <c r="B535" s="107">
        <v>21</v>
      </c>
      <c r="C535" s="107">
        <v>12</v>
      </c>
      <c r="D535" s="158" t="s">
        <v>432</v>
      </c>
      <c r="E535" s="107"/>
      <c r="F535" s="89">
        <f>SUM(F532:F534)</f>
        <v>429524</v>
      </c>
      <c r="G535" s="89">
        <f t="shared" ref="G535:L535" si="38">SUM(G532:G534)</f>
        <v>180184.13</v>
      </c>
      <c r="H535" s="89">
        <f t="shared" si="38"/>
        <v>0</v>
      </c>
      <c r="I535" s="89">
        <f t="shared" si="38"/>
        <v>0</v>
      </c>
      <c r="J535" s="89">
        <f t="shared" si="38"/>
        <v>0</v>
      </c>
      <c r="K535" s="89">
        <f t="shared" si="38"/>
        <v>0</v>
      </c>
      <c r="L535" s="89">
        <f t="shared" si="38"/>
        <v>609708.13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18878.57</v>
      </c>
      <c r="I537" s="18"/>
      <c r="J537" s="18"/>
      <c r="K537" s="18"/>
      <c r="L537" s="88">
        <f>SUM(F537:K537)</f>
        <v>18878.57</v>
      </c>
      <c r="M537" s="8"/>
      <c r="N537" s="265"/>
    </row>
    <row r="538" spans="1:14" s="3" customFormat="1" ht="12.2" customHeight="1" x14ac:dyDescent="0.15">
      <c r="A538" s="22" t="s">
        <v>634</v>
      </c>
      <c r="B538" s="105">
        <v>21</v>
      </c>
      <c r="C538" s="105">
        <v>14</v>
      </c>
      <c r="D538" s="2" t="s">
        <v>432</v>
      </c>
      <c r="E538" s="105"/>
      <c r="F538" s="18"/>
      <c r="G538" s="18"/>
      <c r="H538" s="18">
        <v>2359.8200000000002</v>
      </c>
      <c r="I538" s="18"/>
      <c r="J538" s="18"/>
      <c r="K538" s="18"/>
      <c r="L538" s="88">
        <f>SUM(F538:K538)</f>
        <v>2359.8200000000002</v>
      </c>
      <c r="M538" s="8"/>
      <c r="N538" s="265"/>
    </row>
    <row r="539" spans="1:14" s="3" customFormat="1" ht="12.2" customHeight="1" thickBot="1" x14ac:dyDescent="0.2">
      <c r="A539" s="22" t="s">
        <v>635</v>
      </c>
      <c r="B539" s="105">
        <v>21</v>
      </c>
      <c r="C539" s="105">
        <v>15</v>
      </c>
      <c r="D539" s="2" t="s">
        <v>432</v>
      </c>
      <c r="E539" s="105"/>
      <c r="F539" s="18"/>
      <c r="G539" s="18"/>
      <c r="H539" s="18">
        <v>2359.8200000000002</v>
      </c>
      <c r="I539" s="18"/>
      <c r="J539" s="18"/>
      <c r="K539" s="18"/>
      <c r="L539" s="88">
        <f>SUM(F539:K539)</f>
        <v>2359.8200000000002</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23598.21</v>
      </c>
      <c r="I540" s="89">
        <f t="shared" si="39"/>
        <v>0</v>
      </c>
      <c r="J540" s="89">
        <f t="shared" si="39"/>
        <v>0</v>
      </c>
      <c r="K540" s="89">
        <f t="shared" si="39"/>
        <v>0</v>
      </c>
      <c r="L540" s="89">
        <f t="shared" si="39"/>
        <v>23598.21</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8471.5+151982.64</f>
        <v>160454.14000000001</v>
      </c>
      <c r="I542" s="18"/>
      <c r="J542" s="18"/>
      <c r="K542" s="18"/>
      <c r="L542" s="88">
        <f>SUM(F542:K542)</f>
        <v>160454.14000000001</v>
      </c>
      <c r="M542" s="8"/>
      <c r="N542" s="265"/>
    </row>
    <row r="543" spans="1:14" s="3" customFormat="1" ht="12.2" customHeight="1" x14ac:dyDescent="0.15">
      <c r="A543" s="22" t="s">
        <v>634</v>
      </c>
      <c r="B543" s="105">
        <v>21</v>
      </c>
      <c r="C543" s="105">
        <v>18</v>
      </c>
      <c r="D543" s="2" t="s">
        <v>432</v>
      </c>
      <c r="E543" s="105"/>
      <c r="F543" s="18"/>
      <c r="G543" s="18"/>
      <c r="H543" s="18">
        <f>59192.35+50660.88</f>
        <v>109853.23</v>
      </c>
      <c r="I543" s="18"/>
      <c r="J543" s="18"/>
      <c r="K543" s="18"/>
      <c r="L543" s="88">
        <f>SUM(F543:K543)</f>
        <v>109853.23</v>
      </c>
      <c r="M543" s="8"/>
      <c r="N543" s="265"/>
    </row>
    <row r="544" spans="1:14" s="3" customFormat="1" ht="12.2" customHeight="1" thickBot="1" x14ac:dyDescent="0.2">
      <c r="A544" s="22" t="s">
        <v>635</v>
      </c>
      <c r="B544" s="105">
        <v>21</v>
      </c>
      <c r="C544" s="105">
        <v>19</v>
      </c>
      <c r="D544" s="2" t="s">
        <v>432</v>
      </c>
      <c r="E544" s="105"/>
      <c r="F544" s="18"/>
      <c r="G544" s="18"/>
      <c r="H544" s="18">
        <f>37166.16+50660.88</f>
        <v>87827.040000000008</v>
      </c>
      <c r="I544" s="18"/>
      <c r="J544" s="18"/>
      <c r="K544" s="18"/>
      <c r="L544" s="88">
        <f>SUM(F544:K544)</f>
        <v>87827.040000000008</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358134.41000000003</v>
      </c>
      <c r="I545" s="192">
        <f t="shared" si="40"/>
        <v>0</v>
      </c>
      <c r="J545" s="192">
        <f t="shared" si="40"/>
        <v>0</v>
      </c>
      <c r="K545" s="192">
        <f t="shared" si="40"/>
        <v>0</v>
      </c>
      <c r="L545" s="192">
        <f t="shared" si="40"/>
        <v>358134.41000000003</v>
      </c>
      <c r="M545" s="8"/>
      <c r="N545" s="265"/>
    </row>
    <row r="546" spans="1:14" s="3" customFormat="1" ht="12.2" customHeight="1" thickTop="1" x14ac:dyDescent="0.15">
      <c r="A546" s="98" t="s">
        <v>72</v>
      </c>
      <c r="B546" s="107">
        <v>21</v>
      </c>
      <c r="C546" s="107">
        <v>21</v>
      </c>
      <c r="D546" s="158" t="s">
        <v>432</v>
      </c>
      <c r="E546" s="107"/>
      <c r="F546" s="89">
        <f>F525+F530+F535+F540+F545</f>
        <v>4487634.6429200005</v>
      </c>
      <c r="G546" s="89">
        <f t="shared" ref="G546:L546" si="41">G525+G530+G535+G540+G545</f>
        <v>180184.13</v>
      </c>
      <c r="H546" s="89">
        <f t="shared" si="41"/>
        <v>2972376.5299199997</v>
      </c>
      <c r="I546" s="89">
        <f t="shared" si="41"/>
        <v>50845.116479999997</v>
      </c>
      <c r="J546" s="89">
        <f t="shared" si="41"/>
        <v>18304.013319999998</v>
      </c>
      <c r="K546" s="89">
        <f t="shared" si="41"/>
        <v>0</v>
      </c>
      <c r="L546" s="89">
        <f t="shared" si="41"/>
        <v>7709344.4326400002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2829014.5426360224</v>
      </c>
      <c r="G550" s="87">
        <f>L527</f>
        <v>334578.85000000003</v>
      </c>
      <c r="H550" s="87">
        <f>L532</f>
        <v>338948.2</v>
      </c>
      <c r="I550" s="87">
        <f>L537</f>
        <v>18878.57</v>
      </c>
      <c r="J550" s="87">
        <f>L542</f>
        <v>160454.14000000001</v>
      </c>
      <c r="K550" s="87">
        <f>SUM(F550:J550)</f>
        <v>3681874.3026360227</v>
      </c>
      <c r="L550" s="24" t="s">
        <v>288</v>
      </c>
      <c r="M550" s="8"/>
      <c r="N550" s="265"/>
    </row>
    <row r="551" spans="1:14" s="3" customFormat="1" ht="12.2" customHeight="1" x14ac:dyDescent="0.15">
      <c r="A551" s="22" t="s">
        <v>634</v>
      </c>
      <c r="B551" s="75">
        <v>21</v>
      </c>
      <c r="C551" s="75">
        <v>23</v>
      </c>
      <c r="D551" s="2" t="s">
        <v>432</v>
      </c>
      <c r="E551" s="75"/>
      <c r="F551" s="87">
        <f>L523</f>
        <v>1800987.3374919624</v>
      </c>
      <c r="G551" s="87">
        <f>L528</f>
        <v>36130.170000000006</v>
      </c>
      <c r="H551" s="87">
        <f>L533</f>
        <v>135992.9</v>
      </c>
      <c r="I551" s="87">
        <f>L538</f>
        <v>2359.8200000000002</v>
      </c>
      <c r="J551" s="87">
        <f>L543</f>
        <v>109853.23</v>
      </c>
      <c r="K551" s="87">
        <f>SUM(F551:J551)</f>
        <v>2085323.4574919622</v>
      </c>
      <c r="L551" s="24" t="s">
        <v>288</v>
      </c>
      <c r="M551" s="8"/>
      <c r="N551" s="265"/>
    </row>
    <row r="552" spans="1:14" s="3" customFormat="1" ht="12.2" customHeight="1" thickBot="1" x14ac:dyDescent="0.2">
      <c r="A552" s="22" t="s">
        <v>635</v>
      </c>
      <c r="B552" s="75">
        <v>21</v>
      </c>
      <c r="C552" s="75">
        <v>24</v>
      </c>
      <c r="D552" s="2" t="s">
        <v>432</v>
      </c>
      <c r="E552" s="75"/>
      <c r="F552" s="87">
        <f>L524</f>
        <v>1689464.6425120153</v>
      </c>
      <c r="G552" s="87">
        <f>L529</f>
        <v>27728.14</v>
      </c>
      <c r="H552" s="87">
        <f>L534</f>
        <v>134767.03</v>
      </c>
      <c r="I552" s="87">
        <f>L539</f>
        <v>2359.8200000000002</v>
      </c>
      <c r="J552" s="87">
        <f>L544</f>
        <v>87827.040000000008</v>
      </c>
      <c r="K552" s="87">
        <f>SUM(F552:J552)</f>
        <v>1942146.6725120153</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6319466.5226400001</v>
      </c>
      <c r="G553" s="89">
        <f t="shared" si="42"/>
        <v>398437.16000000003</v>
      </c>
      <c r="H553" s="89">
        <f t="shared" si="42"/>
        <v>609708.13</v>
      </c>
      <c r="I553" s="89">
        <f t="shared" si="42"/>
        <v>23598.21</v>
      </c>
      <c r="J553" s="89">
        <f t="shared" si="42"/>
        <v>358134.41000000003</v>
      </c>
      <c r="K553" s="89">
        <f t="shared" si="42"/>
        <v>7709344.4326400002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28422.55</v>
      </c>
      <c r="G580" s="18"/>
      <c r="H580" s="18"/>
      <c r="I580" s="87">
        <f t="shared" si="47"/>
        <v>28422.55</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v>378455.01</v>
      </c>
      <c r="H583" s="18">
        <v>349850.44</v>
      </c>
      <c r="I583" s="87">
        <f t="shared" si="47"/>
        <v>728305.45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171779.53</v>
      </c>
      <c r="I592" s="18">
        <v>100691.94</v>
      </c>
      <c r="J592" s="18">
        <v>131873.32999999999</v>
      </c>
      <c r="K592" s="104">
        <f t="shared" ref="K592:K598" si="48">SUM(H592:J592)</f>
        <v>404344.79999999993</v>
      </c>
      <c r="L592" s="24" t="s">
        <v>288</v>
      </c>
      <c r="M592" s="8"/>
      <c r="N592" s="265"/>
    </row>
    <row r="593" spans="1:14" s="3" customFormat="1" ht="12.2" customHeight="1" x14ac:dyDescent="0.15">
      <c r="A593" s="3" t="s">
        <v>638</v>
      </c>
      <c r="B593" s="75">
        <v>23</v>
      </c>
      <c r="C593" s="75">
        <v>2</v>
      </c>
      <c r="D593" s="2" t="s">
        <v>432</v>
      </c>
      <c r="E593" s="75"/>
      <c r="F593" s="102">
        <v>2722</v>
      </c>
      <c r="G593" s="103" t="s">
        <v>97</v>
      </c>
      <c r="H593" s="18">
        <f>21120.45+115757.3</f>
        <v>136877.75</v>
      </c>
      <c r="I593" s="18">
        <v>122411.23</v>
      </c>
      <c r="J593" s="18">
        <v>117657.84</v>
      </c>
      <c r="K593" s="104">
        <f t="shared" si="48"/>
        <v>376946.81999999995</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2308.2399999999998</v>
      </c>
      <c r="K594" s="104">
        <f t="shared" si="48"/>
        <v>2308.2399999999998</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10708.28</v>
      </c>
      <c r="J595" s="18">
        <v>35401.300000000003</v>
      </c>
      <c r="K595" s="104">
        <f t="shared" si="48"/>
        <v>46109.58</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235</v>
      </c>
      <c r="I596" s="18">
        <v>5000</v>
      </c>
      <c r="J596" s="18">
        <v>3734.1</v>
      </c>
      <c r="K596" s="104">
        <f t="shared" si="48"/>
        <v>8969.1</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308892.28000000003</v>
      </c>
      <c r="I599" s="108">
        <f>SUM(I592:I598)</f>
        <v>238811.44999999998</v>
      </c>
      <c r="J599" s="108">
        <f>SUM(J592:J598)</f>
        <v>290974.80999999994</v>
      </c>
      <c r="K599" s="108">
        <f>SUM(K592:K598)</f>
        <v>838678.5399999998</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84259.47</v>
      </c>
      <c r="I605" s="18">
        <v>33345.96</v>
      </c>
      <c r="J605" s="18">
        <v>50716.32</v>
      </c>
      <c r="K605" s="104">
        <f>SUM(H605:J605)</f>
        <v>168321.75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84259.47</v>
      </c>
      <c r="I606" s="108">
        <f>SUM(I603:I605)</f>
        <v>33345.96</v>
      </c>
      <c r="J606" s="108">
        <f>SUM(J603:J605)</f>
        <v>50716.32</v>
      </c>
      <c r="K606" s="108">
        <f>SUM(K603:K605)</f>
        <v>168321.75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513394.78</v>
      </c>
      <c r="H618" s="109">
        <f>SUM(F52)</f>
        <v>513394.77999999997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304839.8</v>
      </c>
      <c r="H619" s="109">
        <f>SUM(G52)</f>
        <v>304839.8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2875336.9099999997</v>
      </c>
      <c r="H620" s="109">
        <f>SUM(H52)</f>
        <v>2875336.91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36418860.479999997</v>
      </c>
      <c r="H628" s="104">
        <f>SUM(F469)</f>
        <v>36418860.479999997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1454478.0499999998</v>
      </c>
      <c r="H629" s="104">
        <f>SUM(G469)</f>
        <v>1454478.05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5177428.2799999993</v>
      </c>
      <c r="H630" s="104">
        <f>SUM(H469)</f>
        <v>5177428.28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600000</v>
      </c>
      <c r="H632" s="104">
        <f>SUM(J469)</f>
        <v>600000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36418860.475856408</v>
      </c>
      <c r="H633" s="104">
        <f>SUM(F473)</f>
        <v>36418860.479999997</v>
      </c>
      <c r="I633" s="140" t="s">
        <v>111</v>
      </c>
      <c r="J633" s="109">
        <f t="shared" si="50"/>
        <v>-4.1435882449150085E-3</v>
      </c>
      <c r="K633" s="85"/>
      <c r="L633" s="88"/>
      <c r="M633" s="8"/>
    </row>
    <row r="634" spans="1:13" s="3" customFormat="1" ht="12.2" customHeight="1" x14ac:dyDescent="0.15">
      <c r="A634" s="22"/>
      <c r="B634" s="105"/>
      <c r="C634" s="105"/>
      <c r="D634" s="105"/>
      <c r="E634" s="105"/>
      <c r="F634" s="120" t="s">
        <v>395</v>
      </c>
      <c r="G634" s="109">
        <f>SUM(L353)</f>
        <v>5177428.2842549998</v>
      </c>
      <c r="H634" s="104">
        <f>SUM(H473)</f>
        <v>5177428.28</v>
      </c>
      <c r="I634" s="140" t="s">
        <v>112</v>
      </c>
      <c r="J634" s="109">
        <f>G634-H634</f>
        <v>4.2549995705485344E-3</v>
      </c>
      <c r="K634" s="85"/>
      <c r="L634" s="88"/>
      <c r="M634" s="8"/>
    </row>
    <row r="635" spans="1:13" s="169" customFormat="1" ht="12.2" customHeight="1" x14ac:dyDescent="0.15">
      <c r="A635" s="22"/>
      <c r="B635" s="105"/>
      <c r="C635" s="105"/>
      <c r="D635" s="105"/>
      <c r="E635" s="105"/>
      <c r="F635" s="142" t="s">
        <v>247</v>
      </c>
      <c r="G635" s="109">
        <f>I363</f>
        <v>632187.28999999992</v>
      </c>
      <c r="H635" s="104">
        <f>I370</f>
        <v>632187.28999999992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1454478.0499999998</v>
      </c>
      <c r="H636" s="104">
        <f>SUM(G473)</f>
        <v>1454478.05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600000</v>
      </c>
      <c r="H638" s="164">
        <f>SUM(J469)</f>
        <v>600000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600000</v>
      </c>
      <c r="H639" s="164">
        <f>SUM(J473)</f>
        <v>600000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600000</v>
      </c>
      <c r="H646" s="104">
        <f>G409</f>
        <v>600000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600000</v>
      </c>
      <c r="H647" s="104">
        <f>L409</f>
        <v>600000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838678.5399999998</v>
      </c>
      <c r="H648" s="104">
        <f>L209+L227+L245</f>
        <v>838678.54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168321.75</v>
      </c>
      <c r="H649" s="104">
        <f>(J258+J339)-(J256+J337)</f>
        <v>168321.74934836739</v>
      </c>
      <c r="I649" s="140" t="s">
        <v>699</v>
      </c>
      <c r="J649" s="109">
        <f t="shared" si="50"/>
        <v>6.5163261024281383E-4</v>
      </c>
      <c r="K649" s="85"/>
      <c r="L649" s="88"/>
      <c r="M649" s="8"/>
    </row>
    <row r="650" spans="1:13" s="3" customFormat="1" ht="12.2" customHeight="1" x14ac:dyDescent="0.15">
      <c r="A650" s="22"/>
      <c r="B650" s="105"/>
      <c r="C650" s="105"/>
      <c r="D650" s="105"/>
      <c r="E650" s="105"/>
      <c r="F650" s="120" t="s">
        <v>387</v>
      </c>
      <c r="G650" s="109">
        <f>L209</f>
        <v>308892.27868653764</v>
      </c>
      <c r="H650" s="104">
        <f>H599</f>
        <v>308892.28000000003</v>
      </c>
      <c r="I650" s="140" t="s">
        <v>388</v>
      </c>
      <c r="J650" s="109">
        <f t="shared" si="50"/>
        <v>-1.3134623877704144E-3</v>
      </c>
      <c r="K650" s="85"/>
      <c r="L650" s="88"/>
      <c r="M650" s="8"/>
    </row>
    <row r="651" spans="1:13" s="3" customFormat="1" ht="12.2" customHeight="1" x14ac:dyDescent="0.15">
      <c r="A651" s="22"/>
      <c r="B651" s="105"/>
      <c r="C651" s="105"/>
      <c r="D651" s="105"/>
      <c r="E651" s="105"/>
      <c r="F651" s="120" t="s">
        <v>392</v>
      </c>
      <c r="G651" s="109">
        <f>L227</f>
        <v>238811.44977712439</v>
      </c>
      <c r="H651" s="104">
        <f>I599</f>
        <v>238811.44999999998</v>
      </c>
      <c r="I651" s="140" t="s">
        <v>389</v>
      </c>
      <c r="J651" s="109">
        <f t="shared" si="50"/>
        <v>-2.228755911346525E-4</v>
      </c>
      <c r="K651" s="85"/>
      <c r="L651" s="88"/>
      <c r="M651" s="8"/>
    </row>
    <row r="652" spans="1:13" s="3" customFormat="1" ht="12.2" customHeight="1" x14ac:dyDescent="0.15">
      <c r="A652" s="22"/>
      <c r="B652" s="105"/>
      <c r="C652" s="105"/>
      <c r="D652" s="105"/>
      <c r="E652" s="105"/>
      <c r="F652" s="120" t="s">
        <v>393</v>
      </c>
      <c r="G652" s="109">
        <f>L245</f>
        <v>290974.81153633795</v>
      </c>
      <c r="H652" s="104">
        <f>J599</f>
        <v>290974.80999999994</v>
      </c>
      <c r="I652" s="140" t="s">
        <v>390</v>
      </c>
      <c r="J652" s="109">
        <f t="shared" si="50"/>
        <v>1.5363380080088973E-3</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600000</v>
      </c>
      <c r="H656" s="104">
        <f>K267+K348</f>
        <v>600000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7.6302886009216309E-4</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17054031.694864742</v>
      </c>
      <c r="G661" s="19">
        <f>(L230+L310+L360)</f>
        <v>9194162.5232837759</v>
      </c>
      <c r="H661" s="19">
        <f>(L248+L329+L361)</f>
        <v>12964122.747693578</v>
      </c>
      <c r="I661" s="19">
        <f>SUM(F661:H661)</f>
        <v>39212316.965842098</v>
      </c>
      <c r="J661" s="13"/>
      <c r="K661" s="13"/>
      <c r="L661" s="13"/>
      <c r="M661" s="9"/>
    </row>
    <row r="662" spans="1:13" s="3" customFormat="1" ht="12.2" customHeight="1" x14ac:dyDescent="0.2">
      <c r="A662" s="1" t="s">
        <v>127</v>
      </c>
      <c r="F662" s="19">
        <f>(L359/IF(SUM(L359:L361)=0,1,SUM(L359:L361))*(SUM(G97:G110)))</f>
        <v>25429.188927300667</v>
      </c>
      <c r="G662" s="19">
        <f>(L360/IF(SUM(L359:L361)=0,1,SUM(L359:L361))*(SUM(G97:G110)))</f>
        <v>16382.752149134538</v>
      </c>
      <c r="H662" s="19">
        <f>(L361/IF(SUM(L359:L361)=0,1,SUM(L359:L361))*(SUM(G97:G110)))</f>
        <v>15914.398923564795</v>
      </c>
      <c r="I662" s="19">
        <f>SUM(F662:H662)</f>
        <v>57726.340000000004</v>
      </c>
      <c r="J662"/>
      <c r="K662" s="13"/>
      <c r="L662" s="13"/>
      <c r="M662" s="8"/>
    </row>
    <row r="663" spans="1:13" s="3" customFormat="1" ht="12.2" customHeight="1" x14ac:dyDescent="0.2">
      <c r="A663" s="1" t="s">
        <v>128</v>
      </c>
      <c r="F663" s="19">
        <f>(L209+L288)-(J209+J288)</f>
        <v>369551.82334653765</v>
      </c>
      <c r="G663" s="19">
        <f>(L227+L307)-(J227+J307)</f>
        <v>256898.48360212438</v>
      </c>
      <c r="H663" s="19">
        <f>(L245+L326)-(J245+J326)</f>
        <v>314663.95770133793</v>
      </c>
      <c r="I663" s="19">
        <f>SUM(F663:H663)</f>
        <v>941114.26465000003</v>
      </c>
      <c r="J663"/>
      <c r="K663" s="13"/>
      <c r="L663" s="13"/>
      <c r="M663" s="9"/>
    </row>
    <row r="664" spans="1:13" s="3" customFormat="1" ht="12.2" customHeight="1" x14ac:dyDescent="0.15">
      <c r="A664" s="197" t="s">
        <v>129</v>
      </c>
      <c r="B664" s="169"/>
      <c r="C664" s="169"/>
      <c r="D664" s="169"/>
      <c r="E664" s="169"/>
      <c r="F664" s="198">
        <f>SUM(F576:F588)+SUM(H603:H605)+SUM(L612)</f>
        <v>112682.02</v>
      </c>
      <c r="G664" s="198">
        <f>SUM(G576:G588)+SUM(I603:I605)+L613</f>
        <v>411800.97000000003</v>
      </c>
      <c r="H664" s="198">
        <f>SUM(H576:H588)+SUM(J603:J605)+L614</f>
        <v>400566.76</v>
      </c>
      <c r="I664" s="19">
        <f>SUM(F664:H664)</f>
        <v>925049.75</v>
      </c>
      <c r="J664" s="13"/>
      <c r="K664" s="13"/>
      <c r="L664" s="13"/>
      <c r="M664" s="9"/>
    </row>
    <row r="665" spans="1:13" s="3" customFormat="1" ht="12.2" customHeight="1" x14ac:dyDescent="0.15">
      <c r="A665" s="1" t="s">
        <v>130</v>
      </c>
      <c r="F665" s="19">
        <f>F661-SUM(F662:F664)</f>
        <v>16546368.662590904</v>
      </c>
      <c r="G665" s="19">
        <f>G661-SUM(G662:G664)</f>
        <v>8509080.317532517</v>
      </c>
      <c r="H665" s="19">
        <f>H661-SUM(H662:H664)</f>
        <v>12232977.631068675</v>
      </c>
      <c r="I665" s="19">
        <f>I661-SUM(I662:I664)</f>
        <v>37288426.6111921</v>
      </c>
      <c r="J665" s="13"/>
      <c r="K665" s="13"/>
      <c r="L665" s="13"/>
      <c r="M665" s="8"/>
    </row>
    <row r="666" spans="1:13" s="3" customFormat="1" ht="12.2" customHeight="1" x14ac:dyDescent="0.2">
      <c r="A666" s="1" t="s">
        <v>131</v>
      </c>
      <c r="F666" s="245">
        <v>787.96</v>
      </c>
      <c r="G666" s="246">
        <v>430.19</v>
      </c>
      <c r="H666" s="246">
        <v>563.57000000000005</v>
      </c>
      <c r="I666" s="19">
        <f>SUM(F666:H666)</f>
        <v>1781.7200000000003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20999</v>
      </c>
      <c r="G668" s="19">
        <f>ROUND(G665/G666,2)</f>
        <v>19779.82</v>
      </c>
      <c r="H668" s="19">
        <f>ROUND(H665/H666,2)</f>
        <v>21706.23</v>
      </c>
      <c r="I668" s="19">
        <f>ROUND(I665/I666,2)</f>
        <v>20928.330000000002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67.78</v>
      </c>
      <c r="I671" s="19">
        <f>SUM(F671:H671)</f>
        <v>67.78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20999</v>
      </c>
      <c r="G673" s="19">
        <f>ROUND((G665+G670)/(G666+G671),2)</f>
        <v>19779.82</v>
      </c>
      <c r="H673" s="19">
        <f>ROUND((H665+H670)/(H666+H671),2)</f>
        <v>19375.91</v>
      </c>
      <c r="I673" s="19">
        <f>ROUND((I665+I670)/(I666+I671),2)</f>
        <v>20161.36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E18" sqref="E18"/>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779540.07</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182361.45</v>
      </c>
      <c r="F9" s="349" t="s">
        <v>1644</v>
      </c>
    </row>
    <row r="10" spans="2:8" x14ac:dyDescent="0.25">
      <c r="B10" s="348"/>
      <c r="C10" s="348"/>
      <c r="D10" s="348"/>
      <c r="E10" s="348"/>
      <c r="F10" s="348"/>
    </row>
    <row r="11" spans="2:8" x14ac:dyDescent="0.25">
      <c r="B11" s="348"/>
      <c r="C11" s="352" t="s">
        <v>1648</v>
      </c>
      <c r="D11" s="349" t="s">
        <v>1651</v>
      </c>
      <c r="E11" s="336">
        <v>1066</v>
      </c>
      <c r="F11" s="349" t="s">
        <v>1645</v>
      </c>
    </row>
    <row r="12" spans="2:8" x14ac:dyDescent="0.25">
      <c r="B12" s="348"/>
      <c r="C12" s="348"/>
      <c r="D12" s="349"/>
      <c r="E12" s="348"/>
      <c r="F12" s="348"/>
    </row>
    <row r="13" spans="2:8" x14ac:dyDescent="0.25">
      <c r="B13" s="348"/>
      <c r="C13" s="349" t="s">
        <v>1638</v>
      </c>
      <c r="D13" s="349" t="s">
        <v>1652</v>
      </c>
      <c r="E13" s="336">
        <v>68707.55</v>
      </c>
      <c r="F13" s="349" t="s">
        <v>1646</v>
      </c>
    </row>
    <row r="14" spans="2:8" x14ac:dyDescent="0.25">
      <c r="B14" s="348"/>
      <c r="C14" s="348"/>
      <c r="D14" s="349"/>
      <c r="E14" s="348"/>
      <c r="F14" s="348"/>
    </row>
    <row r="15" spans="2:8" x14ac:dyDescent="0.25">
      <c r="B15" s="348"/>
      <c r="C15" s="349" t="s">
        <v>1640</v>
      </c>
      <c r="D15" s="349" t="s">
        <v>1653</v>
      </c>
      <c r="E15" s="336">
        <v>431356.99</v>
      </c>
      <c r="F15" s="349" t="s">
        <v>1647</v>
      </c>
    </row>
    <row r="16" spans="2:8" x14ac:dyDescent="0.25">
      <c r="B16" s="348"/>
      <c r="C16" s="348"/>
      <c r="D16" s="348"/>
      <c r="E16" s="348"/>
      <c r="F16" s="348"/>
    </row>
    <row r="17" spans="2:8" x14ac:dyDescent="0.25">
      <c r="B17" s="348"/>
      <c r="C17" s="349" t="s">
        <v>1639</v>
      </c>
      <c r="D17" s="349" t="s">
        <v>1654</v>
      </c>
      <c r="E17" s="336">
        <v>96048.08</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37191.160000000003</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Laconia</v>
      </c>
      <c r="C5" s="375"/>
      <c r="D5" s="375"/>
      <c r="E5" s="375"/>
      <c r="F5" s="375"/>
    </row>
    <row r="8" spans="1:9" ht="18" x14ac:dyDescent="0.25">
      <c r="A8" s="312" t="s">
        <v>1568</v>
      </c>
      <c r="F8" s="319" t="s">
        <v>1586</v>
      </c>
    </row>
    <row r="9" spans="1:9" ht="15" x14ac:dyDescent="0.2">
      <c r="A9" s="310" t="s">
        <v>1569</v>
      </c>
      <c r="B9" s="313">
        <f>'DOE25'!G97</f>
        <v>57726.34</v>
      </c>
      <c r="F9" s="310" t="s">
        <v>1582</v>
      </c>
    </row>
    <row r="10" spans="1:9" ht="15" x14ac:dyDescent="0.2">
      <c r="A10" s="310" t="s">
        <v>1570</v>
      </c>
      <c r="B10" s="313">
        <f>'DOE25'!G112-'DOE25'!G97</f>
        <v>0</v>
      </c>
      <c r="F10" s="310" t="s">
        <v>1583</v>
      </c>
    </row>
    <row r="11" spans="1:9" ht="15" x14ac:dyDescent="0.2">
      <c r="A11" s="310" t="s">
        <v>1571</v>
      </c>
      <c r="B11" s="313">
        <f>'DOE25'!G140</f>
        <v>219213.46999999997</v>
      </c>
      <c r="F11" s="310" t="s">
        <v>1584</v>
      </c>
    </row>
    <row r="12" spans="1:9" ht="15" x14ac:dyDescent="0.2">
      <c r="A12" s="310" t="s">
        <v>1572</v>
      </c>
      <c r="B12" s="313">
        <f>'DOE25'!G170</f>
        <v>1177538.24</v>
      </c>
      <c r="F12" s="310" t="s">
        <v>1585</v>
      </c>
    </row>
    <row r="13" spans="1:9" ht="15" x14ac:dyDescent="0.2">
      <c r="A13" s="310" t="s">
        <v>1573</v>
      </c>
      <c r="B13" s="313">
        <f>'DOE25'!G193-'DOE25'!G180</f>
        <v>0</v>
      </c>
      <c r="F13" s="310" t="s">
        <v>1595</v>
      </c>
    </row>
    <row r="14" spans="1:9" ht="18" x14ac:dyDescent="0.25">
      <c r="A14" s="312" t="s">
        <v>732</v>
      </c>
      <c r="B14" s="314">
        <f>SUM(B9:B13)</f>
        <v>1454478.0499999998</v>
      </c>
    </row>
    <row r="16" spans="1:9" ht="18" x14ac:dyDescent="0.25">
      <c r="A16" s="312" t="s">
        <v>786</v>
      </c>
      <c r="F16" s="319" t="s">
        <v>1587</v>
      </c>
    </row>
    <row r="17" spans="1:6" ht="15" x14ac:dyDescent="0.2">
      <c r="A17" s="310" t="s">
        <v>1574</v>
      </c>
      <c r="B17" s="313">
        <f>'DOE25'!L363-'DOE25'!L362</f>
        <v>1454478.0499999998</v>
      </c>
      <c r="F17" s="310" t="s">
        <v>1588</v>
      </c>
    </row>
    <row r="18" spans="1:6" ht="15" x14ac:dyDescent="0.2">
      <c r="A18" s="310" t="s">
        <v>1575</v>
      </c>
      <c r="B18" s="323"/>
      <c r="F18" s="319" t="s">
        <v>1612</v>
      </c>
    </row>
    <row r="19" spans="1:6" ht="18" x14ac:dyDescent="0.25">
      <c r="A19" s="312" t="s">
        <v>725</v>
      </c>
      <c r="B19" s="314">
        <f>SUM(B17:B18)</f>
        <v>1454478.0499999998</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70134.12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I34" sqref="I34"/>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Laconia</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9948412.0295165423</v>
      </c>
      <c r="C9" s="228">
        <f>'DOE25'!G198+'DOE25'!G216+'DOE25'!G234+'DOE25'!G277+'DOE25'!G296+'DOE25'!G315</f>
        <v>5033090.9015980605</v>
      </c>
    </row>
    <row r="10" spans="1:3" x14ac:dyDescent="0.2">
      <c r="A10" t="s">
        <v>775</v>
      </c>
      <c r="B10" s="239">
        <v>9221708.8200000003</v>
      </c>
      <c r="C10" s="239">
        <v>4670708.3600000003</v>
      </c>
    </row>
    <row r="11" spans="1:3" x14ac:dyDescent="0.2">
      <c r="A11" t="s">
        <v>776</v>
      </c>
      <c r="B11" s="239">
        <v>13887.76</v>
      </c>
      <c r="C11" s="239">
        <v>5033.09</v>
      </c>
    </row>
    <row r="12" spans="1:3" x14ac:dyDescent="0.2">
      <c r="A12" t="s">
        <v>777</v>
      </c>
      <c r="B12" s="239">
        <f>542256.06+170559.39</f>
        <v>712815.45000000007</v>
      </c>
      <c r="C12" s="239">
        <v>357349.45</v>
      </c>
    </row>
    <row r="13" spans="1:3" x14ac:dyDescent="0.2">
      <c r="A13" t="str">
        <f>IF(B9=B13,IF(C9=C13,"Check Total OK","Check Total Error"),"Check Total Error")</f>
        <v>Check Total Error</v>
      </c>
      <c r="B13" s="230">
        <f>SUM(B10:B12)</f>
        <v>9948412.0299999993</v>
      </c>
      <c r="C13" s="230">
        <f>SUM(C10:C12)</f>
        <v>5033090.9000000004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3749028.0629199999</v>
      </c>
      <c r="C18" s="228">
        <f>'DOE25'!G199+'DOE25'!G217+'DOE25'!G235+'DOE25'!G278+'DOE25'!G297+'DOE25'!G316</f>
        <v>1944569.8000936178</v>
      </c>
    </row>
    <row r="19" spans="1:3" x14ac:dyDescent="0.2">
      <c r="A19" t="s">
        <v>775</v>
      </c>
      <c r="B19" s="239">
        <f>1450997.75+58640.69+417839.19</f>
        <v>1927477.63</v>
      </c>
      <c r="C19" s="239">
        <v>1001453.45</v>
      </c>
    </row>
    <row r="20" spans="1:3" x14ac:dyDescent="0.2">
      <c r="A20" t="s">
        <v>776</v>
      </c>
      <c r="B20" s="239">
        <v>1327914.6599999999</v>
      </c>
      <c r="C20" s="239">
        <v>688377.71</v>
      </c>
    </row>
    <row r="21" spans="1:3" x14ac:dyDescent="0.2">
      <c r="A21" t="s">
        <v>777</v>
      </c>
      <c r="B21" s="239">
        <f>340185.74+152880+570.03</f>
        <v>493635.77</v>
      </c>
      <c r="C21" s="239">
        <v>254738.64</v>
      </c>
    </row>
    <row r="22" spans="1:3" x14ac:dyDescent="0.2">
      <c r="A22" t="str">
        <f>IF(B18=B22,IF(C18=C22,"Check Total OK","Check Total Error"),"Check Total Error")</f>
        <v>Check Total Error</v>
      </c>
      <c r="B22" s="230">
        <f>SUM(B19:B21)</f>
        <v>3749028.06</v>
      </c>
      <c r="C22" s="230">
        <f>SUM(C19:C21)</f>
        <v>1944569.7999999998</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1066379.97</v>
      </c>
      <c r="C27" s="233">
        <f>'DOE25'!G200+'DOE25'!G218+'DOE25'!G236+'DOE25'!G279+'DOE25'!G298+'DOE25'!G317</f>
        <v>498661.5728217435</v>
      </c>
    </row>
    <row r="28" spans="1:3" x14ac:dyDescent="0.2">
      <c r="A28" t="s">
        <v>775</v>
      </c>
      <c r="B28" s="239">
        <v>854606.08</v>
      </c>
      <c r="C28" s="239">
        <v>398929.26</v>
      </c>
    </row>
    <row r="29" spans="1:3" x14ac:dyDescent="0.2">
      <c r="A29" t="s">
        <v>776</v>
      </c>
      <c r="B29" s="239">
        <f>7392.85+11469.1</f>
        <v>18861.95</v>
      </c>
      <c r="C29" s="239">
        <v>9973.23</v>
      </c>
    </row>
    <row r="30" spans="1:3" x14ac:dyDescent="0.2">
      <c r="A30" t="s">
        <v>777</v>
      </c>
      <c r="B30" s="239">
        <v>192911.94</v>
      </c>
      <c r="C30" s="239">
        <v>89759.08</v>
      </c>
    </row>
    <row r="31" spans="1:3" x14ac:dyDescent="0.2">
      <c r="A31" t="str">
        <f>IF(B27=B31,IF(C27=C31,"Check Total OK","Check Total Error"),"Check Total Error")</f>
        <v>Check Total Error</v>
      </c>
      <c r="B31" s="230">
        <f>SUM(B28:B30)</f>
        <v>1066379.97</v>
      </c>
      <c r="C31" s="230">
        <f>SUM(C28:C30)</f>
        <v>498661.57</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172998.5</v>
      </c>
      <c r="C36" s="234">
        <f>'DOE25'!G201+'DOE25'!G219+'DOE25'!G237+'DOE25'!G280+'DOE25'!G299+'DOE25'!G318</f>
        <v>83327.767053022108</v>
      </c>
    </row>
    <row r="37" spans="1:3" x14ac:dyDescent="0.2">
      <c r="A37" t="s">
        <v>775</v>
      </c>
      <c r="B37" s="239">
        <v>0</v>
      </c>
      <c r="C37" s="239"/>
    </row>
    <row r="38" spans="1:3" x14ac:dyDescent="0.2">
      <c r="A38" t="s">
        <v>776</v>
      </c>
      <c r="B38" s="239"/>
      <c r="C38" s="239"/>
    </row>
    <row r="39" spans="1:3" x14ac:dyDescent="0.2">
      <c r="A39" t="s">
        <v>777</v>
      </c>
      <c r="B39" s="239">
        <v>172998.5</v>
      </c>
      <c r="C39" s="239">
        <v>83327.77</v>
      </c>
    </row>
    <row r="40" spans="1:3" x14ac:dyDescent="0.2">
      <c r="A40" t="str">
        <f>IF(B36=B40,IF(C36=C40,"Check Total OK","Check Total Error"),"Check Total Error")</f>
        <v>Check Total Error</v>
      </c>
      <c r="B40" s="230">
        <f>SUM(B37:B39)</f>
        <v>172998.5</v>
      </c>
      <c r="C40" s="230">
        <f>SUM(C37:C39)</f>
        <v>83327.77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26" activePane="bottomLeft" state="frozen"/>
      <selection activeCell="F46" sqref="F46"/>
      <selection pane="bottomLeft" activeCell="C22" sqref="C2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Laconia</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22213700.752671354</v>
      </c>
      <c r="D5" s="20">
        <f>SUM('DOE25'!L198:L201)+SUM('DOE25'!L216:L219)+SUM('DOE25'!L234:L237)-F5-G5-H5</f>
        <v>22161400.145862985</v>
      </c>
      <c r="E5" s="242"/>
      <c r="F5" s="243"/>
      <c r="G5" s="53">
        <f>SUM('DOE25'!J198:J201)+SUM('DOE25'!J216:J219)+SUM('DOE25'!J234:J237)</f>
        <v>49825.606808367374</v>
      </c>
      <c r="H5" s="53">
        <f>SUM('DOE25'!K198:K201)+SUM('DOE25'!K216:K219)+SUM('DOE25'!K234:K237)</f>
        <v>2475</v>
      </c>
      <c r="I5" s="255"/>
    </row>
    <row r="6" spans="1:9" x14ac:dyDescent="0.2">
      <c r="A6" s="32">
        <v>2100</v>
      </c>
      <c r="B6" t="s">
        <v>796</v>
      </c>
      <c r="C6" s="274">
        <f t="shared" si="0"/>
        <v>2127029.9060162315</v>
      </c>
      <c r="D6" s="20">
        <f>'DOE25'!L203+'DOE25'!L221+'DOE25'!L239-F6-G6-H6</f>
        <v>2122843.0960162315</v>
      </c>
      <c r="E6" s="242"/>
      <c r="F6" s="243"/>
      <c r="G6" s="53">
        <f>'DOE25'!J203+'DOE25'!J221+'DOE25'!J239</f>
        <v>4186.8099999999995</v>
      </c>
      <c r="H6" s="53">
        <f>'DOE25'!K203+'DOE25'!K221+'DOE25'!K239</f>
        <v>0</v>
      </c>
      <c r="I6" s="255"/>
    </row>
    <row r="7" spans="1:9" x14ac:dyDescent="0.2">
      <c r="A7" s="32">
        <v>2200</v>
      </c>
      <c r="B7" t="s">
        <v>821</v>
      </c>
      <c r="C7" s="274">
        <f t="shared" si="0"/>
        <v>1114300.2642586594</v>
      </c>
      <c r="D7" s="20">
        <f>'DOE25'!L204+'DOE25'!L222+'DOE25'!L240-F7-G7-H7</f>
        <v>1103359.3242586595</v>
      </c>
      <c r="E7" s="242"/>
      <c r="F7" s="243"/>
      <c r="G7" s="53">
        <f>'DOE25'!J204+'DOE25'!J222+'DOE25'!J240</f>
        <v>10940.94</v>
      </c>
      <c r="H7" s="53">
        <f>'DOE25'!K204+'DOE25'!K222+'DOE25'!K240</f>
        <v>0</v>
      </c>
      <c r="I7" s="255"/>
    </row>
    <row r="8" spans="1:9" x14ac:dyDescent="0.2">
      <c r="A8" s="32">
        <v>2300</v>
      </c>
      <c r="B8" t="s">
        <v>797</v>
      </c>
      <c r="C8" s="274">
        <f t="shared" si="0"/>
        <v>975119.63416772429</v>
      </c>
      <c r="D8" s="242"/>
      <c r="E8" s="20">
        <f>'DOE25'!L205+'DOE25'!L223+'DOE25'!L241-F8-G8-H8-D9-D11</f>
        <v>947227.69416772434</v>
      </c>
      <c r="F8" s="243"/>
      <c r="G8" s="53">
        <f>'DOE25'!J205+'DOE25'!J223+'DOE25'!J241</f>
        <v>0</v>
      </c>
      <c r="H8" s="53">
        <f>'DOE25'!K205+'DOE25'!K223+'DOE25'!K241</f>
        <v>27891.940000000002</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2073236.6913439096</v>
      </c>
      <c r="D12" s="20">
        <f>'DOE25'!L206+'DOE25'!L224+'DOE25'!L242-F12-G12-H12</f>
        <v>2058309.0513439097</v>
      </c>
      <c r="E12" s="242"/>
      <c r="F12" s="243"/>
      <c r="G12" s="53">
        <f>'DOE25'!J206+'DOE25'!J224+'DOE25'!J242</f>
        <v>1373</v>
      </c>
      <c r="H12" s="53">
        <f>'DOE25'!K206+'DOE25'!K224+'DOE25'!K242</f>
        <v>13554.640000000001</v>
      </c>
      <c r="I12" s="255"/>
    </row>
    <row r="13" spans="1:9" x14ac:dyDescent="0.2">
      <c r="A13" s="32">
        <v>2500</v>
      </c>
      <c r="B13" t="s">
        <v>798</v>
      </c>
      <c r="C13" s="274">
        <f t="shared" si="0"/>
        <v>433015.68567757774</v>
      </c>
      <c r="D13" s="242"/>
      <c r="E13" s="20">
        <f>'DOE25'!L207+'DOE25'!L225+'DOE25'!L243-F13-G13-H13</f>
        <v>433015.68567757774</v>
      </c>
      <c r="F13" s="243"/>
      <c r="G13" s="53">
        <f>'DOE25'!J207+'DOE25'!J225+'DOE25'!J243</f>
        <v>0</v>
      </c>
      <c r="H13" s="53">
        <f>'DOE25'!K207+'DOE25'!K225+'DOE25'!K243</f>
        <v>0</v>
      </c>
      <c r="I13" s="255"/>
    </row>
    <row r="14" spans="1:9" x14ac:dyDescent="0.2">
      <c r="A14" s="32">
        <v>2600</v>
      </c>
      <c r="B14" t="s">
        <v>819</v>
      </c>
      <c r="C14" s="274">
        <f t="shared" si="0"/>
        <v>3053764.3523366367</v>
      </c>
      <c r="D14" s="20">
        <f>'DOE25'!L208+'DOE25'!L226+'DOE25'!L244-F14-G14-H14</f>
        <v>3043997.0323366369</v>
      </c>
      <c r="E14" s="242"/>
      <c r="F14" s="243"/>
      <c r="G14" s="53">
        <f>'DOE25'!J208+'DOE25'!J226+'DOE25'!J244</f>
        <v>9767.32</v>
      </c>
      <c r="H14" s="53">
        <f>'DOE25'!K208+'DOE25'!K226+'DOE25'!K244</f>
        <v>0</v>
      </c>
      <c r="I14" s="255"/>
    </row>
    <row r="15" spans="1:9" x14ac:dyDescent="0.2">
      <c r="A15" s="32">
        <v>2700</v>
      </c>
      <c r="B15" t="s">
        <v>799</v>
      </c>
      <c r="C15" s="274">
        <f t="shared" si="0"/>
        <v>838678.54</v>
      </c>
      <c r="D15" s="20">
        <f>'DOE25'!L209+'DOE25'!L227+'DOE25'!L245-F15-G15-H15</f>
        <v>838678.54</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335567.84938431589</v>
      </c>
      <c r="D17" s="20">
        <f>'DOE25'!L252-F17-G17-H17</f>
        <v>335567.84938431589</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301884.78999999998</v>
      </c>
      <c r="D22" s="242"/>
      <c r="E22" s="242"/>
      <c r="F22" s="242"/>
      <c r="G22" s="53">
        <f>'DOE25'!L256+'DOE25'!L337</f>
        <v>301884.78999999998</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2352562.0099999998</v>
      </c>
      <c r="D25" s="242"/>
      <c r="E25" s="242"/>
      <c r="F25" s="254"/>
      <c r="G25" s="252"/>
      <c r="H25" s="252"/>
      <c r="I25" s="253">
        <f>'DOE25'!L261+'DOE25'!L262+'DOE25'!L342+'DOE25'!L343</f>
        <v>2352562.0099999998</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822290.75999999989</v>
      </c>
      <c r="D29" s="282">
        <f>'DOE25'!L359+'DOE25'!L360+'DOE25'!L361-'DOE25'!I368-F29-G29-H29</f>
        <v>815882.77999999991</v>
      </c>
      <c r="E29" s="242"/>
      <c r="F29" s="243"/>
      <c r="G29" s="53">
        <f>'DOE25'!J359+'DOE25'!J360+'DOE25'!J361</f>
        <v>6407.9800000000005</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5024417.9893700005</v>
      </c>
      <c r="D31" s="20">
        <f>'DOE25'!L291+'DOE25'!L310+'DOE25'!L329+'DOE25'!L334+'DOE25'!L335+'DOE25'!L336-F31-G31-H31</f>
        <v>4930847.4438300002</v>
      </c>
      <c r="E31" s="242"/>
      <c r="F31" s="243"/>
      <c r="G31" s="53">
        <f>'DOE25'!J291+'DOE25'!J310+'DOE25'!J329+'DOE25'!J334+'DOE25'!J335+'DOE25'!J336</f>
        <v>92228.072539999994</v>
      </c>
      <c r="H31" s="53">
        <f>'DOE25'!K291+'DOE25'!K310+'DOE25'!K329+'DOE25'!K334+'DOE25'!K335+'DOE25'!K336</f>
        <v>1342.473</v>
      </c>
      <c r="I31" s="255"/>
    </row>
    <row r="32" spans="1:9" ht="12" thickBot="1" x14ac:dyDescent="0.25">
      <c r="C32" s="275"/>
      <c r="G32" s="250"/>
      <c r="H32" s="250"/>
      <c r="I32" s="257"/>
    </row>
    <row r="33" spans="1:9" ht="12" thickTop="1" x14ac:dyDescent="0.2">
      <c r="B33" t="s">
        <v>809</v>
      </c>
      <c r="D33" s="244">
        <f t="shared" ref="D33:I33" si="1">SUM(D5:D31)</f>
        <v>37410885.263032742</v>
      </c>
      <c r="E33" s="244">
        <f t="shared" si="1"/>
        <v>1380243.3798453021</v>
      </c>
      <c r="F33" s="244">
        <f t="shared" si="1"/>
        <v>0</v>
      </c>
      <c r="G33" s="244">
        <f t="shared" si="1"/>
        <v>476614.51934836735</v>
      </c>
      <c r="H33" s="244">
        <f t="shared" si="1"/>
        <v>45264.053</v>
      </c>
      <c r="I33" s="244">
        <f t="shared" si="1"/>
        <v>2352562.0099999998</v>
      </c>
    </row>
    <row r="35" spans="1:9" ht="12" thickBot="1" x14ac:dyDescent="0.25">
      <c r="B35" s="250" t="s">
        <v>831</v>
      </c>
      <c r="D35" s="251">
        <f>E33</f>
        <v>1380243.3798453021</v>
      </c>
      <c r="E35" s="247"/>
      <c r="F35" s="328" t="s">
        <v>1617</v>
      </c>
      <c r="G35" s="329"/>
      <c r="H35" s="329"/>
      <c r="I35" s="329"/>
    </row>
    <row r="36" spans="1:9" ht="12" thickTop="1" x14ac:dyDescent="0.2">
      <c r="B36" t="s">
        <v>810</v>
      </c>
      <c r="D36" s="20">
        <f>D33</f>
        <v>37410885.263032742</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26" sqref="E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Laconia</v>
      </c>
      <c r="B2" s="126">
        <f>'DOE25'!B2</f>
        <v>285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16413315.57</v>
      </c>
      <c r="G4" s="299">
        <f>'DOE25'!L212+'DOE25'!L291</f>
        <v>16413315.565554244</v>
      </c>
      <c r="H4" s="340">
        <f>F4-G4</f>
        <v>4.4457558542490005E-3</v>
      </c>
      <c r="I4" s="383" t="str">
        <f>IF(H4=0,"","ISSUES!! Please review page 7 and 11 totals in comparison with total on this page")</f>
        <v>ISSUES!! Please review page 7 and 11 totals in comparison with total on this page</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Elm Street School</v>
      </c>
      <c r="B6" s="300">
        <f>IFERROR(VLOOKUP(A6,'School Tables'!$C$3:$D$365,2,FALSE),"")</f>
        <v>21290</v>
      </c>
      <c r="C6" s="293" t="str">
        <f>IFERROR(INDEX('School Tables'!$B$3:$B$365,MATCH('School Level Expenditures'!B6,'School Tables'!$D$3:$D$365,0)),"")</f>
        <v>Laconia</v>
      </c>
      <c r="D6" s="290">
        <v>1751363.08</v>
      </c>
      <c r="E6" s="290">
        <v>850392.16</v>
      </c>
      <c r="F6" s="303">
        <f t="shared" ref="F6:F20" si="0">D6+E6</f>
        <v>2601755.2400000002</v>
      </c>
      <c r="G6" s="293"/>
      <c r="H6" s="293"/>
      <c r="I6" s="384"/>
      <c r="N6"/>
    </row>
    <row r="7" spans="1:18" x14ac:dyDescent="0.2">
      <c r="A7" s="126" t="str" cm="1">
        <f t="array" ref="A7">IFERROR(INDEX('School Tables'!$A$4:$G$325,'School Tables'!$J5,3),"")</f>
        <v>Pleasant Street School</v>
      </c>
      <c r="B7" s="300">
        <f>IFERROR(VLOOKUP(A7,'School Tables'!$C$3:$D$365,2,FALSE),"")</f>
        <v>21260</v>
      </c>
      <c r="C7" s="293" t="str">
        <f>IFERROR(INDEX('School Tables'!$B$3:$B$365,MATCH('School Level Expenditures'!B7,'School Tables'!$D$3:$D$365,0)),"")</f>
        <v>Laconia</v>
      </c>
      <c r="D7" s="290">
        <v>4145793.05</v>
      </c>
      <c r="E7" s="290">
        <v>785638.3</v>
      </c>
      <c r="F7" s="303">
        <f t="shared" si="0"/>
        <v>4931431.3499999996</v>
      </c>
      <c r="G7" s="293"/>
      <c r="H7" s="293"/>
      <c r="I7" s="341"/>
      <c r="N7"/>
    </row>
    <row r="8" spans="1:18" x14ac:dyDescent="0.2">
      <c r="A8" s="126" t="str" cm="1">
        <f t="array" ref="A8">IFERROR(INDEX('School Tables'!$A$4:$G$325,'School Tables'!$J6,3),"")</f>
        <v>Woodland Heights Elementary School</v>
      </c>
      <c r="B8" s="300">
        <f>IFERROR(VLOOKUP(A8,'School Tables'!$C$3:$D$365,2,FALSE),"")</f>
        <v>21285</v>
      </c>
      <c r="C8" s="293" t="str">
        <f>IFERROR(INDEX('School Tables'!$B$3:$B$365,MATCH('School Level Expenditures'!B8,'School Tables'!$D$3:$D$365,0)),"")</f>
        <v>Laconia</v>
      </c>
      <c r="D8" s="290">
        <v>7843195.5499999998</v>
      </c>
      <c r="E8" s="290">
        <v>1036933.43</v>
      </c>
      <c r="F8" s="303">
        <f t="shared" si="0"/>
        <v>8880128.9800000004</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13740351.68</v>
      </c>
      <c r="E21" s="338">
        <f>SUM(E5:E20)</f>
        <v>2672963.89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8781381.2300000004</v>
      </c>
      <c r="G24" s="299">
        <f>'DOE25'!L230+'DOE25'!L310</f>
        <v>8781381.2279598992</v>
      </c>
      <c r="H24" s="340">
        <f>F24-G24</f>
        <v>2.0401012152433395E-3</v>
      </c>
      <c r="I24" s="383" t="str">
        <f>IF(H24=0,"","ISSUES!! Please review page 8 and 12 totals in comparison with total on this page")</f>
        <v>ISSUES!! Please review page 8 and 12 totals in comparison with total on this page</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Laconia Middle School</v>
      </c>
      <c r="B26" s="300">
        <f>IFERROR(VLOOKUP(A26,'School Tables'!$N$4:$O$75,2,FALSE),"")</f>
        <v>21275</v>
      </c>
      <c r="C26" s="293" t="str">
        <f>IFERROR(INDEX('School Tables'!$M$4:$M$75,MATCH('School Level Expenditures'!A26,'School Tables'!$N$4:$N$75,0)),"")</f>
        <v>Laconia</v>
      </c>
      <c r="D26" s="290">
        <v>7928753.6699999999</v>
      </c>
      <c r="E26" s="290">
        <v>852627.56</v>
      </c>
      <c r="F26" s="303">
        <f t="shared" ref="F26:F32" si="1">D26+E26</f>
        <v>8781381.2300000004</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7928753.6699999999</v>
      </c>
      <c r="E33" s="338">
        <f>SUM(E25:E32)</f>
        <v>852627.56</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12563142.120000001</v>
      </c>
      <c r="G36" s="299">
        <f>'DOE25'!L248+'DOE25'!L329</f>
        <v>12563142.122327954</v>
      </c>
      <c r="H36" s="340">
        <f>F36-G36</f>
        <v>-2.3279525339603424E-3</v>
      </c>
      <c r="I36" s="383" t="str">
        <f>IF(H36=0,"","ISSUES!! Please review page 9 and 13 totals in comparison with total on this page")</f>
        <v>ISSUES!! Please review page 9 and 13 totals in comparison with total on this page</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Laconia High School</v>
      </c>
      <c r="B38" s="300">
        <f>IFERROR(VLOOKUP(A38,'School Tables'!$Y$4:$Z$100,2,FALSE),"")</f>
        <v>21255</v>
      </c>
      <c r="C38" s="293" t="str">
        <f>IFERROR(INDEX('School Tables'!$X$4:$X$100,MATCH('School Level Expenditures'!A38,'School Tables'!$Y$4:$Y$100,0)),"")</f>
        <v>Laconia</v>
      </c>
      <c r="D38" s="290">
        <v>11159740.48</v>
      </c>
      <c r="E38" s="290">
        <v>1403401.64</v>
      </c>
      <c r="F38" s="303">
        <f t="shared" si="2"/>
        <v>12563142.120000001</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11159740.48</v>
      </c>
      <c r="E43" s="339">
        <f>SUM(E37:E42)</f>
        <v>1403401.64</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3"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Laconia</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0</v>
      </c>
      <c r="D8" s="95">
        <f>'DOE25'!G9</f>
        <v>300</v>
      </c>
      <c r="E8" s="95">
        <f>'DOE25'!H9</f>
        <v>0</v>
      </c>
      <c r="F8" s="95">
        <f>'DOE25'!I9</f>
        <v>0</v>
      </c>
      <c r="G8" s="95">
        <f>'DOE25'!J9</f>
        <v>0</v>
      </c>
      <c r="H8" s="124">
        <f>SUM(C8:G8)</f>
        <v>300</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244161.13</v>
      </c>
      <c r="D10" s="24" t="s">
        <v>288</v>
      </c>
      <c r="E10" s="24" t="s">
        <v>288</v>
      </c>
      <c r="F10" s="24" t="s">
        <v>288</v>
      </c>
      <c r="G10" s="24" t="s">
        <v>288</v>
      </c>
      <c r="H10" s="124">
        <f t="shared" si="0"/>
        <v>244161.13</v>
      </c>
      <c r="I10" s="124"/>
    </row>
    <row r="11" spans="1:9" x14ac:dyDescent="0.2">
      <c r="A11" s="1" t="s">
        <v>142</v>
      </c>
      <c r="B11" s="6">
        <v>130</v>
      </c>
      <c r="C11" s="95">
        <f>'DOE25'!F12</f>
        <v>0</v>
      </c>
      <c r="D11" s="95">
        <f>'DOE25'!G12</f>
        <v>0</v>
      </c>
      <c r="E11" s="95">
        <f>'DOE25'!H12</f>
        <v>2864929.01</v>
      </c>
      <c r="F11" s="95">
        <f>'DOE25'!I12</f>
        <v>0</v>
      </c>
      <c r="G11" s="95">
        <f>'DOE25'!J12</f>
        <v>0</v>
      </c>
      <c r="H11" s="124">
        <f t="shared" si="0"/>
        <v>2864929.01</v>
      </c>
      <c r="I11" s="124"/>
    </row>
    <row r="12" spans="1:9" x14ac:dyDescent="0.2">
      <c r="A12" s="1" t="s">
        <v>143</v>
      </c>
      <c r="B12" s="6">
        <v>140</v>
      </c>
      <c r="C12" s="95">
        <f>'DOE25'!F13</f>
        <v>259233.65</v>
      </c>
      <c r="D12" s="95">
        <f>'DOE25'!G13</f>
        <v>281541.8</v>
      </c>
      <c r="E12" s="95">
        <f>'DOE25'!H13</f>
        <v>0</v>
      </c>
      <c r="F12" s="95">
        <f>'DOE25'!I13</f>
        <v>0</v>
      </c>
      <c r="G12" s="95">
        <f>'DOE25'!J13</f>
        <v>0</v>
      </c>
      <c r="H12" s="124">
        <f t="shared" si="0"/>
        <v>540775.44999999995</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22998</v>
      </c>
      <c r="E15" s="95">
        <f>'DOE25'!H16</f>
        <v>0</v>
      </c>
      <c r="F15" s="95">
        <f>'DOE25'!I16</f>
        <v>0</v>
      </c>
      <c r="G15" s="24" t="s">
        <v>288</v>
      </c>
      <c r="H15" s="124">
        <f t="shared" si="0"/>
        <v>22998</v>
      </c>
      <c r="I15" s="124"/>
    </row>
    <row r="16" spans="1:9" x14ac:dyDescent="0.2">
      <c r="A16" s="1" t="s">
        <v>147</v>
      </c>
      <c r="B16" s="6">
        <v>180</v>
      </c>
      <c r="C16" s="95">
        <f>'DOE25'!F17</f>
        <v>0</v>
      </c>
      <c r="D16" s="95">
        <f>'DOE25'!G17</f>
        <v>0</v>
      </c>
      <c r="E16" s="95">
        <f>'DOE25'!H17</f>
        <v>10407.9</v>
      </c>
      <c r="F16" s="95">
        <f>'DOE25'!I17</f>
        <v>0</v>
      </c>
      <c r="G16" s="95">
        <f>'DOE25'!J17</f>
        <v>0</v>
      </c>
      <c r="H16" s="124">
        <f t="shared" si="0"/>
        <v>10407.9</v>
      </c>
      <c r="I16" s="124"/>
    </row>
    <row r="17" spans="1:9" ht="12" thickBot="1" x14ac:dyDescent="0.25">
      <c r="A17" s="1" t="s">
        <v>148</v>
      </c>
      <c r="B17" s="6">
        <v>190</v>
      </c>
      <c r="C17" s="95">
        <f>'DOE25'!F18</f>
        <v>10000</v>
      </c>
      <c r="D17" s="95">
        <f>'DOE25'!G18</f>
        <v>0</v>
      </c>
      <c r="E17" s="95">
        <f>'DOE25'!H18</f>
        <v>0</v>
      </c>
      <c r="F17" s="95">
        <f>'DOE25'!I18</f>
        <v>0</v>
      </c>
      <c r="G17" s="95">
        <f>'DOE25'!J18</f>
        <v>0</v>
      </c>
      <c r="H17" s="124">
        <f t="shared" si="0"/>
        <v>10000</v>
      </c>
      <c r="I17" s="124"/>
    </row>
    <row r="18" spans="1:9" ht="12" thickTop="1" x14ac:dyDescent="0.2">
      <c r="A18" s="38" t="s">
        <v>149</v>
      </c>
      <c r="B18" s="39"/>
      <c r="C18" s="41">
        <f>SUM(C8:C17)</f>
        <v>513394.78</v>
      </c>
      <c r="D18" s="41">
        <f>SUM(D8:D17)</f>
        <v>304839.8</v>
      </c>
      <c r="E18" s="41">
        <f>SUM(E8:E17)</f>
        <v>2875336.9099999997</v>
      </c>
      <c r="F18" s="41">
        <f>SUM(F8:F17)</f>
        <v>0</v>
      </c>
      <c r="G18" s="41">
        <f>SUM(G8:G17)</f>
        <v>0</v>
      </c>
      <c r="H18" s="41">
        <f t="shared" si="0"/>
        <v>3693571.4899999998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230856.09</v>
      </c>
      <c r="E21" s="95">
        <f>'DOE25'!H22</f>
        <v>2828879.2</v>
      </c>
      <c r="F21" s="95">
        <f>'DOE25'!I22</f>
        <v>0</v>
      </c>
      <c r="G21" s="95">
        <f>'DOE25'!J22</f>
        <v>0</v>
      </c>
      <c r="H21" s="124">
        <f t="shared" ref="H21:H31" si="1">SUM(C21:G21)</f>
        <v>3059735.29</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40199.42</v>
      </c>
      <c r="F23" s="95">
        <f>'DOE25'!I24</f>
        <v>0</v>
      </c>
      <c r="G23" s="95">
        <f>'DOE25'!J24</f>
        <v>0</v>
      </c>
      <c r="H23" s="124">
        <f t="shared" si="1"/>
        <v>40199.42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78353.8</v>
      </c>
      <c r="D28" s="95">
        <f>'DOE25'!G29</f>
        <v>0</v>
      </c>
      <c r="E28" s="95">
        <f>'DOE25'!H29</f>
        <v>0</v>
      </c>
      <c r="F28" s="95">
        <f>'DOE25'!I29</f>
        <v>0</v>
      </c>
      <c r="G28" s="24" t="s">
        <v>288</v>
      </c>
      <c r="H28" s="124">
        <f t="shared" si="1"/>
        <v>78353.8</v>
      </c>
      <c r="I28" s="124"/>
    </row>
    <row r="29" spans="1:9" x14ac:dyDescent="0.2">
      <c r="A29" s="1" t="s">
        <v>158</v>
      </c>
      <c r="B29" s="6">
        <v>480</v>
      </c>
      <c r="C29" s="95">
        <f>'DOE25'!F30</f>
        <v>0</v>
      </c>
      <c r="D29" s="95">
        <f>'DOE25'!G30</f>
        <v>0</v>
      </c>
      <c r="E29" s="95">
        <f>'DOE25'!H30</f>
        <v>6258.29</v>
      </c>
      <c r="F29" s="95">
        <f>'DOE25'!I30</f>
        <v>0</v>
      </c>
      <c r="G29" s="24" t="s">
        <v>288</v>
      </c>
      <c r="H29" s="124">
        <f t="shared" si="1"/>
        <v>6258.29</v>
      </c>
      <c r="I29" s="124"/>
    </row>
    <row r="30" spans="1:9" ht="12" thickBot="1" x14ac:dyDescent="0.25">
      <c r="A30" s="1" t="s">
        <v>159</v>
      </c>
      <c r="B30" s="71">
        <v>490</v>
      </c>
      <c r="C30" s="95">
        <f>'DOE25'!F31</f>
        <v>435040.98</v>
      </c>
      <c r="D30" s="95">
        <f>'DOE25'!G31</f>
        <v>73983.710000000006</v>
      </c>
      <c r="E30" s="95">
        <f>'DOE25'!H31</f>
        <v>0</v>
      </c>
      <c r="F30" s="95">
        <f>'DOE25'!I31</f>
        <v>0</v>
      </c>
      <c r="G30" s="95">
        <f>'DOE25'!J31</f>
        <v>0</v>
      </c>
      <c r="H30" s="124">
        <f t="shared" si="1"/>
        <v>509024.69</v>
      </c>
      <c r="I30" s="124"/>
    </row>
    <row r="31" spans="1:9" ht="12" thickTop="1" x14ac:dyDescent="0.2">
      <c r="A31" s="38" t="s">
        <v>160</v>
      </c>
      <c r="B31" s="2"/>
      <c r="C31" s="41">
        <f>SUM(C21:C30)</f>
        <v>513394.77999999997</v>
      </c>
      <c r="D31" s="41">
        <f>SUM(D21:D30)</f>
        <v>304839.8</v>
      </c>
      <c r="E31" s="41">
        <f>SUM(E21:E30)</f>
        <v>2875336.91</v>
      </c>
      <c r="F31" s="41">
        <f>SUM(F21:F30)</f>
        <v>0</v>
      </c>
      <c r="G31" s="41">
        <f>SUM(G21:G30)</f>
        <v>0</v>
      </c>
      <c r="H31" s="41">
        <f t="shared" si="1"/>
        <v>3693571.49</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0</v>
      </c>
      <c r="D49" s="24" t="s">
        <v>288</v>
      </c>
      <c r="E49" s="24" t="s">
        <v>288</v>
      </c>
      <c r="F49" s="24" t="s">
        <v>288</v>
      </c>
      <c r="G49" s="24" t="s">
        <v>288</v>
      </c>
      <c r="H49" s="124">
        <f t="shared" si="2"/>
        <v>0</v>
      </c>
      <c r="I49" s="124"/>
    </row>
    <row r="50" spans="1:9" ht="12.75" thickTop="1" thickBot="1" x14ac:dyDescent="0.25">
      <c r="A50" s="38" t="s">
        <v>884</v>
      </c>
      <c r="B50" s="48"/>
      <c r="C50" s="41">
        <f>SUM(C34:C49)</f>
        <v>0</v>
      </c>
      <c r="D50" s="41">
        <f>SUM(D34:D49)</f>
        <v>0</v>
      </c>
      <c r="E50" s="41">
        <f>SUM(E34:E49)</f>
        <v>0</v>
      </c>
      <c r="F50" s="41">
        <f>SUM(F34:F49)</f>
        <v>0</v>
      </c>
      <c r="G50" s="41">
        <f>SUM(G34:G49)</f>
        <v>0</v>
      </c>
      <c r="H50" s="41">
        <f t="shared" si="2"/>
        <v>0</v>
      </c>
      <c r="I50" s="124"/>
    </row>
    <row r="51" spans="1:9" ht="12" thickTop="1" x14ac:dyDescent="0.2">
      <c r="A51" s="38" t="s">
        <v>885</v>
      </c>
      <c r="B51" s="2"/>
      <c r="C51" s="41">
        <f>C50+C31</f>
        <v>513394.77999999997</v>
      </c>
      <c r="D51" s="41">
        <f>D50+D31</f>
        <v>304839.8</v>
      </c>
      <c r="E51" s="41">
        <f>E50+E31</f>
        <v>2875336.91</v>
      </c>
      <c r="F51" s="41">
        <f>F50+F31</f>
        <v>0</v>
      </c>
      <c r="G51" s="41">
        <f>G50+G31</f>
        <v>0</v>
      </c>
      <c r="H51" s="41">
        <f t="shared" si="2"/>
        <v>3693571.49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21253614.379999999</v>
      </c>
      <c r="D56" s="95">
        <f>'DOE25'!G60</f>
        <v>0</v>
      </c>
      <c r="E56" s="95">
        <f>'DOE25'!H60</f>
        <v>0</v>
      </c>
      <c r="F56" s="95">
        <f>'DOE25'!I60</f>
        <v>0</v>
      </c>
      <c r="G56" s="95">
        <f>'DOE25'!J60</f>
        <v>0</v>
      </c>
      <c r="H56" s="124">
        <f t="shared" ref="H56:H63" si="3">SUM(C56:G56)</f>
        <v>21253614.379999999</v>
      </c>
      <c r="I56"/>
    </row>
    <row r="57" spans="1:9" x14ac:dyDescent="0.2">
      <c r="A57" s="1" t="s">
        <v>164</v>
      </c>
      <c r="B57" s="6" t="s">
        <v>165</v>
      </c>
      <c r="C57" s="95">
        <f>'DOE25'!F79</f>
        <v>1014475.53</v>
      </c>
      <c r="D57" s="24" t="s">
        <v>288</v>
      </c>
      <c r="E57" s="95">
        <f>'DOE25'!H79</f>
        <v>0</v>
      </c>
      <c r="F57" s="24" t="s">
        <v>288</v>
      </c>
      <c r="G57" s="24" t="s">
        <v>288</v>
      </c>
      <c r="H57" s="124">
        <f t="shared" si="3"/>
        <v>1014475.53</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0</v>
      </c>
      <c r="H59" s="124">
        <f t="shared" si="3"/>
        <v>0</v>
      </c>
      <c r="I59"/>
    </row>
    <row r="60" spans="1:9" x14ac:dyDescent="0.2">
      <c r="A60" s="1" t="s">
        <v>170</v>
      </c>
      <c r="B60" s="118" t="s">
        <v>171</v>
      </c>
      <c r="C60" s="24" t="s">
        <v>288</v>
      </c>
      <c r="D60" s="95">
        <f>'DOE25'!G97</f>
        <v>57726.34</v>
      </c>
      <c r="E60" s="24" t="s">
        <v>288</v>
      </c>
      <c r="F60" s="24" t="s">
        <v>288</v>
      </c>
      <c r="G60" s="24" t="s">
        <v>288</v>
      </c>
      <c r="H60" s="124">
        <f t="shared" si="3"/>
        <v>57726.34</v>
      </c>
      <c r="I60"/>
    </row>
    <row r="61" spans="1:9" ht="12" thickBot="1" x14ac:dyDescent="0.25">
      <c r="A61" s="1" t="s">
        <v>172</v>
      </c>
      <c r="B61" s="118" t="s">
        <v>173</v>
      </c>
      <c r="C61" s="95">
        <f>SUM('DOE25'!F98:F110)</f>
        <v>89267.56</v>
      </c>
      <c r="D61" s="95">
        <f>SUM('DOE25'!G98:G110)</f>
        <v>0</v>
      </c>
      <c r="E61" s="95">
        <f>SUM('DOE25'!H98:H110)</f>
        <v>189698.97999999998</v>
      </c>
      <c r="F61" s="95">
        <f>SUM('DOE25'!I98:I110)</f>
        <v>0</v>
      </c>
      <c r="G61" s="95">
        <f>SUM('DOE25'!J98:J110)</f>
        <v>0</v>
      </c>
      <c r="H61" s="124">
        <f t="shared" si="3"/>
        <v>278966.53999999998</v>
      </c>
      <c r="I61"/>
    </row>
    <row r="62" spans="1:9" ht="12.75" thickTop="1" thickBot="1" x14ac:dyDescent="0.25">
      <c r="A62" s="29" t="s">
        <v>174</v>
      </c>
      <c r="B62" s="6"/>
      <c r="C62" s="130">
        <f>SUM(C57:C61)</f>
        <v>1103743.0900000001</v>
      </c>
      <c r="D62" s="130">
        <f>SUM(D57:D61)</f>
        <v>57726.34</v>
      </c>
      <c r="E62" s="130">
        <f>SUM(E57:E61)</f>
        <v>189698.97999999998</v>
      </c>
      <c r="F62" s="130">
        <f>SUM(F57:F61)</f>
        <v>0</v>
      </c>
      <c r="G62" s="130">
        <f>SUM(G57:G61)</f>
        <v>0</v>
      </c>
      <c r="H62" s="124">
        <f t="shared" si="3"/>
        <v>1351168.4100000001</v>
      </c>
      <c r="I62"/>
    </row>
    <row r="63" spans="1:9" ht="12" thickTop="1" x14ac:dyDescent="0.2">
      <c r="A63" s="29" t="s">
        <v>175</v>
      </c>
      <c r="B63" s="6"/>
      <c r="C63" s="22">
        <f>C56+C62</f>
        <v>22357357.469999999</v>
      </c>
      <c r="D63" s="22">
        <f>D56+D62</f>
        <v>57726.34</v>
      </c>
      <c r="E63" s="22">
        <f>E56+E62</f>
        <v>189698.97999999998</v>
      </c>
      <c r="F63" s="22">
        <f>F56+F62</f>
        <v>0</v>
      </c>
      <c r="G63" s="22">
        <f>G56+G62</f>
        <v>0</v>
      </c>
      <c r="H63" s="124">
        <f t="shared" si="3"/>
        <v>22604782.789999999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7097462.96</v>
      </c>
      <c r="D66" s="24" t="s">
        <v>288</v>
      </c>
      <c r="E66" s="24" t="s">
        <v>288</v>
      </c>
      <c r="F66" s="24" t="s">
        <v>288</v>
      </c>
      <c r="G66" s="24" t="s">
        <v>288</v>
      </c>
      <c r="H66" s="124">
        <f t="shared" ref="H66:H81" si="4">SUM(C66:G66)</f>
        <v>7097462.96</v>
      </c>
      <c r="I66"/>
    </row>
    <row r="67" spans="1:9" x14ac:dyDescent="0.2">
      <c r="A67" s="1" t="s">
        <v>770</v>
      </c>
      <c r="B67" s="6">
        <v>3112</v>
      </c>
      <c r="C67" s="95">
        <f>'DOE25'!F118</f>
        <v>4584319</v>
      </c>
      <c r="D67" s="24"/>
      <c r="E67" s="24"/>
      <c r="F67" s="24"/>
      <c r="G67" s="24"/>
      <c r="H67" s="124">
        <f t="shared" si="4"/>
        <v>4584319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1433.36</v>
      </c>
      <c r="D69" s="95">
        <f>'DOE25'!G120</f>
        <v>77441.45</v>
      </c>
      <c r="E69" s="95">
        <f>'DOE25'!H120</f>
        <v>0</v>
      </c>
      <c r="F69" s="95">
        <f>'DOE25'!I120</f>
        <v>0</v>
      </c>
      <c r="G69" s="95">
        <f>'DOE25'!J120</f>
        <v>0</v>
      </c>
      <c r="H69" s="124">
        <f t="shared" si="4"/>
        <v>78874.81</v>
      </c>
      <c r="I69"/>
    </row>
    <row r="70" spans="1:9" ht="12" thickTop="1" x14ac:dyDescent="0.2">
      <c r="A70" s="29" t="s">
        <v>252</v>
      </c>
      <c r="B70" s="2"/>
      <c r="C70" s="139">
        <f>SUM(C66:C69)</f>
        <v>11683215.32</v>
      </c>
      <c r="D70" s="139">
        <f>D69</f>
        <v>77441.45</v>
      </c>
      <c r="E70" s="139">
        <f>E69</f>
        <v>0</v>
      </c>
      <c r="F70" s="139">
        <f>F69</f>
        <v>0</v>
      </c>
      <c r="G70" s="139">
        <f>G69</f>
        <v>0</v>
      </c>
      <c r="H70" s="124">
        <f t="shared" si="4"/>
        <v>11760656.77</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670194.57999999996</v>
      </c>
      <c r="D72" s="24" t="s">
        <v>288</v>
      </c>
      <c r="E72" s="24" t="s">
        <v>288</v>
      </c>
      <c r="F72" s="95">
        <f>'DOE25'!I123</f>
        <v>0</v>
      </c>
      <c r="G72" s="24" t="s">
        <v>288</v>
      </c>
      <c r="H72" s="124">
        <f t="shared" si="4"/>
        <v>670194.57999999996</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178498.86</v>
      </c>
      <c r="D75" s="24" t="s">
        <v>288</v>
      </c>
      <c r="E75" s="24" t="s">
        <v>288</v>
      </c>
      <c r="F75" s="24" t="s">
        <v>288</v>
      </c>
      <c r="G75" s="24" t="s">
        <v>288</v>
      </c>
      <c r="H75" s="124">
        <f t="shared" si="4"/>
        <v>178498.86</v>
      </c>
      <c r="I75"/>
    </row>
    <row r="76" spans="1:9" x14ac:dyDescent="0.2">
      <c r="A76" s="1" t="s">
        <v>257</v>
      </c>
      <c r="B76" s="6" t="s">
        <v>179</v>
      </c>
      <c r="C76" s="95">
        <f>SUM('DOE25'!F127:F130)</f>
        <v>892466.21</v>
      </c>
      <c r="D76" s="24" t="s">
        <v>288</v>
      </c>
      <c r="E76" s="95">
        <f>SUM('DOE25'!H127:H130)</f>
        <v>0</v>
      </c>
      <c r="F76" s="95">
        <f>SUM('DOE25'!I127:I130)</f>
        <v>0</v>
      </c>
      <c r="G76" s="24" t="s">
        <v>288</v>
      </c>
      <c r="H76" s="124">
        <f t="shared" si="4"/>
        <v>892466.21</v>
      </c>
      <c r="I76"/>
    </row>
    <row r="77" spans="1:9" ht="12" thickBot="1" x14ac:dyDescent="0.25">
      <c r="A77" s="1" t="s">
        <v>258</v>
      </c>
      <c r="B77" s="6" t="s">
        <v>180</v>
      </c>
      <c r="C77" s="95">
        <f>SUM('DOE25'!F131:F135)</f>
        <v>0</v>
      </c>
      <c r="D77" s="95">
        <f>SUM('DOE25'!G131:G135)</f>
        <v>141772.01999999999</v>
      </c>
      <c r="E77" s="95">
        <f>SUM('DOE25'!H131:H135)</f>
        <v>0</v>
      </c>
      <c r="F77" s="95">
        <f>SUM('DOE25'!I131:I135)</f>
        <v>0</v>
      </c>
      <c r="G77" s="95">
        <f>SUM('DOE25'!J131:J135)</f>
        <v>0</v>
      </c>
      <c r="H77" s="124">
        <f t="shared" si="4"/>
        <v>141772.01999999999</v>
      </c>
      <c r="I77"/>
    </row>
    <row r="78" spans="1:9" ht="12.75" thickTop="1" thickBot="1" x14ac:dyDescent="0.25">
      <c r="A78" s="29" t="s">
        <v>259</v>
      </c>
      <c r="B78" s="6"/>
      <c r="C78" s="130">
        <f>SUM(C72:C77)</f>
        <v>1741159.65</v>
      </c>
      <c r="D78" s="130">
        <f>SUM(D72:D77)</f>
        <v>141772.01999999999</v>
      </c>
      <c r="E78" s="130">
        <f>SUM(E72:E77)</f>
        <v>0</v>
      </c>
      <c r="F78" s="130">
        <f>SUM(F72:F77)</f>
        <v>0</v>
      </c>
      <c r="G78" s="130">
        <f>SUM(G72:G77)</f>
        <v>0</v>
      </c>
      <c r="H78" s="124">
        <f t="shared" si="4"/>
        <v>1882931.67</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13424374.970000001</v>
      </c>
      <c r="D81" s="130">
        <f>SUM(D79:D80)+D78+D70</f>
        <v>219213.46999999997</v>
      </c>
      <c r="E81" s="130">
        <f>SUM(E79:E80)+E78+E70</f>
        <v>0</v>
      </c>
      <c r="F81" s="130">
        <f>SUM(F79:F80)+F78+F70</f>
        <v>0</v>
      </c>
      <c r="G81" s="130">
        <f>SUM(G79:G80)+G78+G70</f>
        <v>0</v>
      </c>
      <c r="H81" s="130">
        <f t="shared" si="4"/>
        <v>13643588.440000001</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31979.27</v>
      </c>
      <c r="F87" s="95">
        <f>SUM('DOE25'!I149:I152)</f>
        <v>0</v>
      </c>
      <c r="G87" s="24" t="s">
        <v>288</v>
      </c>
      <c r="H87" s="124">
        <f t="shared" si="5"/>
        <v>31979.27</v>
      </c>
    </row>
    <row r="88" spans="1:9" x14ac:dyDescent="0.2">
      <c r="A88" s="287" t="s">
        <v>747</v>
      </c>
      <c r="B88" s="325" t="s">
        <v>184</v>
      </c>
      <c r="C88" s="326">
        <f>SUM('DOE25'!F153:F162)</f>
        <v>637128.04</v>
      </c>
      <c r="D88" s="326">
        <f>SUM('DOE25'!G153:G162)</f>
        <v>1177538.24</v>
      </c>
      <c r="E88" s="326">
        <f>SUM('DOE25'!H153:H162)</f>
        <v>4955750.0299999993</v>
      </c>
      <c r="F88" s="326">
        <f>SUM('DOE25'!I153:I162)</f>
        <v>0</v>
      </c>
      <c r="G88" s="24" t="s">
        <v>288</v>
      </c>
      <c r="H88" s="124">
        <f t="shared" si="5"/>
        <v>6770416.3099999996</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637128.04</v>
      </c>
      <c r="D91" s="131">
        <f>SUM(D85:D90)</f>
        <v>1177538.24</v>
      </c>
      <c r="E91" s="131">
        <f>SUM(E85:E90)</f>
        <v>4987729.2999999989</v>
      </c>
      <c r="F91" s="131">
        <f>SUM(F85:F90)</f>
        <v>0</v>
      </c>
      <c r="G91" s="24" t="s">
        <v>288</v>
      </c>
      <c r="H91" s="124">
        <f t="shared" si="5"/>
        <v>6802395.5799999991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600000</v>
      </c>
      <c r="H96" s="124">
        <f t="shared" si="5"/>
        <v>600000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600000</v>
      </c>
      <c r="H103" s="86">
        <f t="shared" si="5"/>
        <v>600000</v>
      </c>
    </row>
    <row r="104" spans="1:8" ht="12.75" thickTop="1" thickBot="1" x14ac:dyDescent="0.25">
      <c r="A104" s="33" t="s">
        <v>761</v>
      </c>
      <c r="C104" s="86">
        <f>C63+C81+C91+C103</f>
        <v>36418860.479999997</v>
      </c>
      <c r="D104" s="86">
        <f>D63+D81+D91+D103</f>
        <v>1454478.0499999998</v>
      </c>
      <c r="E104" s="86">
        <f>E63+E81+E91+E103</f>
        <v>5177428.2799999993</v>
      </c>
      <c r="F104" s="86">
        <f>F63+F81+F91+F103</f>
        <v>0</v>
      </c>
      <c r="G104" s="86">
        <f>G63+G81+G103</f>
        <v>600000</v>
      </c>
      <c r="H104" s="86">
        <f t="shared" si="5"/>
        <v>43650766.809999995</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12490381.312732968</v>
      </c>
      <c r="D109" s="24" t="s">
        <v>288</v>
      </c>
      <c r="E109" s="95">
        <f>('DOE25'!L277)+('DOE25'!L296)+('DOE25'!L315)</f>
        <v>3301919.5779100005</v>
      </c>
      <c r="F109" s="24" t="s">
        <v>288</v>
      </c>
      <c r="G109" s="24" t="s">
        <v>288</v>
      </c>
      <c r="H109" s="124">
        <f t="shared" ref="H109:H115" si="6">SUM(C109:G109)</f>
        <v>15792300.890642969</v>
      </c>
    </row>
    <row r="110" spans="1:8" x14ac:dyDescent="0.2">
      <c r="A110" t="s">
        <v>198</v>
      </c>
      <c r="B110" s="32" t="s">
        <v>199</v>
      </c>
      <c r="C110" s="95">
        <f>('DOE25'!L199)+('DOE25'!L217)+('DOE25'!L235)</f>
        <v>7635118.1600636179</v>
      </c>
      <c r="D110" s="24" t="s">
        <v>288</v>
      </c>
      <c r="E110" s="95">
        <f>('DOE25'!L278)+('DOE25'!L297)+('DOE25'!L316)</f>
        <v>630583.16266999999</v>
      </c>
      <c r="F110" s="24" t="s">
        <v>288</v>
      </c>
      <c r="G110" s="24" t="s">
        <v>288</v>
      </c>
      <c r="H110" s="124">
        <f t="shared" si="6"/>
        <v>8265701.3227336183</v>
      </c>
    </row>
    <row r="111" spans="1:8" x14ac:dyDescent="0.2">
      <c r="A111" t="s">
        <v>200</v>
      </c>
      <c r="B111" s="32" t="s">
        <v>165</v>
      </c>
      <c r="C111" s="95">
        <f>('DOE25'!L200)+('DOE25'!L218)+('DOE25'!L236)</f>
        <v>1708267.8828217436</v>
      </c>
      <c r="D111" s="24" t="s">
        <v>288</v>
      </c>
      <c r="E111" s="95">
        <f>('DOE25'!L279)+('DOE25'!L298)+('DOE25'!L317)</f>
        <v>0</v>
      </c>
      <c r="F111" s="24" t="s">
        <v>288</v>
      </c>
      <c r="G111" s="24" t="s">
        <v>288</v>
      </c>
      <c r="H111" s="124">
        <f t="shared" si="6"/>
        <v>1708267.8828217436</v>
      </c>
    </row>
    <row r="112" spans="1:8" x14ac:dyDescent="0.2">
      <c r="A112" t="s">
        <v>201</v>
      </c>
      <c r="B112" s="32" t="s">
        <v>167</v>
      </c>
      <c r="C112" s="95">
        <f>('DOE25'!L201)+('DOE25'!L219)+('DOE25'!L237)</f>
        <v>379933.39705302211</v>
      </c>
      <c r="D112" s="24" t="s">
        <v>288</v>
      </c>
      <c r="E112" s="95">
        <f>+('DOE25'!L280)+('DOE25'!L299)+('DOE25'!L318)</f>
        <v>1723.5</v>
      </c>
      <c r="F112" s="24" t="s">
        <v>288</v>
      </c>
      <c r="G112" s="24" t="s">
        <v>288</v>
      </c>
      <c r="H112" s="124">
        <f t="shared" si="6"/>
        <v>381656.89705302211</v>
      </c>
    </row>
    <row r="113" spans="1:8" x14ac:dyDescent="0.2">
      <c r="A113" t="s">
        <v>202</v>
      </c>
      <c r="B113" s="32" t="s">
        <v>169</v>
      </c>
      <c r="C113" s="95">
        <f>'DOE25'!L251</f>
        <v>0</v>
      </c>
      <c r="D113" s="24" t="s">
        <v>288</v>
      </c>
      <c r="E113" s="95">
        <f>+'DOE25'!L333</f>
        <v>153010.29488500001</v>
      </c>
      <c r="F113" s="24" t="s">
        <v>288</v>
      </c>
      <c r="G113" s="24" t="s">
        <v>288</v>
      </c>
      <c r="H113" s="124">
        <f t="shared" si="6"/>
        <v>153010.29488500001</v>
      </c>
    </row>
    <row r="114" spans="1:8" ht="12" thickBot="1" x14ac:dyDescent="0.25">
      <c r="A114" t="s">
        <v>203</v>
      </c>
      <c r="B114" s="32" t="s">
        <v>204</v>
      </c>
      <c r="C114" s="95">
        <f>SUM('DOE25'!L252:L254)</f>
        <v>335567.84938431589</v>
      </c>
      <c r="D114" s="24" t="s">
        <v>288</v>
      </c>
      <c r="E114" s="95">
        <f>+ SUM('DOE25'!L334:L336)</f>
        <v>95424.9</v>
      </c>
      <c r="F114" s="24" t="s">
        <v>288</v>
      </c>
      <c r="G114" s="24" t="s">
        <v>288</v>
      </c>
      <c r="H114" s="124">
        <f t="shared" si="6"/>
        <v>430992.74938431592</v>
      </c>
    </row>
    <row r="115" spans="1:8" ht="12.75" thickTop="1" thickBot="1" x14ac:dyDescent="0.25">
      <c r="A115" s="33" t="s">
        <v>205</v>
      </c>
      <c r="C115" s="86">
        <f>SUM(C109:C114)</f>
        <v>22549268.602055665</v>
      </c>
      <c r="D115" s="86">
        <f>SUM(D109:D114)</f>
        <v>0</v>
      </c>
      <c r="E115" s="86">
        <f>SUM(E109:E114)</f>
        <v>4182661.4354650006</v>
      </c>
      <c r="F115" s="86">
        <f>SUM(F109:F114)</f>
        <v>0</v>
      </c>
      <c r="G115" s="86">
        <f>SUM(G109:G114)</f>
        <v>0</v>
      </c>
      <c r="H115" s="86">
        <f t="shared" si="6"/>
        <v>26731930.037520666</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2127029.9060162315</v>
      </c>
      <c r="D118" s="24" t="s">
        <v>288</v>
      </c>
      <c r="E118" s="95">
        <f>+('DOE25'!L282)+('DOE25'!L301)+('DOE25'!L320)</f>
        <v>372408.25443000009</v>
      </c>
      <c r="F118" s="24" t="s">
        <v>288</v>
      </c>
      <c r="G118" s="24" t="s">
        <v>288</v>
      </c>
      <c r="H118" s="124">
        <f t="shared" ref="H118:H145" si="7">SUM(C118:G118)</f>
        <v>2499438.1604462317</v>
      </c>
    </row>
    <row r="119" spans="1:8" x14ac:dyDescent="0.2">
      <c r="A119" t="s">
        <v>208</v>
      </c>
      <c r="B119" s="32" t="s">
        <v>209</v>
      </c>
      <c r="C119" s="95">
        <f>('DOE25'!L204)+('DOE25'!L222)+('DOE25'!L240)</f>
        <v>1114300.2642586594</v>
      </c>
      <c r="D119" s="24" t="s">
        <v>288</v>
      </c>
      <c r="E119" s="95">
        <f>+('DOE25'!L283)+('DOE25'!L302)+('DOE25'!L321)</f>
        <v>484946.72800999996</v>
      </c>
      <c r="F119" s="24" t="s">
        <v>288</v>
      </c>
      <c r="G119" s="24" t="s">
        <v>288</v>
      </c>
      <c r="H119" s="124">
        <f t="shared" si="7"/>
        <v>1599246.9922686594</v>
      </c>
    </row>
    <row r="120" spans="1:8" x14ac:dyDescent="0.2">
      <c r="A120" t="s">
        <v>210</v>
      </c>
      <c r="B120" s="32" t="s">
        <v>211</v>
      </c>
      <c r="C120" s="95">
        <f>('DOE25'!L205)+('DOE25'!L223)+('DOE25'!L241)</f>
        <v>975119.63416772441</v>
      </c>
      <c r="D120" s="24" t="s">
        <v>288</v>
      </c>
      <c r="E120" s="95">
        <f>+('DOE25'!L284)+('DOE25'!L303)+('DOE25'!L322)</f>
        <v>3286.7967000000003</v>
      </c>
      <c r="F120" s="24" t="s">
        <v>288</v>
      </c>
      <c r="G120" s="24" t="s">
        <v>288</v>
      </c>
      <c r="H120" s="124">
        <f t="shared" si="7"/>
        <v>978406.43086772435</v>
      </c>
    </row>
    <row r="121" spans="1:8" x14ac:dyDescent="0.2">
      <c r="A121" t="s">
        <v>212</v>
      </c>
      <c r="B121" s="32" t="s">
        <v>213</v>
      </c>
      <c r="C121" s="95">
        <f>('DOE25'!L206)+('DOE25'!L224)+('DOE25'!L242)</f>
        <v>2073236.6913439096</v>
      </c>
      <c r="D121" s="24" t="s">
        <v>288</v>
      </c>
      <c r="E121" s="95">
        <f>+('DOE25'!L285)+('DOE25'!L304)+('DOE25'!L323)</f>
        <v>0</v>
      </c>
      <c r="F121" s="24" t="s">
        <v>288</v>
      </c>
      <c r="G121" s="24" t="s">
        <v>288</v>
      </c>
      <c r="H121" s="124">
        <f t="shared" si="7"/>
        <v>2073236.6913439096</v>
      </c>
    </row>
    <row r="122" spans="1:8" x14ac:dyDescent="0.2">
      <c r="A122" t="s">
        <v>214</v>
      </c>
      <c r="B122" s="32" t="s">
        <v>215</v>
      </c>
      <c r="C122" s="95">
        <f>('DOE25'!L207)+('DOE25'!L225)+('DOE25'!L243)</f>
        <v>433015.68567757774</v>
      </c>
      <c r="D122" s="24" t="s">
        <v>288</v>
      </c>
      <c r="E122" s="95">
        <f>+('DOE25'!L286)+('DOE25'!L305)+('DOE25'!L324)</f>
        <v>0</v>
      </c>
      <c r="F122" s="24" t="s">
        <v>288</v>
      </c>
      <c r="G122" s="24" t="s">
        <v>288</v>
      </c>
      <c r="H122" s="124">
        <f t="shared" si="7"/>
        <v>433015.68567757774</v>
      </c>
    </row>
    <row r="123" spans="1:8" x14ac:dyDescent="0.2">
      <c r="A123" t="s">
        <v>216</v>
      </c>
      <c r="B123" s="32" t="s">
        <v>217</v>
      </c>
      <c r="C123" s="95">
        <f>('DOE25'!L208)+('DOE25'!L226)+('DOE25'!L244)</f>
        <v>3053764.3523366367</v>
      </c>
      <c r="D123" s="24" t="s">
        <v>288</v>
      </c>
      <c r="E123" s="95">
        <f>+('DOE25'!L287)+('DOE25'!L306)+('DOE25'!L325)</f>
        <v>31689.345000000001</v>
      </c>
      <c r="F123" s="24" t="s">
        <v>288</v>
      </c>
      <c r="G123" s="24" t="s">
        <v>288</v>
      </c>
      <c r="H123" s="124">
        <f t="shared" si="7"/>
        <v>3085453.6973366369</v>
      </c>
    </row>
    <row r="124" spans="1:8" x14ac:dyDescent="0.2">
      <c r="A124" t="s">
        <v>218</v>
      </c>
      <c r="B124" s="32" t="s">
        <v>219</v>
      </c>
      <c r="C124" s="95">
        <f>('DOE25'!L209)+('DOE25'!L227)+('DOE25'!L245+'DOE25'!L255)</f>
        <v>838678.54</v>
      </c>
      <c r="D124" s="24" t="s">
        <v>288</v>
      </c>
      <c r="E124" s="95">
        <f>+('DOE25'!L288)+('DOE25'!L307)+('DOE25'!L326)</f>
        <v>102435.72465</v>
      </c>
      <c r="F124" s="24" t="s">
        <v>288</v>
      </c>
      <c r="G124" s="24" t="s">
        <v>288</v>
      </c>
      <c r="H124" s="124">
        <f t="shared" si="7"/>
        <v>941114.26465000003</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1454478.0499999998</v>
      </c>
      <c r="E127" s="24" t="s">
        <v>288</v>
      </c>
      <c r="F127" s="24" t="s">
        <v>288</v>
      </c>
      <c r="G127" s="24" t="s">
        <v>288</v>
      </c>
      <c r="H127" s="124">
        <f t="shared" si="7"/>
        <v>1454478.0499999998</v>
      </c>
    </row>
    <row r="128" spans="1:8" ht="12.75" thickTop="1" thickBot="1" x14ac:dyDescent="0.25">
      <c r="A128" s="33" t="s">
        <v>226</v>
      </c>
      <c r="C128" s="86">
        <f>SUM(C118:C127)</f>
        <v>10615145.073800739</v>
      </c>
      <c r="D128" s="86">
        <f>SUM(D118:D127)</f>
        <v>1454478.0499999998</v>
      </c>
      <c r="E128" s="86">
        <f>SUM(E118:E127)</f>
        <v>994766.84878999996</v>
      </c>
      <c r="F128" s="86">
        <f>SUM(F118:F127)</f>
        <v>0</v>
      </c>
      <c r="G128" s="86">
        <f>SUM(G118:G127)</f>
        <v>0</v>
      </c>
      <c r="H128" s="86">
        <f t="shared" si="7"/>
        <v>13064389.972590739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301884.78999999998</v>
      </c>
      <c r="D130" s="24" t="s">
        <v>288</v>
      </c>
      <c r="E130" s="129">
        <f>'DOE25'!L337</f>
        <v>0</v>
      </c>
      <c r="F130" s="129">
        <f>SUM('DOE25'!L375:'DOE25'!L381)</f>
        <v>0</v>
      </c>
      <c r="G130" s="24" t="s">
        <v>288</v>
      </c>
      <c r="H130" s="124">
        <f t="shared" si="7"/>
        <v>301884.78999999998</v>
      </c>
    </row>
    <row r="131" spans="1:8" x14ac:dyDescent="0.2">
      <c r="A131" t="s">
        <v>229</v>
      </c>
      <c r="B131" s="32">
        <v>5110</v>
      </c>
      <c r="C131" s="95">
        <f>'DOE25'!L261</f>
        <v>1631795.23</v>
      </c>
      <c r="D131" s="24" t="s">
        <v>288</v>
      </c>
      <c r="E131" s="129">
        <f>'DOE25'!L342</f>
        <v>0</v>
      </c>
      <c r="F131" s="24" t="s">
        <v>288</v>
      </c>
      <c r="G131" s="24" t="s">
        <v>288</v>
      </c>
      <c r="H131" s="124">
        <f t="shared" si="7"/>
        <v>1631795.23</v>
      </c>
    </row>
    <row r="132" spans="1:8" x14ac:dyDescent="0.2">
      <c r="A132" t="s">
        <v>230</v>
      </c>
      <c r="B132" s="32">
        <v>5120</v>
      </c>
      <c r="C132" s="95">
        <f>'DOE25'!L262</f>
        <v>720766.78</v>
      </c>
      <c r="D132" s="24" t="s">
        <v>288</v>
      </c>
      <c r="E132" s="129">
        <f>'DOE25'!L343</f>
        <v>0</v>
      </c>
      <c r="F132" s="24" t="s">
        <v>288</v>
      </c>
      <c r="G132" s="24" t="s">
        <v>288</v>
      </c>
      <c r="H132" s="124">
        <f t="shared" si="7"/>
        <v>720766.78</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600000</v>
      </c>
      <c r="D139" s="24" t="s">
        <v>288</v>
      </c>
      <c r="E139" s="24" t="s">
        <v>288</v>
      </c>
      <c r="F139" s="24" t="s">
        <v>288</v>
      </c>
      <c r="G139" s="24" t="s">
        <v>288</v>
      </c>
      <c r="H139" s="124">
        <f t="shared" si="7"/>
        <v>600000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3254446.8</v>
      </c>
      <c r="D144" s="141">
        <f>SUM(D130:D143)</f>
        <v>0</v>
      </c>
      <c r="E144" s="141">
        <f>SUM(E130:E143)</f>
        <v>0</v>
      </c>
      <c r="F144" s="141">
        <f>SUM(F130:F143)</f>
        <v>0</v>
      </c>
      <c r="G144" s="141">
        <f>SUM(G130:G143)</f>
        <v>0</v>
      </c>
      <c r="H144" s="141">
        <f t="shared" si="7"/>
        <v>3254446.8</v>
      </c>
    </row>
    <row r="145" spans="1:9" ht="12.75" thickTop="1" thickBot="1" x14ac:dyDescent="0.25">
      <c r="A145" s="33" t="s">
        <v>244</v>
      </c>
      <c r="C145" s="86">
        <f>(C115+C128+C144)</f>
        <v>36418860.475856401</v>
      </c>
      <c r="D145" s="86">
        <f>(D115+D128+D144)</f>
        <v>1454478.0499999998</v>
      </c>
      <c r="E145" s="86">
        <f>(E115+E128+E144)</f>
        <v>5177428.2842550008</v>
      </c>
      <c r="F145" s="86">
        <f>(F115+F128+F144)</f>
        <v>0</v>
      </c>
      <c r="G145" s="86">
        <f>(G115+G128+G144)</f>
        <v>0</v>
      </c>
      <c r="H145" s="86">
        <f t="shared" si="7"/>
        <v>43050766.810111396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Laconia</v>
      </c>
    </row>
    <row r="3" spans="1:4" x14ac:dyDescent="0.2">
      <c r="B3" s="187" t="s">
        <v>1799</v>
      </c>
    </row>
    <row r="4" spans="1:4" x14ac:dyDescent="0.2">
      <c r="B4" t="s">
        <v>61</v>
      </c>
      <c r="C4" s="178">
        <f>IF('DOE25'!F666+'DOE25'!F671=0,0,ROUND('DOE25'!F673,0))</f>
        <v>20999</v>
      </c>
    </row>
    <row r="5" spans="1:4" x14ac:dyDescent="0.2">
      <c r="B5" t="s">
        <v>700</v>
      </c>
      <c r="C5" s="178">
        <f>IF('DOE25'!G666+'DOE25'!G671=0,0,ROUND('DOE25'!G673,0))</f>
        <v>19780</v>
      </c>
    </row>
    <row r="6" spans="1:4" x14ac:dyDescent="0.2">
      <c r="B6" t="s">
        <v>62</v>
      </c>
      <c r="C6" s="178">
        <f>IF('DOE25'!H666+'DOE25'!H671=0,0,ROUND('DOE25'!H673,0))</f>
        <v>19376</v>
      </c>
    </row>
    <row r="7" spans="1:4" x14ac:dyDescent="0.2">
      <c r="B7" t="s">
        <v>701</v>
      </c>
      <c r="C7" s="178">
        <f>IF('DOE25'!I666+'DOE25'!I671=0,0,ROUND('DOE25'!I673,0))</f>
        <v>20161</v>
      </c>
    </row>
    <row r="9" spans="1:4" x14ac:dyDescent="0.2">
      <c r="A9" s="186" t="s">
        <v>94</v>
      </c>
      <c r="B9" s="187" t="s">
        <v>1800</v>
      </c>
      <c r="C9" s="180" t="s">
        <v>720</v>
      </c>
      <c r="D9" s="180" t="s">
        <v>721</v>
      </c>
    </row>
    <row r="10" spans="1:4" x14ac:dyDescent="0.2">
      <c r="A10">
        <v>1100</v>
      </c>
      <c r="B10" t="s">
        <v>702</v>
      </c>
      <c r="C10" s="178">
        <f>ROUND('DOE25'!L198+'DOE25'!L216+'DOE25'!L234+'DOE25'!L277+'DOE25'!L296+'DOE25'!L315,0)</f>
        <v>15792301</v>
      </c>
      <c r="D10" s="181">
        <f>ROUND((C10/$C$28)*100,1)</f>
        <v>39</v>
      </c>
    </row>
    <row r="11" spans="1:4" x14ac:dyDescent="0.2">
      <c r="A11">
        <v>1200</v>
      </c>
      <c r="B11" t="s">
        <v>703</v>
      </c>
      <c r="C11" s="178">
        <f>ROUND('DOE25'!L199+'DOE25'!L217+'DOE25'!L235+'DOE25'!L278+'DOE25'!L297+'DOE25'!L316,0)</f>
        <v>8265701</v>
      </c>
      <c r="D11" s="181">
        <f>ROUND((C11/$C$28)*100,1)</f>
        <v>20.399999999999999</v>
      </c>
    </row>
    <row r="12" spans="1:4" x14ac:dyDescent="0.2">
      <c r="A12">
        <v>1300</v>
      </c>
      <c r="B12" t="s">
        <v>704</v>
      </c>
      <c r="C12" s="178">
        <f>ROUND('DOE25'!L200+'DOE25'!L218+'DOE25'!L236+'DOE25'!L279+'DOE25'!L298+'DOE25'!L317,0)</f>
        <v>1708268</v>
      </c>
      <c r="D12" s="181">
        <f>ROUND((C12/$C$28)*100,1)</f>
        <v>4.2</v>
      </c>
    </row>
    <row r="13" spans="1:4" x14ac:dyDescent="0.2">
      <c r="A13">
        <v>1400</v>
      </c>
      <c r="B13" t="s">
        <v>705</v>
      </c>
      <c r="C13" s="178">
        <f>ROUND('DOE25'!L201+'DOE25'!L219+'DOE25'!L237+'DOE25'!L280+'DOE25'!L299+'DOE25'!L318,0)</f>
        <v>381657</v>
      </c>
      <c r="D13" s="181">
        <f>ROUND((C13/$C$28)*100,1)</f>
        <v>0.9</v>
      </c>
    </row>
    <row r="14" spans="1:4" x14ac:dyDescent="0.2">
      <c r="D14" s="181"/>
    </row>
    <row r="15" spans="1:4" x14ac:dyDescent="0.2">
      <c r="A15">
        <v>2100</v>
      </c>
      <c r="B15" t="s">
        <v>706</v>
      </c>
      <c r="C15" s="178">
        <f>ROUND('DOE25'!L203+'DOE25'!L221+'DOE25'!L239+'DOE25'!L282+'DOE25'!L301+'DOE25'!L320,0)</f>
        <v>2499438</v>
      </c>
      <c r="D15" s="181">
        <f t="shared" ref="D15:D27" si="0">ROUND((C15/$C$28)*100,1)</f>
        <v>6.2</v>
      </c>
    </row>
    <row r="16" spans="1:4" x14ac:dyDescent="0.2">
      <c r="A16">
        <v>2200</v>
      </c>
      <c r="B16" t="s">
        <v>707</v>
      </c>
      <c r="C16" s="178">
        <f>ROUND('DOE25'!L204+'DOE25'!L222+'DOE25'!L240+'DOE25'!L283+'DOE25'!L302+'DOE25'!L321,0)</f>
        <v>1599247</v>
      </c>
      <c r="D16" s="181">
        <f t="shared" si="0"/>
        <v>4</v>
      </c>
    </row>
    <row r="17" spans="1:4" x14ac:dyDescent="0.2">
      <c r="A17" s="182" t="s">
        <v>723</v>
      </c>
      <c r="B17" t="s">
        <v>738</v>
      </c>
      <c r="C17" s="178">
        <f>ROUND('DOE25'!L205+'DOE25'!L210+'DOE25'!L223+'DOE25'!L228+'DOE25'!L241+'DOE25'!L246+'DOE25'!L284+'DOE25'!L289+'DOE25'!L303+'DOE25'!L308+'DOE25'!L322+'DOE25'!L327,0)</f>
        <v>978406</v>
      </c>
      <c r="D17" s="181">
        <f t="shared" si="0"/>
        <v>2.4</v>
      </c>
    </row>
    <row r="18" spans="1:4" x14ac:dyDescent="0.2">
      <c r="A18">
        <v>2400</v>
      </c>
      <c r="B18" t="s">
        <v>711</v>
      </c>
      <c r="C18" s="178">
        <f>ROUND('DOE25'!L206+'DOE25'!L224+'DOE25'!L242+'DOE25'!L285+'DOE25'!L304+'DOE25'!L323,0)</f>
        <v>2073237</v>
      </c>
      <c r="D18" s="181">
        <f t="shared" si="0"/>
        <v>5.0999999999999996</v>
      </c>
    </row>
    <row r="19" spans="1:4" x14ac:dyDescent="0.2">
      <c r="A19">
        <v>2500</v>
      </c>
      <c r="B19" t="s">
        <v>708</v>
      </c>
      <c r="C19" s="178">
        <f>ROUND('DOE25'!L207+'DOE25'!L225+'DOE25'!L243+'DOE25'!L286+'DOE25'!L305+'DOE25'!L324,0)</f>
        <v>433016</v>
      </c>
      <c r="D19" s="181">
        <f t="shared" si="0"/>
        <v>1.1000000000000001</v>
      </c>
    </row>
    <row r="20" spans="1:4" x14ac:dyDescent="0.2">
      <c r="A20">
        <v>2600</v>
      </c>
      <c r="B20" t="s">
        <v>709</v>
      </c>
      <c r="C20" s="178">
        <f>ROUND('DOE25'!L208+'DOE25'!L226+'DOE25'!L244+'DOE25'!L287+'DOE25'!L306+'DOE25'!L325,0)</f>
        <v>3085454</v>
      </c>
      <c r="D20" s="181">
        <f t="shared" si="0"/>
        <v>7.6</v>
      </c>
    </row>
    <row r="21" spans="1:4" x14ac:dyDescent="0.2">
      <c r="A21">
        <v>2700</v>
      </c>
      <c r="B21" t="s">
        <v>710</v>
      </c>
      <c r="C21" s="178">
        <f>ROUND('DOE25'!L209+'DOE25'!L227+'DOE25'!L245+'DOE25'!L288+'DOE25'!L307+'DOE25'!L326,0)</f>
        <v>941114</v>
      </c>
      <c r="D21" s="181">
        <f t="shared" si="0"/>
        <v>2.2999999999999998</v>
      </c>
    </row>
    <row r="22" spans="1:4" x14ac:dyDescent="0.2">
      <c r="A22">
        <v>2900</v>
      </c>
      <c r="B22" t="s">
        <v>712</v>
      </c>
      <c r="C22" s="178">
        <v>0</v>
      </c>
      <c r="D22" s="181">
        <f t="shared" si="0"/>
        <v>0</v>
      </c>
    </row>
    <row r="23" spans="1:4" x14ac:dyDescent="0.2">
      <c r="A23">
        <v>1500</v>
      </c>
      <c r="B23" t="s">
        <v>714</v>
      </c>
      <c r="C23" s="178">
        <f>ROUND('DOE25'!L251+'DOE25'!L333,0)</f>
        <v>153010</v>
      </c>
      <c r="D23" s="181">
        <f t="shared" si="0"/>
        <v>0.4</v>
      </c>
    </row>
    <row r="24" spans="1:4" x14ac:dyDescent="0.2">
      <c r="A24" s="182" t="s">
        <v>722</v>
      </c>
      <c r="B24" t="s">
        <v>715</v>
      </c>
      <c r="C24" s="178">
        <f>ROUND('DOE25'!L252+'DOE25'!L253+'DOE25'!L254+'DOE25'!L255+'DOE25'!L334+'DOE25'!L335+'DOE25'!L336,0)</f>
        <v>430993</v>
      </c>
      <c r="D24" s="181">
        <f t="shared" si="0"/>
        <v>1.1000000000000001</v>
      </c>
    </row>
    <row r="25" spans="1:4" x14ac:dyDescent="0.2">
      <c r="A25">
        <v>5120</v>
      </c>
      <c r="B25" t="s">
        <v>716</v>
      </c>
      <c r="C25" s="178">
        <f>ROUND('DOE25'!L262+'DOE25'!L343,0)</f>
        <v>720767</v>
      </c>
      <c r="D25" s="181">
        <f t="shared" si="0"/>
        <v>1.8</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1396751.66</v>
      </c>
      <c r="D27" s="181">
        <f t="shared" si="0"/>
        <v>3.5</v>
      </c>
    </row>
    <row r="28" spans="1:4" x14ac:dyDescent="0.2">
      <c r="B28" s="186" t="s">
        <v>719</v>
      </c>
      <c r="C28" s="179">
        <f>SUM(C10:C27)</f>
        <v>40459360.659999996</v>
      </c>
      <c r="D28" s="183">
        <f>ROUND(SUM(D10:D27),0)</f>
        <v>100</v>
      </c>
    </row>
    <row r="29" spans="1:4" x14ac:dyDescent="0.2">
      <c r="A29">
        <v>4000</v>
      </c>
      <c r="B29" t="s">
        <v>724</v>
      </c>
      <c r="C29" s="178">
        <f>ROUND('DOE25'!L256+'DOE25'!L337+'DOE25'!L375+'DOE25'!L376+'DOE25'!L377+'DOE25'!L378+'DOE25'!L379+'DOE25'!L380+'DOE25'!L381,0)</f>
        <v>301885</v>
      </c>
    </row>
    <row r="30" spans="1:4" x14ac:dyDescent="0.2">
      <c r="B30" s="186" t="s">
        <v>725</v>
      </c>
      <c r="C30" s="179">
        <f>SUM(C28:C29)</f>
        <v>40761245.659999996</v>
      </c>
    </row>
    <row r="31" spans="1:4" x14ac:dyDescent="0.2">
      <c r="B31" s="33"/>
      <c r="C31" s="179"/>
    </row>
    <row r="32" spans="1:4" x14ac:dyDescent="0.2">
      <c r="A32">
        <v>5100</v>
      </c>
      <c r="B32" s="33" t="s">
        <v>726</v>
      </c>
      <c r="C32" s="179">
        <f>ROUND('DOE25'!L261+'DOE25'!L342,0)</f>
        <v>1631795</v>
      </c>
    </row>
    <row r="34" spans="1:4" x14ac:dyDescent="0.2">
      <c r="A34" s="186" t="s">
        <v>94</v>
      </c>
      <c r="B34" s="187" t="s">
        <v>1801</v>
      </c>
      <c r="C34" s="180" t="s">
        <v>720</v>
      </c>
      <c r="D34" s="180" t="s">
        <v>721</v>
      </c>
    </row>
    <row r="35" spans="1:4" x14ac:dyDescent="0.2">
      <c r="A35">
        <v>1100</v>
      </c>
      <c r="B35" s="184" t="s">
        <v>727</v>
      </c>
      <c r="C35" s="178">
        <f>ROUND('DOE25'!F60+'DOE25'!G60+'DOE25'!H60+'DOE25'!I60+'DOE25'!J60,0)</f>
        <v>21253614</v>
      </c>
      <c r="D35" s="181">
        <f t="shared" ref="D35:D40" si="1">ROUND((C35/$C$41)*100,1)</f>
        <v>49.4</v>
      </c>
    </row>
    <row r="36" spans="1:4" x14ac:dyDescent="0.2">
      <c r="B36" s="184" t="s">
        <v>739</v>
      </c>
      <c r="C36" s="178">
        <f>SUM('DOE25'!F112:J112)-SUM('DOE25'!G97:G110)+('DOE25'!F175+'DOE25'!F176+'DOE25'!I175+'DOE25'!I176)-C35</f>
        <v>1293442.4499999993</v>
      </c>
      <c r="D36" s="181">
        <f t="shared" si="1"/>
        <v>3</v>
      </c>
    </row>
    <row r="37" spans="1:4" x14ac:dyDescent="0.2">
      <c r="A37" s="182" t="s">
        <v>835</v>
      </c>
      <c r="B37" s="184" t="s">
        <v>728</v>
      </c>
      <c r="C37" s="178">
        <f>ROUND('DOE25'!F117+'DOE25'!F118,0)</f>
        <v>11681782</v>
      </c>
      <c r="D37" s="181">
        <f t="shared" si="1"/>
        <v>27.2</v>
      </c>
    </row>
    <row r="38" spans="1:4" x14ac:dyDescent="0.2">
      <c r="A38" s="182" t="s">
        <v>734</v>
      </c>
      <c r="B38" s="184" t="s">
        <v>729</v>
      </c>
      <c r="C38" s="178">
        <f>ROUND(SUM('DOE25'!F140:J140)-SUM('DOE25'!F117:F119),0)</f>
        <v>1961806</v>
      </c>
      <c r="D38" s="181">
        <f t="shared" si="1"/>
        <v>4.5999999999999996</v>
      </c>
    </row>
    <row r="39" spans="1:4" x14ac:dyDescent="0.2">
      <c r="A39">
        <v>4000</v>
      </c>
      <c r="B39" s="184" t="s">
        <v>730</v>
      </c>
      <c r="C39" s="178">
        <f>ROUND('DOE25'!F170+'DOE25'!G170+'DOE25'!H170+'DOE25'!I170,0)</f>
        <v>6802396</v>
      </c>
      <c r="D39" s="181">
        <f t="shared" si="1"/>
        <v>15.8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42993040.450000003</v>
      </c>
      <c r="D41" s="183">
        <f>SUM(D35:D40)</f>
        <v>99.999999999999986</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Laconia</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77</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36</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41</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243</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320</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f>IF('School Level Expenditures'!$B$2='School Tables'!L39,'School Tables'!S39,"")</f>
        <v>36</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f>IF('School Level Expenditures'!$B$2='School Tables'!W44,'School Tables'!AD44,"")</f>
        <v>41</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f>IF('School Level Expenditures'!$B$2=A80,'School Tables'!H80,"")</f>
        <v>77</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f>IF('School Level Expenditures'!$B$2=A246,'School Tables'!H246,"")</f>
        <v>243</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f>IF('School Level Expenditures'!$B$2=A323,'School Tables'!H323,"")</f>
        <v>320</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2022-12-19T16:16:38Z</dcterms:modified>
</cp:coreProperties>
</file>