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4D3A7BF-4143-4077-8743-46BC693E376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H581" i="1"/>
  <c r="D37" i="14" l="1"/>
  <c r="D25" i="14"/>
  <c r="F110" i="1"/>
  <c r="F50" i="1" l="1"/>
  <c r="D5" i="14" l="1"/>
  <c r="F14" i="13"/>
  <c r="F8" i="13"/>
  <c r="F6" i="13"/>
  <c r="F31" i="13"/>
  <c r="F15" i="13"/>
  <c r="F29" i="13"/>
  <c r="H155" i="1" l="1"/>
  <c r="E7" i="14" s="1"/>
  <c r="H154" i="1"/>
  <c r="E9" i="17"/>
  <c r="E11" i="17"/>
  <c r="E6" i="14" l="1"/>
  <c r="J605" i="1"/>
  <c r="I605" i="1"/>
  <c r="H605" i="1"/>
  <c r="H416" i="1" l="1"/>
  <c r="C37" i="12" l="1"/>
  <c r="B37" i="12"/>
  <c r="C11" i="12"/>
  <c r="C20" i="12"/>
  <c r="B19" i="12" l="1"/>
  <c r="I614" i="1" l="1"/>
  <c r="G614" i="1"/>
  <c r="F614" i="1"/>
  <c r="I613" i="1"/>
  <c r="G613" i="1"/>
  <c r="F613" i="1"/>
  <c r="I612" i="1"/>
  <c r="G612" i="1"/>
  <c r="F612" i="1"/>
  <c r="J592" i="1"/>
  <c r="I592" i="1"/>
  <c r="H592" i="1"/>
  <c r="J596" i="1"/>
  <c r="J595" i="1"/>
  <c r="J594" i="1"/>
  <c r="J593" i="1"/>
  <c r="I596" i="1"/>
  <c r="I595" i="1"/>
  <c r="I593" i="1"/>
  <c r="H596" i="1"/>
  <c r="H593" i="1"/>
  <c r="I524" i="1" l="1"/>
  <c r="K529" i="1"/>
  <c r="K524" i="1" s="1"/>
  <c r="J529" i="1"/>
  <c r="J524" i="1" s="1"/>
  <c r="I529" i="1"/>
  <c r="H529" i="1"/>
  <c r="H524" i="1" s="1"/>
  <c r="I48" i="1"/>
  <c r="I523" i="1"/>
  <c r="K528" i="1"/>
  <c r="K523" i="1" s="1"/>
  <c r="J528" i="1"/>
  <c r="J523" i="1" s="1"/>
  <c r="I528" i="1"/>
  <c r="H528" i="1"/>
  <c r="H523" i="1" s="1"/>
  <c r="K527" i="1"/>
  <c r="K522" i="1"/>
  <c r="J522" i="1"/>
  <c r="H522" i="1"/>
  <c r="J527" i="1"/>
  <c r="I527" i="1"/>
  <c r="I522" i="1" s="1"/>
  <c r="H527" i="1"/>
  <c r="G529" i="1"/>
  <c r="G524" i="1" s="1"/>
  <c r="F524" i="1"/>
  <c r="F529" i="1"/>
  <c r="G523" i="1"/>
  <c r="F523" i="1"/>
  <c r="G522" i="1"/>
  <c r="F527" i="1"/>
  <c r="F522" i="1" s="1"/>
  <c r="G534" i="1"/>
  <c r="G533" i="1"/>
  <c r="F534" i="1"/>
  <c r="F533" i="1"/>
  <c r="F532" i="1"/>
  <c r="G532" i="1" s="1"/>
  <c r="H380" i="1"/>
  <c r="H377" i="1"/>
  <c r="H359" i="1"/>
  <c r="I361" i="1"/>
  <c r="H369" i="1" s="1"/>
  <c r="I360" i="1"/>
  <c r="H360" i="1" s="1"/>
  <c r="I359" i="1"/>
  <c r="G369" i="1"/>
  <c r="H361" i="1" l="1"/>
  <c r="F369" i="1"/>
  <c r="J361" i="1" l="1"/>
  <c r="J360" i="1"/>
  <c r="J359" i="1"/>
  <c r="G158" i="1" l="1"/>
  <c r="G132" i="1"/>
  <c r="G110" i="1"/>
  <c r="G97" i="1"/>
  <c r="H48" i="1"/>
  <c r="H157" i="1" l="1"/>
  <c r="H135" i="1"/>
  <c r="H159" i="1"/>
  <c r="H110" i="1"/>
  <c r="H162" i="1"/>
  <c r="G334" i="1" l="1"/>
  <c r="K261" i="1"/>
  <c r="K262" i="1"/>
  <c r="F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21" i="14" l="1"/>
  <c r="G36" i="13" l="1"/>
  <c r="G29" i="13"/>
  <c r="B5" i="14" l="1"/>
  <c r="C5" i="14" s="1"/>
  <c r="F88" i="2" l="1"/>
  <c r="E88" i="2"/>
  <c r="D88" i="2"/>
  <c r="C88" i="2"/>
  <c r="I163" i="1"/>
  <c r="H163" i="1"/>
  <c r="G163" i="1"/>
  <c r="F163" i="1"/>
  <c r="H88" i="2" l="1"/>
  <c r="B31" i="16"/>
  <c r="B27" i="16"/>
  <c r="B9" i="16"/>
  <c r="B5" i="16"/>
  <c r="F42" i="14" l="1"/>
  <c r="F39" i="14" l="1"/>
  <c r="F40" i="14"/>
  <c r="F41" i="14"/>
  <c r="F27" i="14"/>
  <c r="F28" i="14"/>
  <c r="F29" i="14"/>
  <c r="F30" i="14"/>
  <c r="F31" i="14"/>
  <c r="F32" i="14"/>
  <c r="F8" i="14"/>
  <c r="F9" i="14"/>
  <c r="F10" i="14"/>
  <c r="F11" i="14"/>
  <c r="F12" i="14"/>
  <c r="F13" i="14"/>
  <c r="F14" i="14"/>
  <c r="F15" i="14"/>
  <c r="F16" i="14"/>
  <c r="F17" i="14"/>
  <c r="F18" i="14"/>
  <c r="F19" i="14"/>
  <c r="F20" i="14"/>
  <c r="F25" i="14"/>
  <c r="F5"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B39" i="12" s="1"/>
  <c r="B40" i="12" s="1"/>
  <c r="C36" i="12"/>
  <c r="C39" i="12" s="1"/>
  <c r="C40" i="12" s="1"/>
  <c r="B27" i="12"/>
  <c r="C27" i="12"/>
  <c r="B31" i="12"/>
  <c r="C31" i="12"/>
  <c r="B9" i="12"/>
  <c r="B12" i="12" s="1"/>
  <c r="C12" i="12" s="1"/>
  <c r="C9" i="12"/>
  <c r="B18" i="12"/>
  <c r="B21" i="12" s="1"/>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I19" i="1"/>
  <c r="G621" i="1" s="1"/>
  <c r="F32" i="1"/>
  <c r="F52" i="1" s="1"/>
  <c r="H618" i="1" s="1"/>
  <c r="G32" i="1"/>
  <c r="G52" i="1" s="1"/>
  <c r="H619" i="1" s="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1" i="1"/>
  <c r="G644" i="1"/>
  <c r="G645" i="1"/>
  <c r="G646" i="1"/>
  <c r="G651" i="1"/>
  <c r="G652" i="1"/>
  <c r="H653" i="1"/>
  <c r="G654" i="1"/>
  <c r="H654" i="1"/>
  <c r="H655" i="1"/>
  <c r="H656" i="1"/>
  <c r="I170" i="1"/>
  <c r="E111" i="2" l="1"/>
  <c r="C21" i="12"/>
  <c r="C19" i="12" s="1"/>
  <c r="C22" i="12" s="1"/>
  <c r="A22" i="12" s="1"/>
  <c r="B22" i="12"/>
  <c r="C10" i="12"/>
  <c r="C13" i="12" s="1"/>
  <c r="B13" i="12"/>
  <c r="I409" i="1"/>
  <c r="J652" i="1"/>
  <c r="H93" i="2"/>
  <c r="H26" i="2"/>
  <c r="D18" i="13"/>
  <c r="C18" i="13" s="1"/>
  <c r="H89" i="2"/>
  <c r="H72" i="2"/>
  <c r="H59" i="2"/>
  <c r="H35" i="2"/>
  <c r="H34" i="2"/>
  <c r="H9" i="2"/>
  <c r="D15" i="13"/>
  <c r="C15" i="13" s="1"/>
  <c r="H113" i="2"/>
  <c r="G620" i="1"/>
  <c r="H137" i="2"/>
  <c r="H125" i="2"/>
  <c r="H94" i="2"/>
  <c r="H69" i="2"/>
  <c r="H30" i="2"/>
  <c r="H29" i="2"/>
  <c r="H28" i="2"/>
  <c r="H27" i="2"/>
  <c r="H25" i="2"/>
  <c r="H24" i="2"/>
  <c r="H17" i="2"/>
  <c r="H12" i="2"/>
  <c r="H8" i="2"/>
  <c r="H132" i="2"/>
  <c r="H36" i="2"/>
  <c r="H38" i="2"/>
  <c r="H43" i="2"/>
  <c r="H44" i="2"/>
  <c r="H102" i="2"/>
  <c r="H101" i="2"/>
  <c r="H100" i="2"/>
  <c r="H99" i="2"/>
  <c r="H98" i="2"/>
  <c r="H79" i="2"/>
  <c r="H76" i="2"/>
  <c r="H73" i="2"/>
  <c r="H23" i="2"/>
  <c r="H15" i="2"/>
  <c r="H11" i="2"/>
  <c r="H143" i="2"/>
  <c r="D144" i="2"/>
  <c r="H13" i="2"/>
  <c r="H97" i="2"/>
  <c r="H96" i="2"/>
  <c r="H87" i="2"/>
  <c r="H80" i="2"/>
  <c r="H77" i="2"/>
  <c r="H61" i="2"/>
  <c r="H22" i="2"/>
  <c r="H47" i="2"/>
  <c r="C120" i="2"/>
  <c r="H120" i="2" s="1"/>
  <c r="G662" i="1"/>
  <c r="C12" i="10"/>
  <c r="E112" i="2"/>
  <c r="H112" i="2" s="1"/>
  <c r="E121" i="2"/>
  <c r="C119" i="2"/>
  <c r="A40" i="12"/>
  <c r="C13" i="10"/>
  <c r="C110" i="2"/>
  <c r="E13" i="13"/>
  <c r="C13" i="13" s="1"/>
  <c r="D6" i="13"/>
  <c r="C6" i="13" s="1"/>
  <c r="C121"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E26" i="14" s="1"/>
  <c r="E33"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38" i="14" s="1"/>
  <c r="E43" i="14" s="1"/>
  <c r="E122" i="2"/>
  <c r="L291" i="1"/>
  <c r="L615" i="1"/>
  <c r="K599" i="1"/>
  <c r="G648" i="1" s="1"/>
  <c r="K572" i="1"/>
  <c r="L571" i="1"/>
  <c r="H572" i="1"/>
  <c r="L566" i="1"/>
  <c r="I572" i="1"/>
  <c r="K546" i="1"/>
  <c r="C114" i="2"/>
  <c r="G112" i="1"/>
  <c r="B10" i="16" s="1"/>
  <c r="E118" i="2"/>
  <c r="L248" i="1"/>
  <c r="D38" i="14" s="1"/>
  <c r="L212" i="1"/>
  <c r="H648"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J653" i="1"/>
  <c r="G572" i="1"/>
  <c r="I435" i="1"/>
  <c r="G435" i="1"/>
  <c r="I664" i="1"/>
  <c r="G637" i="1" l="1"/>
  <c r="I473" i="1"/>
  <c r="H122" i="2"/>
  <c r="F38" i="14"/>
  <c r="L572" i="1"/>
  <c r="I663" i="1"/>
  <c r="G647" i="1"/>
  <c r="J469" i="1"/>
  <c r="D51" i="2"/>
  <c r="B17" i="16"/>
  <c r="B19" i="16" s="1"/>
  <c r="G473" i="1"/>
  <c r="E144" i="2"/>
  <c r="H57" i="2"/>
  <c r="H16" i="2"/>
  <c r="E48" i="2"/>
  <c r="H48" i="2" s="1"/>
  <c r="H51" i="1"/>
  <c r="H50" i="2"/>
  <c r="H78" i="2"/>
  <c r="H134" i="2"/>
  <c r="H42" i="2"/>
  <c r="H62" i="2"/>
  <c r="H103" i="2"/>
  <c r="H91" i="2"/>
  <c r="H85" i="2"/>
  <c r="H21" i="2"/>
  <c r="E51" i="2"/>
  <c r="H31" i="2"/>
  <c r="H18" i="2"/>
  <c r="H114" i="2"/>
  <c r="F194" i="1"/>
  <c r="C81" i="2"/>
  <c r="H81" i="2" s="1"/>
  <c r="D128" i="2"/>
  <c r="D145" i="2" s="1"/>
  <c r="H127" i="2"/>
  <c r="G24" i="14"/>
  <c r="H121" i="2"/>
  <c r="H118" i="2"/>
  <c r="E115" i="2"/>
  <c r="E128" i="2"/>
  <c r="H119" i="2"/>
  <c r="H110" i="2"/>
  <c r="F661" i="1"/>
  <c r="F665" i="1" s="1"/>
  <c r="F668" i="1" s="1"/>
  <c r="H109" i="2"/>
  <c r="F144" i="2"/>
  <c r="H130" i="2"/>
  <c r="H661" i="1"/>
  <c r="H665" i="1" s="1"/>
  <c r="H668" i="1" s="1"/>
  <c r="H194" i="1"/>
  <c r="H649" i="1"/>
  <c r="J649" i="1" s="1"/>
  <c r="C141" i="2"/>
  <c r="F51" i="2"/>
  <c r="G36" i="14"/>
  <c r="E104" i="2"/>
  <c r="C36" i="10"/>
  <c r="L435" i="1"/>
  <c r="I662" i="1"/>
  <c r="G104" i="2"/>
  <c r="L339" i="1"/>
  <c r="I194" i="1"/>
  <c r="G636" i="1"/>
  <c r="G51" i="2"/>
  <c r="D104" i="2"/>
  <c r="L409" i="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29" i="1" l="1"/>
  <c r="G469" i="1"/>
  <c r="L353" i="1"/>
  <c r="G634" i="1" s="1"/>
  <c r="H473" i="1"/>
  <c r="H637" i="1"/>
  <c r="I475" i="1"/>
  <c r="G631" i="1"/>
  <c r="I469" i="1"/>
  <c r="J637" i="1"/>
  <c r="D6" i="14"/>
  <c r="D7" i="14"/>
  <c r="F7" i="14" s="1"/>
  <c r="G630" i="1"/>
  <c r="H469" i="1"/>
  <c r="H638" i="1"/>
  <c r="J471" i="1"/>
  <c r="H632" i="1"/>
  <c r="J632" i="1" s="1"/>
  <c r="G639" i="1"/>
  <c r="J473" i="1"/>
  <c r="B22" i="16"/>
  <c r="G475" i="1"/>
  <c r="H636" i="1"/>
  <c r="J636" i="1" s="1"/>
  <c r="G625" i="1"/>
  <c r="H52" i="1"/>
  <c r="H620" i="1" s="1"/>
  <c r="J620" i="1" s="1"/>
  <c r="H51" i="2"/>
  <c r="C144" i="2"/>
  <c r="H144" i="2" s="1"/>
  <c r="H141" i="2"/>
  <c r="G628" i="1"/>
  <c r="F469" i="1"/>
  <c r="G633" i="1"/>
  <c r="F473" i="1"/>
  <c r="C104" i="2"/>
  <c r="H104" i="2" s="1"/>
  <c r="H63" i="2"/>
  <c r="H115" i="2"/>
  <c r="E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471" i="1" l="1"/>
  <c r="I477" i="1" s="1"/>
  <c r="H626" i="1" s="1"/>
  <c r="J626" i="1" s="1"/>
  <c r="H631" i="1"/>
  <c r="J631" i="1"/>
  <c r="J634" i="1"/>
  <c r="H634" i="1"/>
  <c r="H475" i="1"/>
  <c r="G471" i="1"/>
  <c r="G477" i="1" s="1"/>
  <c r="H629" i="1"/>
  <c r="J629" i="1" s="1"/>
  <c r="D21" i="14"/>
  <c r="F6" i="14"/>
  <c r="F4" i="14" s="1"/>
  <c r="H4" i="14" s="1"/>
  <c r="I4" i="14" s="1"/>
  <c r="D33" i="14"/>
  <c r="F26" i="14"/>
  <c r="F24" i="14" s="1"/>
  <c r="H24" i="14" s="1"/>
  <c r="I24" i="14" s="1"/>
  <c r="D43" i="14"/>
  <c r="F37" i="14"/>
  <c r="F36" i="14" s="1"/>
  <c r="H36" i="14" s="1"/>
  <c r="I36" i="14" s="1"/>
  <c r="H471" i="1"/>
  <c r="H477" i="1" s="1"/>
  <c r="H625" i="1" s="1"/>
  <c r="J625" i="1" s="1"/>
  <c r="H630" i="1"/>
  <c r="J630" i="1" s="1"/>
  <c r="J475" i="1"/>
  <c r="J477" i="1" s="1"/>
  <c r="H627" i="1" s="1"/>
  <c r="J627" i="1" s="1"/>
  <c r="H639" i="1"/>
  <c r="J639" i="1" s="1"/>
  <c r="C145" i="2"/>
  <c r="H145" i="2" s="1"/>
  <c r="F471" i="1"/>
  <c r="H628" i="1"/>
  <c r="J628" i="1" s="1"/>
  <c r="F475" i="1"/>
  <c r="H633" i="1"/>
  <c r="J633" i="1" s="1"/>
  <c r="I668" i="1"/>
  <c r="D28" i="10"/>
  <c r="D37" i="10"/>
  <c r="D36" i="10"/>
  <c r="D35" i="10"/>
  <c r="D40" i="10"/>
  <c r="D39" i="10"/>
  <c r="H624" i="1" l="1"/>
  <c r="J624" i="1" s="1"/>
  <c r="B33" i="16"/>
  <c r="F477" i="1"/>
  <c r="H623" i="1" s="1"/>
  <c r="H657" i="1" s="1"/>
  <c r="J623"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<sst xmlns="http://schemas.openxmlformats.org/spreadsheetml/2006/main" count="6532" uniqueCount="1804">
  <si>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</si>
  <si>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</si>
  <si>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</si>
  <si>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</si>
  <si>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</si>
  <si>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</si>
  <si>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</si>
  <si>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</si>
  <si>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</si>
  <si>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</si>
  <si>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</si>
  <si>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</si>
  <si>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</si>
  <si>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</si>
  <si>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</si>
  <si>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</si>
  <si>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</si>
  <si>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</si>
  <si>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</si>
  <si>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</si>
  <si>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</si>
  <si>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</si>
  <si>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</si>
  <si>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</si>
  <si>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</si>
  <si>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</si>
  <si>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</si>
  <si>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</si>
  <si>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</si>
  <si>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</si>
  <si>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</si>
  <si>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</si>
  <si>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</si>
  <si>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</si>
  <si>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</si>
  <si>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</si>
  <si>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</si>
  <si>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</si>
  <si>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</si>
  <si>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</si>
  <si>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</si>
  <si>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</si>
  <si>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</si>
  <si>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</si>
  <si>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</si>
  <si>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</si>
  <si>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</si>
  <si>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</si>
  <si>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</si>
  <si>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</si>
  <si>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</si>
  <si>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</si>
  <si>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</si>
  <si>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</si>
  <si>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</si>
  <si>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</si>
  <si>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</si>
  <si>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</si>
  <si>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</si>
  <si>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</si>
  <si>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</si>
  <si>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</si>
  <si>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</si>
  <si>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</si>
  <si>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</si>
  <si>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</si>
  <si>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</si>
  <si>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</si>
  <si>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</si>
  <si>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</si>
  <si>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</si>
  <si>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</si>
  <si>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</si>
  <si>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</si>
  <si>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</si>
  <si>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</si>
  <si>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</si>
  <si>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</si>
  <si>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</si>
  <si>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</si>
  <si>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</si>
  <si>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</si>
  <si>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</si>
  <si>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</si>
  <si>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</si>
  <si>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</si>
  <si>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</si>
  <si>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</si>
  <si>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</si>
  <si>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</si>
  <si>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</si>
  <si>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</si>
  <si>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</si>
  <si>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</si>
  <si>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</si>
  <si>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</si>
  <si>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</si>
  <si>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</si>
  <si>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</si>
  <si>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</si>
  <si>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</si>
  <si>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</si>
  <si>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</si>
  <si>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</si>
  <si>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</si>
  <si>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</si>
  <si>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</si>
  <si>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</si>
  <si>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</si>
  <si>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</si>
  <si>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</si>
  <si>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</si>
  <si>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</si>
  <si>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</si>
  <si>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</si>
  <si>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</si>
  <si>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</si>
  <si>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</si>
  <si>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</si>
  <si>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</si>
  <si>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</si>
  <si>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</si>
  <si>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</si>
  <si>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</si>
  <si>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</si>
  <si>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</si>
  <si>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</si>
  <si>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</si>
  <si>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</si>
  <si>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</si>
  <si>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</si>
  <si>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</si>
  <si>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</si>
  <si>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</si>
  <si>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</si>
  <si>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</si>
  <si>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</si>
  <si>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</si>
  <si>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</si>
  <si>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</si>
  <si>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</si>
  <si>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</si>
  <si>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</si>
  <si>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</si>
  <si>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</si>
  <si>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</si>
  <si>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</si>
  <si>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</si>
  <si>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</si>
  <si>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</si>
  <si>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</si>
  <si>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</si>
  <si>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</si>
  <si>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</si>
  <si>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</si>
  <si>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</si>
  <si>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</si>
  <si>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</si>
  <si>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</si>
  <si>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</si>
  <si>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</si>
  <si>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</si>
  <si>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</si>
  <si>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</si>
  <si>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</si>
  <si>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</si>
  <si>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</si>
  <si>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</si>
  <si>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</si>
  <si>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</si>
  <si>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</si>
  <si>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</si>
  <si>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</si>
  <si>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</si>
  <si>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</si>
  <si>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</si>
  <si>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</si>
  <si>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</si>
  <si>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</si>
  <si>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</si>
  <si>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</si>
  <si>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</si>
  <si>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</si>
  <si>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</si>
  <si>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</si>
  <si>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</si>
  <si>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</si>
  <si>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</si>
  <si>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</si>
  <si>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</si>
  <si>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</si>
  <si>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</si>
  <si>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</si>
  <si>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</si>
  <si>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</si>
  <si>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</si>
  <si>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</si>
  <si>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</si>
  <si>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</si>
  <si>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</si>
  <si>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</si>
  <si>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</si>
  <si>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</si>
  <si>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</si>
  <si>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</si>
  <si>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</si>
  <si>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</si>
  <si>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</si>
  <si>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</si>
  <si>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</si>
  <si>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</si>
  <si>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</si>
  <si>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</si>
  <si>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</si>
  <si>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</si>
  <si>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</si>
  <si>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</si>
  <si>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</si>
  <si>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</si>
  <si>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</si>
  <si>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</si>
  <si>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</si>
  <si>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</si>
  <si>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</si>
  <si>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</si>
  <si>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</si>
  <si>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</si>
  <si>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</si>
  <si>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</si>
  <si>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</si>
  <si>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</si>
  <si>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</si>
  <si>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</si>
  <si>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</si>
  <si>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</si>
  <si>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</si>
  <si>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</si>
  <si>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</si>
  <si>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</si>
  <si>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</si>
  <si>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</si>
  <si>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</si>
  <si>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</si>
  <si>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</si>
  <si>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</si>
  <si>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</si>
  <si>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</si>
  <si>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</si>
  <si>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</si>
  <si>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</si>
  <si>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</si>
  <si>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</si>
  <si>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</si>
  <si>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</si>
  <si>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</si>
  <si>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</si>
  <si>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</si>
  <si>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</si>
  <si>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</si>
  <si>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</si>
  <si>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</si>
  <si>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</si>
  <si>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</si>
  <si>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</si>
  <si>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</si>
  <si>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</si>
  <si>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</si>
  <si>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</si>
  <si>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</si>
  <si>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</si>
  <si>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</si>
  <si>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</si>
  <si>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</si>
  <si>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</si>
  <si>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</si>
  <si>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</si>
  <si>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</si>
  <si>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</si>
  <si>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</si>
  <si>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</si>
  <si>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</si>
  <si>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</si>
  <si>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</si>
  <si>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</si>
  <si>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</si>
  <si>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</si>
  <si>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</si>
  <si>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</si>
  <si>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</si>
  <si>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</si>
  <si>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</si>
  <si>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</si>
  <si>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</si>
  <si>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</si>
  <si>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</si>
  <si>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</si>
  <si>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</si>
  <si>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</si>
  <si>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</si>
  <si>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</si>
  <si>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</si>
  <si>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</si>
  <si>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</si>
  <si>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</si>
  <si>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</si>
  <si>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</si>
  <si>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</si>
  <si>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</si>
  <si>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</si>
  <si>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</si>
  <si>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</si>
  <si>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</si>
  <si>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</si>
  <si>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</si>
  <si>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</si>
  <si>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</si>
  <si>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</si>
  <si>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</si>
  <si>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</si>
  <si>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</si>
  <si>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</si>
  <si>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</si>
  <si>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</si>
  <si>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</si>
  <si>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</si>
  <si>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</si>
  <si>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</si>
  <si>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</si>
  <si>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</si>
  <si>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</si>
  <si>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</si>
  <si>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</si>
  <si>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</si>
  <si>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</si>
  <si>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</si>
  <si>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</si>
  <si>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</si>
  <si>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</si>
  <si>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</si>
  <si>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</si>
  <si>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</si>
  <si>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</si>
  <si>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</si>
  <si>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</si>
  <si>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</si>
  <si>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</si>
  <si>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</si>
  <si>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</si>
  <si>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</si>
  <si>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</si>
  <si>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</si>
  <si>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</si>
  <si>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</si>
  <si>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</si>
  <si>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</si>
  <si>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</si>
  <si>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</si>
  <si>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</si>
  <si>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</si>
  <si>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</si>
  <si>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</si>
  <si>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</si>
  <si>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</si>
  <si>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</si>
  <si>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</si>
  <si>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</si>
  <si>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</si>
  <si>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</si>
  <si>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</si>
  <si>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</si>
  <si>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</si>
  <si>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</si>
  <si>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</si>
  <si>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</si>
  <si>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</si>
  <si>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</si>
  <si>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</si>
  <si>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</si>
  <si>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</si>
  <si>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</si>
  <si>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</si>
  <si>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</si>
  <si>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</si>
  <si>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</si>
  <si>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</si>
  <si>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</si>
  <si>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</si>
  <si>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</si>
  <si>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</si>
  <si>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</si>
  <si>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</si>
  <si>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</si>
  <si>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</si>
  <si>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</si>
  <si>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</si>
  <si>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</si>
  <si>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</si>
  <si>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</si>
  <si>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</si>
  <si>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</si>
  <si>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</si>
  <si>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</si>
  <si>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</si>
  <si>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</si>
  <si>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</si>
  <si>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</si>
  <si>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</si>
  <si>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</si>
  <si>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</si>
  <si>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</si>
  <si>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</si>
  <si>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</si>
  <si>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</si>
  <si>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</si>
  <si>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</si>
  <si>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</si>
  <si>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</si>
  <si>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</si>
  <si>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</si>
  <si>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</si>
  <si>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</si>
  <si>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</si>
  <si>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</si>
  <si>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</si>
  <si>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</si>
  <si>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</si>
  <si>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</si>
  <si>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</si>
  <si>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</si>
  <si>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</si>
  <si>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</si>
  <si>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</si>
  <si>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</si>
  <si>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</si>
  <si>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</si>
  <si>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</si>
  <si>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</si>
  <si>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</si>
  <si>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</si>
  <si>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</si>
  <si>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</si>
  <si>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</si>
  <si>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</si>
  <si>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</si>
  <si>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</si>
  <si>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</si>
  <si>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</si>
  <si>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</si>
  <si>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</si>
  <si>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</si>
  <si>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</si>
  <si>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</si>
  <si>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</si>
  <si>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</si>
  <si>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</si>
  <si>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</si>
  <si>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</si>
  <si>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</si>
  <si>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</si>
  <si>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</si>
  <si>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</si>
  <si>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</si>
  <si>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</si>
  <si>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</si>
  <si>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</si>
  <si>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</si>
  <si>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</si>
  <si>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</si>
  <si>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</si>
  <si>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</si>
  <si>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</si>
  <si>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</si>
  <si>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</si>
  <si>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</si>
  <si>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</si>
  <si>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</si>
  <si>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</si>
  <si>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</si>
  <si>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</si>
  <si>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</si>
  <si>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</si>
  <si>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</si>
  <si>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</si>
  <si>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</si>
  <si>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</si>
  <si>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</si>
  <si>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</si>
  <si>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</si>
  <si>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</si>
  <si>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</si>
  <si>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</si>
  <si>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</si>
  <si>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</si>
  <si>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</si>
  <si>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</si>
  <si>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</si>
  <si>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</si>
  <si>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</si>
  <si>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</si>
  <si>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</si>
  <si>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</si>
  <si>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</si>
  <si>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</si>
  <si>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</si>
  <si>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</si>
  <si>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</si>
  <si>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</si>
  <si>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</si>
  <si>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</si>
  <si>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</si>
  <si>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</si>
  <si>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</si>
  <si>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</si>
  <si>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</si>
  <si>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</si>
  <si>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</si>
  <si>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</si>
  <si>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</si>
  <si>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</si>
  <si>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</si>
  <si>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</si>
  <si>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</si>
  <si>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</si>
  <si>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</si>
  <si>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</si>
  <si>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</si>
  <si>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</si>
  <si>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</si>
  <si>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</si>
  <si>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</si>
  <si>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</si>
  <si>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</si>
  <si>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</si>
  <si>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</si>
  <si>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</si>
  <si>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</si>
  <si>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</si>
  <si>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</si>
  <si>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</si>
  <si>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</si>
  <si>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</si>
  <si>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</si>
  <si>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</si>
  <si>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</si>
  <si>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</si>
  <si>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</si>
  <si>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</si>
  <si>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</si>
  <si>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</si>
  <si>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</si>
  <si>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</si>
  <si>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</si>
  <si>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</si>
  <si>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</si>
  <si>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</si>
  <si>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</si>
  <si>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</si>
  <si>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</si>
  <si>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</si>
  <si>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</si>
  <si>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</si>
  <si>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</si>
  <si>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</si>
  <si>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</si>
  <si>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</si>
  <si>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</si>
  <si>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</si>
  <si>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</si>
  <si>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</si>
  <si>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</si>
  <si>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</si>
  <si>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</si>
  <si>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</si>
  <si>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</si>
  <si>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</si>
  <si>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</si>
  <si>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</si>
  <si>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</si>
  <si>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</si>
  <si>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</si>
  <si>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</si>
  <si>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</si>
  <si>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</si>
  <si>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</si>
  <si>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</si>
  <si>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</si>
  <si>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</si>
  <si>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</si>
  <si>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</si>
  <si>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</si>
  <si>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</si>
  <si>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</si>
  <si>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</si>
  <si>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</si>
  <si>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</si>
  <si>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</si>
  <si>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</si>
  <si>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</si>
  <si>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</si>
  <si>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</si>
  <si>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</si>
  <si>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</si>
  <si>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</si>
  <si>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</si>
  <si>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</si>
  <si>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</si>
  <si>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</si>
  <si>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</si>
  <si>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</si>
  <si>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</si>
  <si>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</si>
  <si>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</si>
  <si>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</si>
  <si>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</si>
  <si>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</si>
  <si>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</si>
  <si>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</si>
  <si>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</si>
  <si>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</si>
  <si>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</si>
  <si>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</si>
  <si>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</si>
  <si>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</si>
  <si>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</si>
  <si>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</si>
  <si>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</si>
  <si>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</si>
  <si>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</si>
  <si>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</si>
  <si>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</si>
  <si>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</si>
  <si>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</si>
  <si>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</si>
  <si>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</si>
  <si>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</si>
  <si>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</si>
  <si>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</si>
  <si>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</si>
  <si>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</si>
  <si>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</si>
  <si>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</si>
  <si>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</si>
  <si>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</si>
  <si>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</si>
  <si>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</si>
  <si>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</si>
  <si>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</si>
  <si>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</si>
  <si>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</si>
  <si>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</si>
  <si>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</si>
  <si>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</si>
  <si>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</si>
  <si>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</si>
  <si>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</si>
  <si>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</si>
  <si>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</si>
  <si>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</si>
  <si>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</si>
  <si>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</si>
  <si>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</si>
  <si>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</si>
  <si>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</si>
  <si>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</si>
  <si>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</si>
  <si>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</si>
  <si>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</si>
  <si>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</si>
  <si>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</si>
  <si>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</si>
  <si>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</si>
  <si>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</si>
  <si>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</si>
  <si>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</si>
  <si>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</si>
  <si>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</si>
  <si>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</si>
  <si>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</si>
  <si>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</si>
  <si>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</si>
  <si>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</si>
  <si>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</si>
  <si>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</si>
  <si>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</si>
  <si>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</si>
  <si>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</si>
  <si>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</si>
  <si>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</si>
  <si>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</si>
  <si>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</si>
  <si>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</si>
  <si>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</si>
  <si>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</si>
  <si>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</si>
  <si>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</si>
  <si>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</si>
  <si>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</si>
  <si>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</si>
  <si>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</si>
  <si>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</si>
  <si>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</si>
  <si>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</si>
  <si>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</si>
  <si>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</si>
  <si>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</si>
  <si>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</si>
  <si>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</si>
  <si>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</si>
  <si>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</si>
  <si>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</si>
  <si>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</si>
  <si>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</si>
  <si>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</si>
  <si>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</si>
  <si>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</si>
  <si>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</si>
  <si>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</si>
  <si>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</si>
  <si>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</si>
  <si>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</si>
  <si>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</si>
  <si>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</si>
  <si>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</si>
  <si>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</si>
  <si>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</si>
  <si>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</si>
  <si>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</si>
  <si>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</si>
  <si>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</si>
  <si>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</si>
  <si>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</si>
  <si>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</si>
  <si>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</si>
  <si>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</si>
  <si>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</si>
  <si>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</si>
  <si>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</si>
  <si>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</si>
  <si>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</si>
  <si>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</si>
  <si>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</si>
  <si>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</si>
  <si>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</si>
  <si>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</si>
  <si>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</si>
  <si>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</si>
  <si>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</si>
  <si>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</si>
  <si>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</si>
  <si>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</si>
  <si>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</si>
  <si>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</si>
  <si>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</si>
  <si>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</si>
  <si>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</si>
  <si>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</si>
  <si>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</si>
  <si>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</si>
  <si>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</si>
  <si>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</si>
  <si>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</si>
  <si>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</si>
  <si>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</si>
  <si>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</si>
  <si>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</si>
  <si>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</si>
  <si>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</si>
  <si>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</si>
  <si>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</si>
  <si>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</si>
  <si>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</si>
  <si>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</si>
  <si>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</si>
  <si>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</si>
  <si>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</si>
  <si>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</si>
  <si>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</si>
  <si>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</si>
  <si>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</si>
  <si>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</si>
  <si>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</si>
  <si>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</si>
  <si>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</si>
  <si>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</si>
  <si>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</si>
  <si>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</si>
  <si>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</si>
  <si>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</si>
  <si>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</si>
  <si>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</si>
  <si>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</si>
  <si>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</si>
  <si>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</si>
  <si>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</si>
  <si>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</si>
  <si>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</si>
  <si>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</si>
  <si>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</si>
  <si>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</si>
  <si>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</si>
  <si>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</si>
  <si>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</si>
  <si>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</si>
  <si>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</si>
  <si>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</si>
  <si>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</si>
  <si>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</si>
  <si>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</si>
  <si>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</si>
  <si>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</si>
  <si>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</si>
  <si>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</si>
  <si>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</si>
  <si>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</si>
  <si>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</si>
  <si>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</si>
  <si>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</si>
  <si>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</si>
  <si>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</si>
  <si>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</si>
  <si>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</si>
  <si>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</si>
  <si>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</si>
  <si>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</si>
  <si>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</si>
  <si>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</si>
  <si>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</si>
  <si>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</si>
  <si>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</si>
  <si>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</si>
  <si>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</si>
  <si>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</si>
  <si>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</si>
  <si>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</si>
  <si>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</si>
  <si>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</si>
  <si>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</si>
  <si>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</si>
  <si>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</si>
  <si>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</si>
  <si>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</si>
  <si>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</si>
  <si>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</si>
  <si>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</si>
  <si>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</si>
  <si>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</si>
  <si>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</si>
  <si>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</si>
  <si>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</si>
  <si>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</si>
  <si>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</si>
  <si>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</si>
  <si>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</si>
  <si>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</si>
  <si>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</si>
  <si>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</si>
  <si>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</si>
  <si>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</si>
  <si>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</si>
  <si>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</si>
  <si>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</si>
  <si>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</si>
  <si>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</si>
  <si>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</si>
  <si>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</si>
  <si>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</si>
  <si>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</si>
  <si>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</si>
  <si>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</si>
  <si>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</si>
  <si>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</si>
  <si>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</si>
  <si>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</si>
  <si>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</si>
  <si>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</si>
  <si>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</si>
  <si>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</si>
  <si>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</si>
  <si>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</si>
  <si>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</si>
  <si>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</si>
  <si>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</si>
  <si>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</si>
  <si>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</si>
  <si>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</si>
  <si>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</si>
  <si>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</si>
  <si>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</si>
  <si>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</si>
  <si>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</si>
  <si>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</si>
  <si>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</si>
  <si>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</si>
  <si>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</si>
  <si>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</si>
  <si>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</si>
  <si>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</si>
  <si>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</si>
  <si>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</si>
  <si>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</si>
  <si>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</si>
  <si>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</si>
  <si>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</si>
  <si>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</si>
  <si>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</si>
  <si>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</si>
  <si>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</si>
  <si>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</si>
  <si>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</si>
  <si>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</si>
  <si>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</si>
  <si>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</si>
  <si>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</si>
  <si>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</si>
  <si>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</si>
  <si>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</si>
  <si>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</si>
  <si>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</si>
  <si>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</si>
  <si>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</si>
  <si>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</si>
  <si>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</si>
  <si>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</si>
  <si>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</si>
  <si>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</si>
  <si>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</si>
  <si>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</si>
  <si>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</si>
  <si>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</si>
  <si>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</si>
  <si>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</si>
  <si>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</si>
  <si>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</si>
  <si>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</si>
  <si>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</si>
  <si>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</si>
  <si>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</si>
  <si>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</si>
  <si>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</si>
  <si>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</si>
  <si>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</si>
  <si>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</si>
  <si>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</si>
  <si>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</si>
  <si>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</si>
  <si>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</si>
  <si>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</si>
  <si>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</si>
  <si>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</si>
  <si>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</si>
  <si>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</si>
  <si>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</si>
  <si>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</si>
  <si>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</si>
  <si>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</si>
  <si>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</si>
  <si>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</si>
  <si>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</si>
  <si>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</si>
  <si>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</si>
  <si>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</si>
  <si>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</si>
  <si>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</si>
  <si>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</si>
  <si>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</si>
  <si>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</si>
  <si>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</si>
  <si>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</si>
  <si>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</si>
  <si>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</si>
  <si>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</si>
  <si>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</si>
  <si>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</si>
  <si>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</si>
  <si>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</si>
  <si>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</si>
  <si>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</si>
  <si>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</si>
  <si>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</si>
  <si>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</si>
  <si>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</si>
  <si>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</si>
  <si>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</si>
  <si>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</si>
  <si>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</si>
  <si>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</si>
  <si>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</si>
  <si>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</si>
  <si>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</si>
  <si>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</si>
  <si>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</si>
  <si>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</si>
  <si>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</si>
  <si>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</si>
  <si>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</si>
  <si>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</si>
  <si>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</si>
  <si>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</si>
  <si>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</si>
  <si>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</si>
  <si>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</si>
  <si>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</si>
  <si>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</si>
  <si>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</si>
  <si>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</si>
  <si>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</si>
  <si>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</si>
  <si>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</si>
  <si>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</si>
  <si>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</si>
  <si>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</si>
  <si>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</si>
  <si>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</si>
  <si>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</si>
  <si>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</si>
  <si>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</si>
  <si>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</si>
  <si>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</si>
  <si>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</si>
  <si>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</si>
  <si>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</si>
  <si>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</si>
  <si>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</si>
  <si>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</si>
  <si>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</si>
  <si>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</si>
  <si>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</si>
  <si>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</si>
  <si>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</si>
  <si>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</si>
  <si>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</si>
  <si>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</si>
  <si>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</si>
  <si>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</si>
  <si>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</si>
  <si>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</si>
  <si>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</si>
  <si>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</si>
  <si>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</si>
  <si>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</si>
  <si>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</si>
  <si>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</si>
  <si>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</si>
  <si>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</si>
  <si>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</si>
  <si>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</si>
  <si>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</si>
  <si>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</si>
  <si>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</si>
  <si>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</si>
  <si>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</si>
  <si>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</si>
  <si>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</si>
  <si>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</si>
  <si>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</si>
  <si>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</si>
  <si>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</si>
  <si>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</si>
  <si>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</si>
  <si>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</si>
  <si>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</si>
  <si>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</si>
  <si>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</si>
  <si>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</si>
  <si>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</si>
  <si>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</si>
  <si>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</si>
  <si>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</si>
  <si>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</si>
  <si>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</si>
  <si>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</si>
  <si>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</si>
  <si>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</si>
  <si>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</si>
  <si>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</si>
  <si>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</si>
  <si>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</si>
  <si>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</si>
  <si>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</si>
  <si>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</si>
  <si>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</si>
  <si>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</si>
  <si>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</si>
  <si>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</si>
  <si>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</si>
  <si>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</si>
  <si>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</si>
  <si>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</si>
  <si>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</si>
  <si>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</si>
  <si>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</si>
  <si>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</si>
  <si>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</si>
  <si>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</si>
  <si>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</si>
  <si>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</si>
  <si>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</si>
  <si>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</si>
  <si>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</si>
  <si>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</si>
  <si>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</si>
  <si>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</si>
  <si>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</si>
  <si>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</si>
  <si>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</si>
  <si>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</si>
  <si>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</si>
  <si>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</si>
  <si>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</si>
  <si>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</si>
  <si>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</si>
  <si>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</si>
  <si>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</si>
  <si>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</si>
  <si>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</si>
  <si>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</si>
  <si>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</si>
  <si>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</si>
  <si>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</si>
  <si>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</si>
  <si>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</si>
  <si>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</si>
  <si>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</si>
  <si>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</si>
  <si>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</si>
  <si>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</si>
  <si>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</si>
  <si>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</si>
  <si>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</si>
  <si>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</si>
  <si>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</si>
  <si>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</si>
  <si>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</si>
  <si>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</si>
  <si>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</si>
  <si>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</si>
  <si>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</si>
  <si>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</si>
  <si>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</si>
  <si>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</si>
  <si>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</si>
  <si>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</si>
  <si>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</si>
  <si>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</si>
  <si>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</si>
  <si>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</si>
  <si>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</si>
  <si>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</si>
  <si>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</si>
  <si>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</si>
  <si>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</si>
  <si>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</si>
  <si>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</si>
  <si>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</si>
  <si>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</si>
  <si>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</si>
  <si>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</si>
  <si>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</si>
  <si>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</si>
  <si>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</si>
  <si>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</si>
  <si>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</si>
  <si>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</si>
  <si>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</si>
  <si>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</si>
  <si>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</si>
  <si>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</si>
  <si>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</si>
  <si>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</si>
  <si>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</si>
  <si>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</si>
  <si>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</si>
  <si>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</si>
  <si>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</si>
  <si>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</si>
  <si>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</si>
  <si>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</si>
  <si>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</si>
  <si>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</si>
  <si>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</si>
  <si>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</si>
  <si>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</si>
  <si>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</si>
  <si>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</si>
  <si>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</si>
  <si>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</si>
  <si>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</si>
  <si>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</si>
  <si>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</si>
  <si>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</si>
  <si>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</si>
  <si>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</si>
  <si>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</si>
  <si>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</si>
  <si>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</si>
  <si>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</si>
  <si>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</si>
  <si>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</si>
  <si>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</si>
  <si>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</si>
  <si>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</si>
  <si>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</si>
  <si>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</si>
  <si>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</si>
  <si>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</si>
  <si>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</si>
  <si>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</si>
  <si>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</si>
  <si>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</si>
  <si>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</si>
  <si>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</si>
  <si>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</si>
  <si>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</si>
  <si>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</si>
  <si>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</si>
  <si>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</si>
  <si>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</si>
  <si>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</si>
  <si>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</si>
  <si>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</si>
  <si>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</si>
  <si>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</si>
  <si>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</si>
  <si>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</si>
  <si>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</si>
  <si>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</si>
  <si>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</si>
  <si>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</si>
  <si>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</si>
  <si>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</si>
  <si>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</si>
  <si>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</si>
  <si>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</si>
  <si>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</si>
  <si>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</si>
  <si>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</si>
  <si>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</si>
  <si>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</si>
  <si>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</si>
  <si>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</si>
  <si>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</si>
  <si>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</si>
  <si>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</si>
  <si>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</si>
  <si>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</si>
  <si>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</si>
  <si>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</si>
  <si>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</si>
  <si>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</si>
  <si>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</si>
  <si>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</si>
  <si>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</si>
  <si>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</si>
  <si>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</si>
  <si>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</si>
  <si>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</si>
  <si>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</si>
  <si>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</si>
  <si>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</si>
  <si>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</si>
  <si>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</si>
  <si>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</si>
  <si>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</si>
  <si>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</si>
  <si>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</si>
  <si>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</si>
  <si>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</si>
  <si>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</si>
  <si>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</si>
  <si>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</si>
  <si>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</si>
  <si>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</si>
  <si>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</si>
  <si>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</si>
  <si>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</si>
  <si>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</si>
  <si>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</si>
  <si>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</si>
  <si>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</si>
  <si>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</si>
  <si>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</si>
  <si>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</si>
  <si>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</si>
  <si>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</si>
  <si>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</si>
  <si>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</si>
  <si>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</si>
  <si>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</si>
  <si>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</si>
  <si>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</si>
  <si>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</si>
  <si>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</si>
  <si>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</si>
  <si>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</si>
  <si>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</si>
  <si>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</si>
  <si>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</si>
  <si>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</si>
  <si>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</si>
  <si>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</si>
  <si>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</si>
  <si>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</si>
  <si>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</si>
  <si>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</si>
  <si>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</si>
  <si>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</si>
  <si>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</si>
  <si>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</si>
  <si>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</si>
  <si>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</si>
  <si>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</si>
  <si>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</si>
  <si>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</si>
  <si>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</si>
  <si>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</si>
  <si>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</si>
  <si>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</si>
  <si>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</si>
  <si>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</si>
  <si>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</si>
  <si>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</si>
  <si>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</si>
  <si>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</si>
  <si>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</si>
  <si>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</si>
  <si>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</si>
  <si>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</si>
  <si>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</si>
  <si>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</si>
  <si>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</si>
  <si>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</si>
  <si>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</si>
  <si>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</si>
  <si>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</si>
  <si>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</si>
  <si>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</si>
  <si>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</si>
  <si>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</si>
  <si>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</si>
  <si>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</si>
  <si>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</si>
  <si>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</si>
  <si>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</si>
  <si>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</si>
  <si>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</si>
  <si>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</si>
  <si>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</si>
  <si>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</si>
  <si>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</si>
  <si>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</si>
  <si>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</si>
  <si>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</si>
  <si>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</si>
  <si>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</si>
  <si>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</si>
  <si>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</si>
  <si>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</si>
  <si>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</si>
  <si>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</si>
  <si>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</si>
  <si>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</si>
  <si>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</si>
  <si>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</si>
  <si>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</si>
  <si>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</si>
  <si>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</si>
  <si>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</si>
  <si>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</si>
  <si>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</si>
  <si>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</si>
  <si>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</si>
  <si>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</si>
  <si>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</si>
  <si>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</si>
  <si>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</si>
  <si>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</si>
  <si>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</si>
  <si>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</si>
  <si>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</si>
  <si>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</si>
  <si>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</si>
  <si>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</si>
  <si>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</si>
  <si>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</si>
  <si>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</si>
  <si>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</si>
  <si>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</si>
  <si>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</si>
  <si>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</si>
  <si>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</si>
  <si>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</si>
  <si>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</si>
  <si>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</si>
  <si>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</si>
  <si>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</si>
  <si>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</si>
  <si>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</si>
  <si>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</si>
  <si>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</si>
  <si>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</si>
  <si>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</si>
  <si>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</si>
  <si>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</si>
  <si>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</si>
  <si>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</si>
  <si>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</si>
  <si>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</si>
  <si>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</si>
  <si>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</si>
  <si>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</si>
  <si>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</si>
  <si>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</si>
  <si>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</si>
  <si>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</si>
  <si>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</si>
  <si>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</si>
  <si>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</si>
  <si>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</si>
  <si>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</si>
  <si>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</si>
  <si>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</si>
  <si>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</si>
  <si>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</si>
  <si>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</si>
  <si>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</si>
  <si>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</si>
  <si>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</si>
  <si>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</si>
  <si>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</si>
  <si>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</si>
  <si>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</si>
  <si>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</si>
  <si>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</si>
  <si>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</si>
  <si>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</si>
  <si>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</si>
  <si>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</si>
  <si>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</si>
  <si>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</si>
  <si>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</si>
  <si>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</si>
  <si>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</si>
  <si>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</si>
  <si>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</si>
  <si>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</si>
  <si>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</si>
  <si>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</si>
  <si>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</si>
  <si>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</si>
  <si>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</si>
  <si>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</si>
  <si>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</si>
  <si>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</si>
  <si>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</si>
  <si>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</si>
  <si>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</si>
  <si>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</si>
  <si>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</si>
  <si>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</si>
  <si>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</si>
  <si>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</si>
  <si>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</si>
  <si>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</si>
  <si>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</si>
  <si>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</si>
  <si>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</si>
  <si>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</si>
  <si>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</si>
  <si>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</si>
  <si>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</si>
  <si>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</si>
  <si>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</si>
  <si>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</si>
  <si>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</si>
  <si>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</si>
  <si>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</si>
  <si>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</si>
  <si>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</si>
  <si>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</si>
  <si>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</si>
  <si>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</si>
  <si>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</si>
  <si>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</si>
  <si>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</si>
  <si>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</si>
  <si>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</si>
  <si>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</si>
  <si>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</si>
  <si>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</si>
  <si>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</si>
  <si>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</si>
  <si>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</si>
  <si>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</si>
  <si>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</si>
  <si>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</si>
  <si>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</si>
  <si>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</si>
  <si>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</si>
  <si>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</si>
  <si>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</si>
  <si>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</si>
  <si>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</si>
  <si>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</si>
  <si>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</si>
  <si>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</si>
  <si>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</si>
  <si>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</si>
  <si>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</si>
  <si>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</si>
  <si>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</si>
  <si>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</si>
  <si>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</si>
  <si>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</si>
  <si>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</si>
  <si>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</si>
  <si>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</si>
  <si>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</si>
  <si>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</si>
  <si>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</si>
  <si>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</si>
  <si>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</si>
  <si>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</si>
  <si>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</si>
  <si>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</si>
  <si>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</si>
  <si>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</si>
  <si>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</si>
  <si>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</si>
  <si>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</si>
  <si>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</si>
  <si>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</si>
  <si>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</si>
  <si>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</si>
  <si>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</si>
  <si>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</si>
  <si>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</si>
  <si>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</si>
  <si>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</si>
  <si>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</si>
  <si>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</si>
  <si>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</si>
  <si>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</si>
  <si>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</si>
  <si>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</si>
  <si>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</si>
  <si>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</si>
  <si>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</si>
  <si>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</si>
  <si>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</si>
  <si>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</si>
  <si>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</si>
  <si>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</si>
  <si>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</si>
  <si>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</si>
  <si>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</si>
  <si>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</si>
  <si>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</si>
  <si>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</si>
  <si>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</si>
  <si>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</si>
  <si>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</si>
  <si>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</si>
  <si>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</si>
  <si>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</si>
  <si>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</si>
  <si>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</si>
  <si>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</si>
  <si>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</si>
  <si>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</si>
  <si>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</si>
  <si>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</si>
  <si>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</si>
  <si>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</si>
  <si>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</si>
  <si>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</si>
  <si>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</si>
  <si>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</si>
  <si>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</si>
  <si>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</si>
  <si>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</si>
  <si>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</si>
  <si>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</si>
  <si>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</si>
  <si>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</si>
  <si>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</si>
  <si>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</si>
  <si>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</si>
  <si>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</si>
  <si>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</si>
  <si>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</si>
  <si>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</si>
  <si>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</si>
  <si>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</si>
  <si>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</si>
  <si>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</si>
  <si>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</si>
  <si>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</si>
  <si>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</si>
  <si>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</si>
  <si>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</si>
  <si>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</si>
  <si>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</si>
  <si>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</si>
  <si>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</si>
  <si>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</si>
  <si>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</si>
  <si>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</si>
  <si>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</si>
  <si>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</si>
  <si>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</si>
  <si>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</si>
  <si>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</si>
  <si>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</si>
  <si>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</si>
  <si>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</si>
  <si>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</si>
  <si>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</si>
  <si>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</si>
  <si>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</si>
  <si>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</si>
  <si>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</si>
  <si>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</si>
  <si>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</si>
  <si>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</si>
  <si>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</si>
  <si>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</si>
  <si>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</si>
  <si>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</si>
  <si>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</si>
  <si>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</si>
  <si>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</si>
  <si>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</si>
  <si>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</si>
  <si>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</si>
  <si>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</si>
  <si>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</si>
  <si>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</si>
  <si>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</si>
  <si>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</si>
  <si>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</si>
  <si>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</si>
  <si>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</si>
  <si>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</si>
  <si>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</si>
  <si>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</si>
  <si>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</si>
  <si>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</si>
  <si>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</si>
  <si>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</si>
  <si>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</si>
  <si>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</si>
  <si>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</si>
  <si>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</si>
  <si>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</si>
  <si>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</si>
  <si>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</si>
  <si>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</si>
  <si>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</si>
  <si>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</si>
  <si>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</si>
  <si>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</si>
  <si>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</si>
  <si>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</si>
  <si>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</si>
  <si>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</si>
  <si>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</si>
  <si>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</si>
  <si>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</si>
  <si>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</si>
  <si>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</si>
  <si>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</si>
  <si>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</si>
  <si>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</si>
  <si>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</si>
  <si>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</si>
  <si>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</si>
  <si>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</si>
  <si>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</si>
  <si>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</si>
  <si>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</si>
  <si>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</si>
  <si>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</si>
  <si>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</si>
  <si>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</si>
  <si>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</si>
  <si>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</si>
  <si>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</si>
  <si>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</si>
  <si>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</si>
  <si>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</si>
  <si>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</si>
  <si>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</si>
  <si>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</si>
  <si>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</si>
  <si>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</si>
  <si>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</si>
  <si>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</si>
  <si>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</si>
  <si>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</si>
  <si>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</si>
  <si>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</si>
  <si>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</si>
  <si>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</si>
  <si>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</si>
  <si>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</si>
  <si>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</si>
  <si>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</si>
  <si>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</si>
  <si>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</si>
  <si>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</si>
  <si>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</si>
  <si>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</si>
  <si>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</si>
  <si>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</si>
  <si>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</si>
  <si>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</si>
  <si>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</si>
  <si>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</si>
  <si>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</si>
  <si>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</si>
  <si>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</si>
  <si>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</si>
  <si>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</si>
  <si>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</si>
  <si>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</si>
  <si>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</si>
  <si>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</si>
  <si>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</si>
  <si>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</si>
  <si>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</si>
  <si>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</si>
  <si>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</si>
  <si>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</si>
  <si>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</si>
  <si>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</si>
  <si>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</si>
  <si>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</si>
  <si>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</si>
  <si>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</si>
  <si>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</si>
  <si>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</si>
  <si>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</si>
  <si>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</si>
  <si>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</si>
  <si>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</si>
  <si>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</si>
  <si>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</si>
  <si>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</si>
  <si>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</si>
  <si>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</si>
  <si>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</si>
  <si>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</si>
  <si>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</si>
  <si>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</si>
  <si>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</si>
  <si>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</si>
  <si>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</si>
  <si>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</si>
  <si>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</si>
  <si>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</si>
  <si>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</si>
  <si>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</si>
  <si>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</si>
  <si>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</si>
  <si>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</si>
  <si>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</si>
  <si>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</si>
  <si>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</si>
  <si>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</si>
  <si>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</si>
  <si>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</si>
  <si>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</si>
  <si>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</si>
  <si>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</si>
  <si>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</si>
  <si>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</si>
  <si>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</si>
  <si>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</si>
  <si>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</si>
  <si>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</si>
  <si>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</si>
  <si>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</si>
  <si>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</si>
  <si>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</si>
  <si>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</si>
  <si>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</si>
  <si>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</si>
  <si>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</si>
  <si>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</si>
  <si>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</si>
  <si>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</si>
  <si>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</si>
  <si>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</si>
  <si>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</si>
  <si>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</si>
  <si>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</si>
  <si>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</si>
  <si>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</si>
  <si>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</si>
  <si>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</si>
  <si>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</si>
  <si>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</si>
  <si>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1/12</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</si>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</sst>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3">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right/>
      <top/>
      <bottom style="thin">
        <color theme="4" tint="0.39997558519241921"/>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64" fillId="0" borderId="42" xfId="0" applyNumberFormat="1" applyFont="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1176</v>
      </c>
      <c r="B2" s="126">
        <f>INDEX('School Tables'!$AH$3:$AH$208,MATCH('DOE25'!A2,'School Tables'!$AJ$3:$AJ$208,0))</f>
        <v>295</v>
      </c>
      <c r="C2" s="126">
        <f>INDEX('School Tables'!$AI$3:$AI$208,MATCH('DOE25'!A2,'School Tables'!$AJ$3:$AJ$208,0))</f>
        <v>295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1629633.51+924760.88+973632.68</f>
        <v>3528027.0700000003</v>
      </c>
      <c r="G9" s="18"/>
      <c r="H9" s="18"/>
      <c r="I9" s="18"/>
      <c r="J9" s="67">
        <f>SUM(I440)</f>
        <v>3890524.5</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4"/>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25600.71</v>
      </c>
      <c r="G13" s="18">
        <v>153167.07</v>
      </c>
      <c r="H13" s="18">
        <v>178097.74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4497.66</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3553627.7800000003</v>
      </c>
      <c r="G19" s="41">
        <f>SUM(G9:G18)</f>
        <v>157664.73000000001</v>
      </c>
      <c r="H19" s="41">
        <f>SUM(H9:H18)</f>
        <v>178097.74</v>
      </c>
      <c r="I19" s="41">
        <f>SUM(I9:I18)</f>
        <v>0</v>
      </c>
      <c r="J19" s="41">
        <f>SUM(J9:J18)</f>
        <v>3890524.5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279828.96000000002</v>
      </c>
      <c r="G22" s="18">
        <v>-112398.68</v>
      </c>
      <c r="H22" s="18">
        <v>-64300.94</v>
      </c>
      <c r="I22" s="18">
        <v>443103.19</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-206663.8</v>
      </c>
      <c r="G24" s="18">
        <v>98012.5</v>
      </c>
      <c r="H24" s="18"/>
      <c r="I24" s="4"/>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38095.78</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73165.160000000033</v>
      </c>
      <c r="G32" s="41">
        <f>SUM(G22:G31)</f>
        <v>23709.600000000006</v>
      </c>
      <c r="H32" s="41">
        <f>SUM(H22:H31)</f>
        <v>-64300.94</v>
      </c>
      <c r="I32" s="41">
        <f>SUM(I22:I31)</f>
        <v>443103.19</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600000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862858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129457.47</v>
      </c>
      <c r="H48" s="18">
        <f>242398.68</f>
        <v>242398.68</v>
      </c>
      <c r="I48" s="18">
        <f>-443102.93-0.26</f>
        <v>-443103.19</v>
      </c>
      <c r="J48" s="13">
        <f>SUM(I460)</f>
        <v>3890524.5</v>
      </c>
      <c r="K48" s="24" t="s">
        <v>288</v>
      </c>
      <c r="L48" s="24" t="s">
        <v>288</v>
      </c>
      <c r="M48" s="8"/>
      <c r="N48" s="265"/>
    </row>
    <row r="49" spans="1:14" s="3" customFormat="1" ht="12.2" customHeight="1" x14ac:dyDescent="0.15">
      <c r="A49" s="1" t="s">
        <v>859</v>
      </c>
      <c r="B49" s="2" t="s">
        <v>289</v>
      </c>
      <c r="C49" s="6">
        <v>34</v>
      </c>
      <c r="D49" s="2"/>
      <c r="E49" s="6">
        <v>753</v>
      </c>
      <c r="F49" s="18">
        <v>750000</v>
      </c>
      <c r="G49" s="18">
        <v>4497.66</v>
      </c>
      <c r="H49" s="4"/>
      <c r="I49" s="18"/>
      <c r="J49" s="13">
        <f>I455</f>
        <v>0</v>
      </c>
      <c r="K49" s="24"/>
      <c r="L49" s="24"/>
      <c r="M49" s="8"/>
      <c r="N49" s="265"/>
    </row>
    <row r="50" spans="1:14" s="3" customFormat="1" ht="12.2" customHeight="1" thickBot="1" x14ac:dyDescent="0.2">
      <c r="A50" s="29" t="s">
        <v>840</v>
      </c>
      <c r="B50" s="2" t="s">
        <v>289</v>
      </c>
      <c r="C50" s="71">
        <v>35</v>
      </c>
      <c r="D50" s="2" t="s">
        <v>653</v>
      </c>
      <c r="E50" s="6">
        <v>770</v>
      </c>
      <c r="F50" s="18">
        <f>1281737.62-14133</f>
        <v>1267604.6200000001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3480462.62</v>
      </c>
      <c r="G51" s="41">
        <f>SUM(G35:G50)</f>
        <v>133955.13</v>
      </c>
      <c r="H51" s="41">
        <f>SUM(H35:H50)</f>
        <v>242398.68</v>
      </c>
      <c r="I51" s="41">
        <f>SUM(I35:I50)</f>
        <v>-443103.19</v>
      </c>
      <c r="J51" s="41">
        <f>SUM(J35:J50)</f>
        <v>3890524.5</v>
      </c>
      <c r="K51" s="45" t="s">
        <v>288</v>
      </c>
      <c r="L51" s="45" t="s">
        <v>288</v>
      </c>
      <c r="N51" s="263"/>
    </row>
    <row r="52" spans="1:14" s="3" customFormat="1" ht="12.2" customHeight="1" thickTop="1" x14ac:dyDescent="0.15">
      <c r="A52" s="38" t="s">
        <v>455</v>
      </c>
      <c r="B52" s="39" t="s">
        <v>289</v>
      </c>
      <c r="C52" s="6">
        <v>37</v>
      </c>
      <c r="D52" s="39" t="s">
        <v>653</v>
      </c>
      <c r="E52" s="39"/>
      <c r="F52" s="41">
        <f>F51+F32</f>
        <v>3553627.7800000003</v>
      </c>
      <c r="G52" s="41">
        <f>G51+G32</f>
        <v>157664.73000000001</v>
      </c>
      <c r="H52" s="41">
        <f>H51+H32</f>
        <v>178097.74</v>
      </c>
      <c r="I52" s="41">
        <f>I51+I32</f>
        <v>0</v>
      </c>
      <c r="J52" s="41">
        <f>J51+J32</f>
        <v>3890524.5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30102239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30102239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4949357.3099999996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43647.5</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200</v>
      </c>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17052.86</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5010257.67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5300.43</v>
      </c>
      <c r="G96" s="18"/>
      <c r="H96" s="18"/>
      <c r="I96" s="18"/>
      <c r="J96" s="18">
        <v>42214.99</v>
      </c>
      <c r="K96" s="24" t="s">
        <v>288</v>
      </c>
      <c r="L96" s="24" t="s">
        <v>288</v>
      </c>
      <c r="M96" s="8"/>
      <c r="N96" s="265"/>
    </row>
    <row r="97" spans="1:14" s="3" customFormat="1" ht="12.2" customHeight="1" x14ac:dyDescent="0.15">
      <c r="A97" s="1" t="s">
        <v>503</v>
      </c>
      <c r="B97" s="2" t="s">
        <v>315</v>
      </c>
      <c r="C97" s="6">
        <v>12</v>
      </c>
      <c r="D97" s="2" t="s">
        <v>430</v>
      </c>
      <c r="E97" s="6">
        <v>1600</v>
      </c>
      <c r="F97" s="24" t="s">
        <v>288</v>
      </c>
      <c r="G97" s="18">
        <f>15590.6+4018+9078+1138</f>
        <v>29824.6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437.5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620459.57-22.45+24947.46</f>
        <v>645384.57999999996</v>
      </c>
      <c r="G110" s="18">
        <f>32085.48</f>
        <v>32085.48</v>
      </c>
      <c r="H110" s="18">
        <f>111082.57</f>
        <v>111082.57</v>
      </c>
      <c r="I110" s="18"/>
      <c r="J110" s="18">
        <v>-201445.36</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651122.51</v>
      </c>
      <c r="G111" s="41">
        <f>SUM(G96:G110)</f>
        <v>61910.080000000002</v>
      </c>
      <c r="H111" s="41">
        <f>SUM(H96:H110)</f>
        <v>111082.57</v>
      </c>
      <c r="I111" s="41">
        <f>SUM(I96:I110)</f>
        <v>0</v>
      </c>
      <c r="J111" s="41">
        <f>SUM(J96:J110)</f>
        <v>-159230.37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35763619.18</v>
      </c>
      <c r="G112" s="41">
        <f>G60+G111</f>
        <v>61910.080000000002</v>
      </c>
      <c r="H112" s="41">
        <f>H60+H79+H94+H111</f>
        <v>111082.57</v>
      </c>
      <c r="I112" s="41">
        <f>I60+I111</f>
        <v>0</v>
      </c>
      <c r="J112" s="41">
        <f>J60+J111</f>
        <v>-159230.37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2793325.45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4396112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6698.52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7196135.9699999997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526592.04</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430359.49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191908.1</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9559.2000000000007</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8526.93</f>
        <v>8526.93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f>65475.39</f>
        <v>65475.39</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1158418.83</v>
      </c>
      <c r="G136" s="41">
        <f>SUM(G123:G135)</f>
        <v>8526.93</v>
      </c>
      <c r="H136" s="41">
        <f>SUM(H123:H135)</f>
        <v>65475.39</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8354554.7999999998</v>
      </c>
      <c r="G140" s="41">
        <f>G121+SUM(G136:G137)</f>
        <v>8526.93</v>
      </c>
      <c r="H140" s="41">
        <f>H121+SUM(H136:H139)</f>
        <v>65475.39</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31738.24+292655.51+27487.53</f>
        <v>351881.28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5931.88+4526.88+12648.75</f>
        <v>23107.510000000002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f>32556.57</f>
        <v>32556.57</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162027.61+588786.3+18074.02+16225+44381.81</f>
        <v>829494.74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15904.95+64239.06+363103.16+14020.38+10304.28+206.46</f>
        <v>467778.29000000004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157489.59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509.6+88277.07+100000</f>
        <v>188786.67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157489.59</v>
      </c>
      <c r="G163" s="41">
        <f>SUM(G150:G162)</f>
        <v>829494.74</v>
      </c>
      <c r="H163" s="41">
        <f>SUM(H150:H162)</f>
        <v>1064110.32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3618.76</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161108.35</v>
      </c>
      <c r="G170" s="41">
        <f>G147+G163+SUM(G164:G169)</f>
        <v>829494.74</v>
      </c>
      <c r="H170" s="41">
        <f>H147+H163+SUM(H164:H169)</f>
        <v>1064110.32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800000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800000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123764</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123764</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123764</v>
      </c>
      <c r="G193" s="41">
        <f>G184+SUM(G189:G192)</f>
        <v>0</v>
      </c>
      <c r="H193" s="41">
        <f>+H184+SUM(H189:H192)</f>
        <v>0</v>
      </c>
      <c r="I193" s="41">
        <f>I178+I184+SUM(I189:I192)</f>
        <v>0</v>
      </c>
      <c r="J193" s="41">
        <f>J184</f>
        <v>800000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44403046.329999998</v>
      </c>
      <c r="G194" s="47">
        <f>G112+G140+G170+G193</f>
        <v>899931.75</v>
      </c>
      <c r="H194" s="47">
        <f>H112+H140+H170+H193</f>
        <v>1240668.28</v>
      </c>
      <c r="I194" s="47">
        <f>I112+I140+I170+I193</f>
        <v>0</v>
      </c>
      <c r="J194" s="47">
        <f>J112+J140+J193</f>
        <v>640769.63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25">
      <c r="A198" s="1" t="s">
        <v>438</v>
      </c>
      <c r="B198" s="2" t="s">
        <v>341</v>
      </c>
      <c r="C198" s="2" t="s">
        <v>290</v>
      </c>
      <c r="D198" s="2" t="s">
        <v>431</v>
      </c>
      <c r="E198" s="6">
        <v>1100</v>
      </c>
      <c r="F198" s="372">
        <v>4617354.0779999997</v>
      </c>
      <c r="G198" s="372">
        <v>2775364.0395</v>
      </c>
      <c r="H198" s="372">
        <v>11191.9555</v>
      </c>
      <c r="I198" s="372">
        <v>141358.38800000001</v>
      </c>
      <c r="J198" s="372">
        <v>59766.630000000005</v>
      </c>
      <c r="K198" s="372">
        <v>4582.83</v>
      </c>
      <c r="L198" s="19">
        <f>SUM(F198:K198)</f>
        <v>7609617.9210000001</v>
      </c>
      <c r="M198" s="8"/>
      <c r="N198" s="265"/>
    </row>
    <row r="199" spans="1:14" s="3" customFormat="1" ht="12.2" customHeight="1" x14ac:dyDescent="0.25">
      <c r="A199" s="1" t="s">
        <v>439</v>
      </c>
      <c r="B199" s="2" t="s">
        <v>341</v>
      </c>
      <c r="C199" s="2" t="s">
        <v>291</v>
      </c>
      <c r="D199" s="2" t="s">
        <v>431</v>
      </c>
      <c r="E199" s="6">
        <v>1200</v>
      </c>
      <c r="F199" s="372">
        <v>1951091.8795000003</v>
      </c>
      <c r="G199" s="372">
        <v>1339870.8844999999</v>
      </c>
      <c r="H199" s="372">
        <v>374111.01699999993</v>
      </c>
      <c r="I199" s="372">
        <v>17719.054</v>
      </c>
      <c r="J199" s="372">
        <v>5829.2415000000001</v>
      </c>
      <c r="K199" s="372">
        <v>998.18249999999989</v>
      </c>
      <c r="L199" s="19">
        <f>SUM(F199:K199)</f>
        <v>3689620.2590000005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25">
      <c r="A201" s="1" t="s">
        <v>441</v>
      </c>
      <c r="B201" s="2" t="s">
        <v>341</v>
      </c>
      <c r="C201" s="2" t="s">
        <v>293</v>
      </c>
      <c r="D201" s="2" t="s">
        <v>431</v>
      </c>
      <c r="E201" s="6">
        <v>1400</v>
      </c>
      <c r="F201" s="372">
        <v>3500</v>
      </c>
      <c r="G201" s="372">
        <v>1043.9765</v>
      </c>
      <c r="H201" s="372">
        <v>0</v>
      </c>
      <c r="I201" s="372">
        <v>13359.962</v>
      </c>
      <c r="J201" s="372">
        <v>0</v>
      </c>
      <c r="K201" s="372">
        <v>0</v>
      </c>
      <c r="L201" s="19">
        <f>SUM(F201:K201)</f>
        <v>17903.9385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25">
      <c r="A203" s="1" t="s">
        <v>442</v>
      </c>
      <c r="B203" s="2" t="s">
        <v>341</v>
      </c>
      <c r="C203" s="2" t="s">
        <v>294</v>
      </c>
      <c r="D203" s="2" t="s">
        <v>431</v>
      </c>
      <c r="E203" s="6">
        <v>2100</v>
      </c>
      <c r="F203" s="372">
        <v>275012.46999999997</v>
      </c>
      <c r="G203" s="372">
        <v>151199.99</v>
      </c>
      <c r="H203" s="372">
        <v>59464.39</v>
      </c>
      <c r="I203" s="372">
        <v>5312.3269999999993</v>
      </c>
      <c r="J203" s="372">
        <v>1413.6399999999999</v>
      </c>
      <c r="K203" s="372">
        <v>0</v>
      </c>
      <c r="L203" s="19">
        <f t="shared" ref="L203:L209" si="0">SUM(F203:K203)</f>
        <v>492402.81699999998</v>
      </c>
      <c r="M203" s="8"/>
      <c r="N203" s="265"/>
    </row>
    <row r="204" spans="1:14" s="3" customFormat="1" ht="12.2" customHeight="1" x14ac:dyDescent="0.25">
      <c r="A204" s="1" t="s">
        <v>443</v>
      </c>
      <c r="B204" s="2" t="s">
        <v>341</v>
      </c>
      <c r="C204" s="2" t="s">
        <v>295</v>
      </c>
      <c r="D204" s="2" t="s">
        <v>431</v>
      </c>
      <c r="E204" s="6">
        <v>2200</v>
      </c>
      <c r="F204" s="372">
        <v>337734.12150000001</v>
      </c>
      <c r="G204" s="372">
        <v>168756.64600000004</v>
      </c>
      <c r="H204" s="372">
        <v>213134.45299999998</v>
      </c>
      <c r="I204" s="372">
        <v>142773.60949999999</v>
      </c>
      <c r="J204" s="372">
        <v>106502.43699999999</v>
      </c>
      <c r="K204" s="372">
        <v>237.99999999999997</v>
      </c>
      <c r="L204" s="19">
        <f t="shared" si="0"/>
        <v>969139.26700000011</v>
      </c>
      <c r="M204" s="8"/>
      <c r="N204" s="265"/>
    </row>
    <row r="205" spans="1:14" s="3" customFormat="1" ht="12.2" customHeight="1" x14ac:dyDescent="0.25">
      <c r="A205" s="1" t="s">
        <v>444</v>
      </c>
      <c r="B205" s="2" t="s">
        <v>341</v>
      </c>
      <c r="C205" s="2" t="s">
        <v>296</v>
      </c>
      <c r="D205" s="2" t="s">
        <v>431</v>
      </c>
      <c r="E205" s="6">
        <v>2300</v>
      </c>
      <c r="F205" s="372">
        <v>254010.93900000001</v>
      </c>
      <c r="G205" s="372">
        <v>150378.64450000002</v>
      </c>
      <c r="H205" s="372">
        <v>154532.74899999998</v>
      </c>
      <c r="I205" s="372">
        <v>22104.383000000002</v>
      </c>
      <c r="J205" s="372">
        <v>1018.7974999999994</v>
      </c>
      <c r="K205" s="372">
        <v>6065.664499999999</v>
      </c>
      <c r="L205" s="19">
        <f t="shared" si="0"/>
        <v>588111.17749999999</v>
      </c>
      <c r="M205" s="8"/>
      <c r="N205" s="265"/>
    </row>
    <row r="206" spans="1:14" s="3" customFormat="1" ht="12.2" customHeight="1" x14ac:dyDescent="0.25">
      <c r="A206" s="1" t="s">
        <v>445</v>
      </c>
      <c r="B206" s="2" t="s">
        <v>341</v>
      </c>
      <c r="C206" s="2" t="s">
        <v>297</v>
      </c>
      <c r="D206" s="2" t="s">
        <v>431</v>
      </c>
      <c r="E206" s="6">
        <v>2400</v>
      </c>
      <c r="F206" s="372">
        <v>443131.16</v>
      </c>
      <c r="G206" s="372">
        <v>230265.36500000005</v>
      </c>
      <c r="H206" s="372">
        <v>62207.24</v>
      </c>
      <c r="I206" s="372">
        <v>13485.960000000001</v>
      </c>
      <c r="J206" s="372">
        <v>1351.48</v>
      </c>
      <c r="K206" s="372">
        <v>3917</v>
      </c>
      <c r="L206" s="19">
        <f t="shared" si="0"/>
        <v>754358.20499999996</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25">
      <c r="A208" s="1" t="s">
        <v>447</v>
      </c>
      <c r="B208" s="2" t="s">
        <v>341</v>
      </c>
      <c r="C208" s="2" t="s">
        <v>299</v>
      </c>
      <c r="D208" s="2" t="s">
        <v>431</v>
      </c>
      <c r="E208" s="6">
        <v>2600</v>
      </c>
      <c r="F208" s="372">
        <v>346071.16349999997</v>
      </c>
      <c r="G208" s="372">
        <v>194242.41399999999</v>
      </c>
      <c r="H208" s="372">
        <v>400618.66450000001</v>
      </c>
      <c r="I208" s="372">
        <v>167400.54700000002</v>
      </c>
      <c r="J208" s="372">
        <v>10247.172500000001</v>
      </c>
      <c r="K208" s="372">
        <v>393.11649999999997</v>
      </c>
      <c r="L208" s="19">
        <f t="shared" si="0"/>
        <v>1118973.078</v>
      </c>
      <c r="M208" s="8"/>
      <c r="N208" s="265"/>
    </row>
    <row r="209" spans="1:14" s="3" customFormat="1" ht="12.2" customHeight="1" x14ac:dyDescent="0.25">
      <c r="A209" s="1" t="s">
        <v>448</v>
      </c>
      <c r="B209" s="2" t="s">
        <v>341</v>
      </c>
      <c r="C209" s="2" t="s">
        <v>300</v>
      </c>
      <c r="D209" s="2" t="s">
        <v>431</v>
      </c>
      <c r="E209" s="6">
        <v>2700</v>
      </c>
      <c r="F209" s="372">
        <v>156005.4675</v>
      </c>
      <c r="G209" s="372">
        <v>42374.289999999994</v>
      </c>
      <c r="H209" s="372">
        <v>106796.57849999999</v>
      </c>
      <c r="I209" s="372">
        <v>36465.068499999994</v>
      </c>
      <c r="J209" s="372">
        <v>5155.51</v>
      </c>
      <c r="K209" s="372">
        <v>937.82499999999993</v>
      </c>
      <c r="L209" s="19">
        <f t="shared" si="0"/>
        <v>347734.73950000003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8383911.2790000001</v>
      </c>
      <c r="G212" s="41">
        <f t="shared" si="1"/>
        <v>5053496.25</v>
      </c>
      <c r="H212" s="41">
        <f t="shared" si="1"/>
        <v>1382057.0474999999</v>
      </c>
      <c r="I212" s="41">
        <f t="shared" si="1"/>
        <v>559979.299</v>
      </c>
      <c r="J212" s="41">
        <f t="shared" si="1"/>
        <v>191284.90850000002</v>
      </c>
      <c r="K212" s="41">
        <f t="shared" si="1"/>
        <v>17132.6185</v>
      </c>
      <c r="L212" s="41">
        <f t="shared" si="1"/>
        <v>15587861.4025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25">
      <c r="A216" s="1" t="s">
        <v>438</v>
      </c>
      <c r="B216" s="2" t="s">
        <v>346</v>
      </c>
      <c r="C216" s="2" t="s">
        <v>290</v>
      </c>
      <c r="D216" s="2" t="s">
        <v>431</v>
      </c>
      <c r="E216" s="6">
        <v>1100</v>
      </c>
      <c r="F216" s="372">
        <v>3306057.6312000002</v>
      </c>
      <c r="G216" s="372">
        <v>1888916.2373000004</v>
      </c>
      <c r="H216" s="372">
        <v>32961.909700000004</v>
      </c>
      <c r="I216" s="372">
        <v>82301.359200000006</v>
      </c>
      <c r="J216" s="372">
        <v>23046.48</v>
      </c>
      <c r="K216" s="372">
        <v>20121.54</v>
      </c>
      <c r="L216" s="19">
        <f>SUM(F216:K216)</f>
        <v>5353405.1574000008</v>
      </c>
      <c r="M216" s="8"/>
      <c r="N216" s="265"/>
    </row>
    <row r="217" spans="1:14" s="3" customFormat="1" ht="12.2" customHeight="1" x14ac:dyDescent="0.25">
      <c r="A217" s="1" t="s">
        <v>439</v>
      </c>
      <c r="B217" s="2" t="s">
        <v>346</v>
      </c>
      <c r="C217" s="2" t="s">
        <v>291</v>
      </c>
      <c r="D217" s="2" t="s">
        <v>431</v>
      </c>
      <c r="E217" s="6">
        <v>1200</v>
      </c>
      <c r="F217" s="372">
        <v>947942.70730000001</v>
      </c>
      <c r="G217" s="372">
        <v>726123.78629999992</v>
      </c>
      <c r="H217" s="372">
        <v>501864.82179999992</v>
      </c>
      <c r="I217" s="372">
        <v>6305.7416000000003</v>
      </c>
      <c r="J217" s="372">
        <v>2759.8040999999998</v>
      </c>
      <c r="K217" s="372">
        <v>827.06549999999993</v>
      </c>
      <c r="L217" s="19">
        <f>SUM(F217:K217)</f>
        <v>2185823.9265999994</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25">
      <c r="A219" s="1" t="s">
        <v>441</v>
      </c>
      <c r="B219" s="2" t="s">
        <v>346</v>
      </c>
      <c r="C219" s="2" t="s">
        <v>293</v>
      </c>
      <c r="D219" s="2" t="s">
        <v>431</v>
      </c>
      <c r="E219" s="6">
        <v>1400</v>
      </c>
      <c r="F219" s="372">
        <v>133024.3664</v>
      </c>
      <c r="G219" s="372">
        <v>26076.997499999998</v>
      </c>
      <c r="H219" s="372">
        <v>12408.65</v>
      </c>
      <c r="I219" s="372">
        <v>18575.8328</v>
      </c>
      <c r="J219" s="372">
        <v>2397.5500000000002</v>
      </c>
      <c r="K219" s="372">
        <v>1135</v>
      </c>
      <c r="L219" s="19">
        <f>SUM(F219:K219)</f>
        <v>193618.39669999998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25">
      <c r="A221" s="1" t="s">
        <v>442</v>
      </c>
      <c r="B221" s="2" t="s">
        <v>346</v>
      </c>
      <c r="C221" s="2" t="s">
        <v>294</v>
      </c>
      <c r="D221" s="2" t="s">
        <v>431</v>
      </c>
      <c r="E221" s="6">
        <v>2100</v>
      </c>
      <c r="F221" s="372">
        <v>330208.94</v>
      </c>
      <c r="G221" s="372">
        <v>201440.82</v>
      </c>
      <c r="H221" s="372">
        <v>41579.065999999999</v>
      </c>
      <c r="I221" s="372">
        <v>2002.4038</v>
      </c>
      <c r="J221" s="372">
        <v>0</v>
      </c>
      <c r="K221" s="372">
        <v>258</v>
      </c>
      <c r="L221" s="19">
        <f t="shared" ref="L221:L227" si="2">SUM(F221:K221)</f>
        <v>575489.22979999997</v>
      </c>
      <c r="M221" s="8"/>
      <c r="N221" s="265"/>
    </row>
    <row r="222" spans="1:14" s="3" customFormat="1" ht="12.2" customHeight="1" x14ac:dyDescent="0.25">
      <c r="A222" s="1" t="s">
        <v>443</v>
      </c>
      <c r="B222" s="2" t="s">
        <v>346</v>
      </c>
      <c r="C222" s="2" t="s">
        <v>295</v>
      </c>
      <c r="D222" s="2" t="s">
        <v>431</v>
      </c>
      <c r="E222" s="6">
        <v>2200</v>
      </c>
      <c r="F222" s="372">
        <v>206327.3389</v>
      </c>
      <c r="G222" s="372">
        <v>81845.929799999969</v>
      </c>
      <c r="H222" s="372">
        <v>178632.69080000001</v>
      </c>
      <c r="I222" s="372">
        <v>98805.923299999995</v>
      </c>
      <c r="J222" s="372">
        <v>59198.461800000005</v>
      </c>
      <c r="K222" s="372">
        <v>197.2</v>
      </c>
      <c r="L222" s="19">
        <f t="shared" si="2"/>
        <v>625007.54460000002</v>
      </c>
      <c r="M222" s="8"/>
      <c r="N222" s="265"/>
    </row>
    <row r="223" spans="1:14" s="3" customFormat="1" ht="12.2" customHeight="1" x14ac:dyDescent="0.25">
      <c r="A223" s="1" t="s">
        <v>444</v>
      </c>
      <c r="B223" s="2" t="s">
        <v>346</v>
      </c>
      <c r="C223" s="2" t="s">
        <v>296</v>
      </c>
      <c r="D223" s="2" t="s">
        <v>431</v>
      </c>
      <c r="E223" s="6">
        <v>2300</v>
      </c>
      <c r="F223" s="372">
        <v>210466.2066</v>
      </c>
      <c r="G223" s="372">
        <v>124599.44830000002</v>
      </c>
      <c r="H223" s="372">
        <v>128041.4206</v>
      </c>
      <c r="I223" s="372">
        <v>18315.0602</v>
      </c>
      <c r="J223" s="372">
        <v>844.14649999999949</v>
      </c>
      <c r="K223" s="372">
        <v>5025.8362999999999</v>
      </c>
      <c r="L223" s="19">
        <f t="shared" si="2"/>
        <v>487292.11850000004</v>
      </c>
      <c r="M223" s="8"/>
      <c r="N223" s="265"/>
    </row>
    <row r="224" spans="1:14" s="3" customFormat="1" ht="12.2" customHeight="1" x14ac:dyDescent="0.25">
      <c r="A224" s="1" t="s">
        <v>445</v>
      </c>
      <c r="B224" s="2" t="s">
        <v>346</v>
      </c>
      <c r="C224" s="2" t="s">
        <v>297</v>
      </c>
      <c r="D224" s="2" t="s">
        <v>431</v>
      </c>
      <c r="E224" s="6">
        <v>2400</v>
      </c>
      <c r="F224" s="372">
        <v>391985.25800000003</v>
      </c>
      <c r="G224" s="372">
        <v>251574.467</v>
      </c>
      <c r="H224" s="372">
        <v>30614.78</v>
      </c>
      <c r="I224" s="372">
        <v>6349.54</v>
      </c>
      <c r="J224" s="372">
        <v>5687.71</v>
      </c>
      <c r="K224" s="372">
        <v>4101.7</v>
      </c>
      <c r="L224" s="19">
        <f t="shared" si="2"/>
        <v>690313.45500000007</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25">
      <c r="A226" s="1" t="s">
        <v>447</v>
      </c>
      <c r="B226" s="2" t="s">
        <v>346</v>
      </c>
      <c r="C226" s="2" t="s">
        <v>299</v>
      </c>
      <c r="D226" s="2" t="s">
        <v>431</v>
      </c>
      <c r="E226" s="6">
        <v>2600</v>
      </c>
      <c r="F226" s="372">
        <v>415692.13689999998</v>
      </c>
      <c r="G226" s="372">
        <v>265605.06360000005</v>
      </c>
      <c r="H226" s="372">
        <v>204632.06829999996</v>
      </c>
      <c r="I226" s="372">
        <v>180945.1838</v>
      </c>
      <c r="J226" s="372">
        <v>743.48349999999982</v>
      </c>
      <c r="K226" s="372">
        <v>325.7251</v>
      </c>
      <c r="L226" s="19">
        <f t="shared" si="2"/>
        <v>1067943.6612</v>
      </c>
      <c r="M226" s="8"/>
      <c r="N226" s="265"/>
    </row>
    <row r="227" spans="1:14" s="3" customFormat="1" ht="12.2" customHeight="1" x14ac:dyDescent="0.25">
      <c r="A227" s="1" t="s">
        <v>448</v>
      </c>
      <c r="B227" s="2" t="s">
        <v>346</v>
      </c>
      <c r="C227" s="2" t="s">
        <v>300</v>
      </c>
      <c r="D227" s="2" t="s">
        <v>431</v>
      </c>
      <c r="E227" s="6">
        <v>2700</v>
      </c>
      <c r="F227" s="372">
        <v>132943.06650000002</v>
      </c>
      <c r="G227" s="372">
        <v>35390.892</v>
      </c>
      <c r="H227" s="372">
        <v>92166.121899999984</v>
      </c>
      <c r="I227" s="372">
        <v>30213.9139</v>
      </c>
      <c r="J227" s="372">
        <v>4271.7</v>
      </c>
      <c r="K227" s="372">
        <v>777.05499999999995</v>
      </c>
      <c r="L227" s="19">
        <f t="shared" si="2"/>
        <v>295762.74929999997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6074647.651800001</v>
      </c>
      <c r="G230" s="41">
        <f>SUM(G216:G229)</f>
        <v>3601573.6418000003</v>
      </c>
      <c r="H230" s="41">
        <f>SUM(H216:H229)</f>
        <v>1222901.5290999997</v>
      </c>
      <c r="I230" s="41">
        <f>SUM(I216:I229)</f>
        <v>443814.95859999995</v>
      </c>
      <c r="J230" s="41">
        <f>SUM(J216:J229)</f>
        <v>98949.335900000005</v>
      </c>
      <c r="K230" s="41">
        <f t="shared" si="3"/>
        <v>32769.121899999998</v>
      </c>
      <c r="L230" s="41">
        <f t="shared" si="3"/>
        <v>11474656.2391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25">
      <c r="A234" s="1" t="s">
        <v>438</v>
      </c>
      <c r="B234" s="2" t="s">
        <v>350</v>
      </c>
      <c r="C234" s="2" t="s">
        <v>290</v>
      </c>
      <c r="D234" s="2" t="s">
        <v>431</v>
      </c>
      <c r="E234" s="6">
        <v>1100</v>
      </c>
      <c r="F234" s="372">
        <v>3569866.4808</v>
      </c>
      <c r="G234" s="372">
        <v>2018174.2032000001</v>
      </c>
      <c r="H234" s="372">
        <v>91202.684800000003</v>
      </c>
      <c r="I234" s="372">
        <v>157454.8928</v>
      </c>
      <c r="J234" s="372">
        <v>86520.069999999992</v>
      </c>
      <c r="K234" s="372">
        <v>8406.06</v>
      </c>
      <c r="L234" s="19">
        <f>SUM(F234:K234)</f>
        <v>5931624.3915999997</v>
      </c>
      <c r="M234" s="8"/>
      <c r="N234" s="265"/>
    </row>
    <row r="235" spans="1:14" s="3" customFormat="1" ht="12.2" customHeight="1" x14ac:dyDescent="0.25">
      <c r="A235" s="1" t="s">
        <v>439</v>
      </c>
      <c r="B235" s="2" t="s">
        <v>350</v>
      </c>
      <c r="C235" s="2" t="s">
        <v>291</v>
      </c>
      <c r="D235" s="2" t="s">
        <v>431</v>
      </c>
      <c r="E235" s="6">
        <v>1200</v>
      </c>
      <c r="F235" s="372">
        <v>988980.57319999998</v>
      </c>
      <c r="G235" s="372">
        <v>644390.91920000012</v>
      </c>
      <c r="H235" s="372">
        <v>1028686.7012</v>
      </c>
      <c r="I235" s="372">
        <v>6219.3343999999988</v>
      </c>
      <c r="J235" s="372">
        <v>3040.7744000000002</v>
      </c>
      <c r="K235" s="372">
        <v>1326.702</v>
      </c>
      <c r="L235" s="19">
        <f>SUM(F235:K235)</f>
        <v>2672645.0044</v>
      </c>
      <c r="M235" s="8"/>
      <c r="N235" s="265"/>
    </row>
    <row r="236" spans="1:14" s="3" customFormat="1" ht="12.2" customHeight="1" x14ac:dyDescent="0.25">
      <c r="A236" s="1" t="s">
        <v>440</v>
      </c>
      <c r="B236" s="2" t="s">
        <v>350</v>
      </c>
      <c r="C236" s="2" t="s">
        <v>292</v>
      </c>
      <c r="D236" s="2" t="s">
        <v>431</v>
      </c>
      <c r="E236" s="6">
        <v>1300</v>
      </c>
      <c r="F236" s="372"/>
      <c r="G236" s="372"/>
      <c r="H236" s="372">
        <v>503490.01</v>
      </c>
      <c r="I236" s="372"/>
      <c r="J236" s="372"/>
      <c r="K236" s="372"/>
      <c r="L236" s="19">
        <f>SUM(F236:K236)</f>
        <v>503490.01</v>
      </c>
      <c r="M236" s="8"/>
      <c r="N236" s="265"/>
    </row>
    <row r="237" spans="1:14" s="3" customFormat="1" ht="12.2" customHeight="1" x14ac:dyDescent="0.25">
      <c r="A237" s="1" t="s">
        <v>441</v>
      </c>
      <c r="B237" s="2" t="s">
        <v>350</v>
      </c>
      <c r="C237" s="2" t="s">
        <v>293</v>
      </c>
      <c r="D237" s="2" t="s">
        <v>431</v>
      </c>
      <c r="E237" s="6">
        <v>1400</v>
      </c>
      <c r="F237" s="372">
        <v>418666.60359999997</v>
      </c>
      <c r="G237" s="372">
        <v>107407.376</v>
      </c>
      <c r="H237" s="372">
        <v>91563.10000000002</v>
      </c>
      <c r="I237" s="372">
        <v>53819.955199999997</v>
      </c>
      <c r="J237" s="372">
        <v>2670.79</v>
      </c>
      <c r="K237" s="372">
        <v>40011.61</v>
      </c>
      <c r="L237" s="19">
        <f>SUM(F237:K237)</f>
        <v>714139.43479999993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25">
      <c r="A239" s="1" t="s">
        <v>442</v>
      </c>
      <c r="B239" s="2" t="s">
        <v>350</v>
      </c>
      <c r="C239" s="2" t="s">
        <v>294</v>
      </c>
      <c r="D239" s="2" t="s">
        <v>431</v>
      </c>
      <c r="E239" s="6">
        <v>2100</v>
      </c>
      <c r="F239" s="372">
        <v>499429.71</v>
      </c>
      <c r="G239" s="372">
        <v>266331.15000000002</v>
      </c>
      <c r="H239" s="372">
        <v>17416.444</v>
      </c>
      <c r="I239" s="372">
        <v>4588.3091999999997</v>
      </c>
      <c r="J239" s="372">
        <v>2151.33</v>
      </c>
      <c r="K239" s="372">
        <v>862</v>
      </c>
      <c r="L239" s="19">
        <f t="shared" ref="L239:L245" si="4">SUM(F239:K239)</f>
        <v>790778.9432000001</v>
      </c>
      <c r="M239" s="8"/>
      <c r="N239" s="265"/>
    </row>
    <row r="240" spans="1:14" s="3" customFormat="1" ht="12.2" customHeight="1" x14ac:dyDescent="0.25">
      <c r="A240" s="1" t="s">
        <v>443</v>
      </c>
      <c r="B240" s="2" t="s">
        <v>350</v>
      </c>
      <c r="C240" s="2" t="s">
        <v>295</v>
      </c>
      <c r="D240" s="2" t="s">
        <v>431</v>
      </c>
      <c r="E240" s="6">
        <v>2200</v>
      </c>
      <c r="F240" s="372">
        <v>366807.85960000008</v>
      </c>
      <c r="G240" s="372">
        <v>200025.25420000002</v>
      </c>
      <c r="H240" s="372">
        <v>216031.59620000003</v>
      </c>
      <c r="I240" s="372">
        <v>133854.00719999999</v>
      </c>
      <c r="J240" s="372">
        <v>97581.081200000001</v>
      </c>
      <c r="K240" s="372">
        <v>244.79999999999998</v>
      </c>
      <c r="L240" s="19">
        <f t="shared" si="4"/>
        <v>1014544.5984000002</v>
      </c>
      <c r="M240" s="8"/>
      <c r="N240" s="265"/>
    </row>
    <row r="241" spans="1:14" s="3" customFormat="1" ht="12.2" customHeight="1" x14ac:dyDescent="0.25">
      <c r="A241" s="1" t="s">
        <v>444</v>
      </c>
      <c r="B241" s="2" t="s">
        <v>350</v>
      </c>
      <c r="C241" s="2" t="s">
        <v>296</v>
      </c>
      <c r="D241" s="2" t="s">
        <v>431</v>
      </c>
      <c r="E241" s="6">
        <v>2300</v>
      </c>
      <c r="F241" s="372">
        <v>261268.39439999999</v>
      </c>
      <c r="G241" s="372">
        <v>154675.17719999998</v>
      </c>
      <c r="H241" s="372">
        <v>158947.97040000002</v>
      </c>
      <c r="I241" s="372">
        <v>22735.936799999999</v>
      </c>
      <c r="J241" s="372">
        <v>1047.9059999999995</v>
      </c>
      <c r="K241" s="372">
        <v>6238.9691999999995</v>
      </c>
      <c r="L241" s="19">
        <f t="shared" si="4"/>
        <v>604914.35400000005</v>
      </c>
      <c r="M241" s="8"/>
      <c r="N241" s="265"/>
    </row>
    <row r="242" spans="1:14" s="3" customFormat="1" ht="12.2" customHeight="1" x14ac:dyDescent="0.25">
      <c r="A242" s="1" t="s">
        <v>445</v>
      </c>
      <c r="B242" s="2" t="s">
        <v>350</v>
      </c>
      <c r="C242" s="2" t="s">
        <v>297</v>
      </c>
      <c r="D242" s="2" t="s">
        <v>431</v>
      </c>
      <c r="E242" s="6">
        <v>2400</v>
      </c>
      <c r="F242" s="372">
        <v>379666.022</v>
      </c>
      <c r="G242" s="372">
        <v>220309.02800000002</v>
      </c>
      <c r="H242" s="372">
        <v>68983.239999999991</v>
      </c>
      <c r="I242" s="372">
        <v>21021.1</v>
      </c>
      <c r="J242" s="372">
        <v>3920.65</v>
      </c>
      <c r="K242" s="372">
        <v>6352</v>
      </c>
      <c r="L242" s="19">
        <f t="shared" si="4"/>
        <v>700252.04</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25">
      <c r="A244" s="1" t="s">
        <v>447</v>
      </c>
      <c r="B244" s="2" t="s">
        <v>350</v>
      </c>
      <c r="C244" s="2" t="s">
        <v>299</v>
      </c>
      <c r="D244" s="2" t="s">
        <v>431</v>
      </c>
      <c r="E244" s="6">
        <v>2600</v>
      </c>
      <c r="F244" s="372">
        <v>416757.75959999999</v>
      </c>
      <c r="G244" s="372">
        <v>260376.79239999998</v>
      </c>
      <c r="H244" s="372">
        <v>268056.78720000002</v>
      </c>
      <c r="I244" s="372">
        <v>207787.2892</v>
      </c>
      <c r="J244" s="372">
        <v>1778.6239999999998</v>
      </c>
      <c r="K244" s="372">
        <v>404.34840000000003</v>
      </c>
      <c r="L244" s="19">
        <f t="shared" si="4"/>
        <v>1155161.6007999999</v>
      </c>
      <c r="M244" s="8"/>
      <c r="N244" s="265"/>
    </row>
    <row r="245" spans="1:14" s="3" customFormat="1" ht="12.2" customHeight="1" x14ac:dyDescent="0.25">
      <c r="A245" s="1" t="s">
        <v>448</v>
      </c>
      <c r="B245" s="2" t="s">
        <v>350</v>
      </c>
      <c r="C245" s="2" t="s">
        <v>300</v>
      </c>
      <c r="D245" s="2" t="s">
        <v>431</v>
      </c>
      <c r="E245" s="6">
        <v>2700</v>
      </c>
      <c r="F245" s="372">
        <v>212652.05600000001</v>
      </c>
      <c r="G245" s="372">
        <v>47983.147999999994</v>
      </c>
      <c r="H245" s="372">
        <v>125298.08959999998</v>
      </c>
      <c r="I245" s="372">
        <v>37506.927599999995</v>
      </c>
      <c r="J245" s="372">
        <v>5302.8</v>
      </c>
      <c r="K245" s="372">
        <v>964.62</v>
      </c>
      <c r="L245" s="19">
        <f t="shared" si="4"/>
        <v>429707.64119999995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7114095.4591999985</v>
      </c>
      <c r="G248" s="41">
        <f t="shared" si="5"/>
        <v>3919673.0482000001</v>
      </c>
      <c r="H248" s="41">
        <f t="shared" si="5"/>
        <v>2569676.6234000004</v>
      </c>
      <c r="I248" s="41">
        <f t="shared" si="5"/>
        <v>644987.75239999988</v>
      </c>
      <c r="J248" s="41">
        <f t="shared" si="5"/>
        <v>204014.02559999996</v>
      </c>
      <c r="K248" s="41">
        <f t="shared" si="5"/>
        <v>64811.109600000011</v>
      </c>
      <c r="L248" s="41">
        <f t="shared" si="5"/>
        <v>14517258.0184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13839</v>
      </c>
      <c r="G252" s="18">
        <v>1161</v>
      </c>
      <c r="H252" s="18"/>
      <c r="I252" s="18"/>
      <c r="J252" s="18"/>
      <c r="K252" s="18"/>
      <c r="L252" s="19">
        <f t="shared" si="6"/>
        <v>15000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37624</v>
      </c>
      <c r="I255" s="18"/>
      <c r="J255" s="18"/>
      <c r="K255" s="18"/>
      <c r="L255" s="19">
        <f t="shared" si="6"/>
        <v>37624</v>
      </c>
      <c r="M255" s="8"/>
      <c r="N255" s="265"/>
    </row>
    <row r="256" spans="1:14" s="3" customFormat="1" ht="12.2" customHeight="1" thickBot="1" x14ac:dyDescent="0.2">
      <c r="A256" s="1" t="s">
        <v>584</v>
      </c>
      <c r="B256" s="2" t="s">
        <v>352</v>
      </c>
      <c r="C256" s="6">
        <v>6</v>
      </c>
      <c r="D256" s="2" t="s">
        <v>431</v>
      </c>
      <c r="E256" s="6">
        <v>4000</v>
      </c>
      <c r="F256" s="18"/>
      <c r="G256" s="18"/>
      <c r="H256" s="18">
        <v>158630.57999999999</v>
      </c>
      <c r="I256" s="18"/>
      <c r="J256" s="18"/>
      <c r="K256" s="18"/>
      <c r="L256" s="19">
        <f t="shared" si="6"/>
        <v>158630.57999999999</v>
      </c>
      <c r="M256" s="8"/>
      <c r="N256" s="265"/>
    </row>
    <row r="257" spans="1:14" s="3" customFormat="1" ht="12.2" customHeight="1" thickTop="1" thickBot="1" x14ac:dyDescent="0.2">
      <c r="A257" s="38" t="s">
        <v>461</v>
      </c>
      <c r="B257" s="40">
        <v>10</v>
      </c>
      <c r="C257" s="40">
        <v>7</v>
      </c>
      <c r="D257" s="39" t="s">
        <v>431</v>
      </c>
      <c r="E257" s="40"/>
      <c r="F257" s="41">
        <f t="shared" ref="F257:K257" si="7">SUM(F251:F256)</f>
        <v>13839</v>
      </c>
      <c r="G257" s="41">
        <f t="shared" si="7"/>
        <v>1161</v>
      </c>
      <c r="H257" s="41">
        <f t="shared" si="7"/>
        <v>196254.58</v>
      </c>
      <c r="I257" s="41">
        <f t="shared" si="7"/>
        <v>0</v>
      </c>
      <c r="J257" s="41">
        <f t="shared" si="7"/>
        <v>0</v>
      </c>
      <c r="K257" s="41">
        <f t="shared" si="7"/>
        <v>0</v>
      </c>
      <c r="L257" s="41">
        <f>SUM(F257:K257)</f>
        <v>211254.58</v>
      </c>
      <c r="M257" s="8"/>
      <c r="N257" s="265"/>
    </row>
    <row r="258" spans="1:14" s="3" customFormat="1" ht="12.2" customHeight="1" thickTop="1" x14ac:dyDescent="0.15">
      <c r="A258" s="38" t="s">
        <v>462</v>
      </c>
      <c r="B258" s="40">
        <v>10</v>
      </c>
      <c r="C258" s="40">
        <v>8</v>
      </c>
      <c r="D258" s="39" t="s">
        <v>431</v>
      </c>
      <c r="E258" s="40"/>
      <c r="F258" s="41">
        <f t="shared" ref="F258:L258" si="8">F212+F230+F248+F257</f>
        <v>21586493.390000001</v>
      </c>
      <c r="G258" s="41">
        <f t="shared" si="8"/>
        <v>12575903.940000001</v>
      </c>
      <c r="H258" s="41">
        <f t="shared" si="8"/>
        <v>5370889.7799999993</v>
      </c>
      <c r="I258" s="41">
        <f t="shared" si="8"/>
        <v>1648782.0099999998</v>
      </c>
      <c r="J258" s="41">
        <f t="shared" si="8"/>
        <v>494248.27</v>
      </c>
      <c r="K258" s="41">
        <f t="shared" si="8"/>
        <v>114712.85</v>
      </c>
      <c r="L258" s="41">
        <f t="shared" si="8"/>
        <v>41791030.239999995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1185000+160497</f>
        <v>1345497</v>
      </c>
      <c r="L261" s="19">
        <f>SUM(F261:K261)</f>
        <v>1345497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492950+113550</f>
        <v>606500</v>
      </c>
      <c r="L262" s="19">
        <f>SUM(F262:K262)</f>
        <v>606500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800000</v>
      </c>
      <c r="L267" s="19">
        <f t="shared" si="9"/>
        <v>800000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2751997</v>
      </c>
      <c r="L271" s="41">
        <f t="shared" si="9"/>
        <v>2751997</v>
      </c>
      <c r="M271" s="8"/>
      <c r="N271" s="265"/>
    </row>
    <row r="272" spans="1:14" s="34" customFormat="1" ht="12.2" customHeight="1" thickTop="1" x14ac:dyDescent="0.2">
      <c r="A272" s="43" t="s">
        <v>464</v>
      </c>
      <c r="B272" s="40">
        <v>10</v>
      </c>
      <c r="C272" s="40">
        <v>18</v>
      </c>
      <c r="D272" s="39" t="s">
        <v>431</v>
      </c>
      <c r="E272" s="40"/>
      <c r="F272" s="42">
        <f t="shared" ref="F272:L272" si="11">F258+F271</f>
        <v>21586493.390000001</v>
      </c>
      <c r="G272" s="42">
        <f t="shared" si="11"/>
        <v>12575903.940000001</v>
      </c>
      <c r="H272" s="42">
        <f t="shared" si="11"/>
        <v>5370889.7799999993</v>
      </c>
      <c r="I272" s="42">
        <f t="shared" si="11"/>
        <v>1648782.0099999998</v>
      </c>
      <c r="J272" s="42">
        <f t="shared" si="11"/>
        <v>494248.27</v>
      </c>
      <c r="K272" s="42">
        <f t="shared" si="11"/>
        <v>2866709.85</v>
      </c>
      <c r="L272" s="42">
        <f t="shared" si="11"/>
        <v>44543027.239999995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25">
      <c r="A277" s="1" t="s">
        <v>438</v>
      </c>
      <c r="B277" s="2" t="s">
        <v>357</v>
      </c>
      <c r="C277" s="2" t="s">
        <v>290</v>
      </c>
      <c r="D277" s="2" t="s">
        <v>431</v>
      </c>
      <c r="E277" s="6">
        <v>1100</v>
      </c>
      <c r="F277" s="372">
        <v>227755.71</v>
      </c>
      <c r="G277" s="372">
        <v>67566.86</v>
      </c>
      <c r="H277" s="372"/>
      <c r="I277" s="372">
        <v>3264.83</v>
      </c>
      <c r="J277" s="372"/>
      <c r="K277" s="372">
        <v>0</v>
      </c>
      <c r="L277" s="19">
        <f>SUM(F277:K277)</f>
        <v>298587.40000000002</v>
      </c>
      <c r="M277" s="8"/>
      <c r="N277" s="265"/>
    </row>
    <row r="278" spans="1:14" s="3" customFormat="1" ht="12.2" customHeight="1" x14ac:dyDescent="0.25">
      <c r="A278" s="1" t="s">
        <v>439</v>
      </c>
      <c r="B278" s="2" t="s">
        <v>357</v>
      </c>
      <c r="C278" s="2" t="s">
        <v>291</v>
      </c>
      <c r="D278" s="2" t="s">
        <v>431</v>
      </c>
      <c r="E278" s="6">
        <v>1200</v>
      </c>
      <c r="F278" s="372">
        <v>81440.114999999991</v>
      </c>
      <c r="G278" s="372">
        <v>24064.48</v>
      </c>
      <c r="H278" s="372">
        <v>56873.162499999999</v>
      </c>
      <c r="I278" s="372">
        <v>3244.9605000000001</v>
      </c>
      <c r="J278" s="372">
        <v>1854.9964999999997</v>
      </c>
      <c r="K278" s="372"/>
      <c r="L278" s="19">
        <f>SUM(F278:K278)</f>
        <v>167477.71449999997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25">
      <c r="A280" s="1" t="s">
        <v>441</v>
      </c>
      <c r="B280" s="2" t="s">
        <v>357</v>
      </c>
      <c r="C280" s="2" t="s">
        <v>293</v>
      </c>
      <c r="D280" s="2" t="s">
        <v>431</v>
      </c>
      <c r="E280" s="6">
        <v>1400</v>
      </c>
      <c r="F280" s="372">
        <v>2881.8789999999999</v>
      </c>
      <c r="G280" s="372">
        <v>499.03699999999998</v>
      </c>
      <c r="H280" s="372">
        <v>0</v>
      </c>
      <c r="I280" s="372">
        <v>0</v>
      </c>
      <c r="J280" s="372">
        <v>0</v>
      </c>
      <c r="K280" s="372">
        <v>0</v>
      </c>
      <c r="L280" s="19">
        <f>SUM(F280:K280)</f>
        <v>3380.9159999999997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v>1576.79</v>
      </c>
      <c r="I283" s="18">
        <v>3852.21</v>
      </c>
      <c r="J283" s="18">
        <v>14516.97</v>
      </c>
      <c r="K283" s="18"/>
      <c r="L283" s="19">
        <f t="shared" si="12"/>
        <v>19945.97</v>
      </c>
      <c r="M283" s="8"/>
      <c r="N283" s="265"/>
    </row>
    <row r="284" spans="1:14" s="3" customFormat="1" ht="12.2" customHeight="1" x14ac:dyDescent="0.15">
      <c r="A284" s="1" t="s">
        <v>444</v>
      </c>
      <c r="B284" s="2" t="s">
        <v>357</v>
      </c>
      <c r="C284" s="2" t="s">
        <v>296</v>
      </c>
      <c r="D284" s="2" t="s">
        <v>431</v>
      </c>
      <c r="E284" s="6">
        <v>2300</v>
      </c>
      <c r="F284" s="18"/>
      <c r="G284" s="18"/>
      <c r="H284" s="18">
        <v>35000</v>
      </c>
      <c r="I284" s="18"/>
      <c r="J284" s="18"/>
      <c r="K284" s="18"/>
      <c r="L284" s="19">
        <f t="shared" si="12"/>
        <v>35000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14000</v>
      </c>
      <c r="I287" s="18"/>
      <c r="J287" s="18"/>
      <c r="K287" s="18"/>
      <c r="L287" s="19">
        <f t="shared" si="12"/>
        <v>14000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312077.70399999997</v>
      </c>
      <c r="G291" s="42">
        <f t="shared" si="13"/>
        <v>92130.376999999993</v>
      </c>
      <c r="H291" s="42">
        <f t="shared" si="13"/>
        <v>107449.9525</v>
      </c>
      <c r="I291" s="42">
        <f t="shared" si="13"/>
        <v>10362.0005</v>
      </c>
      <c r="J291" s="42">
        <f t="shared" si="13"/>
        <v>16371.966499999999</v>
      </c>
      <c r="K291" s="42">
        <f t="shared" si="13"/>
        <v>0</v>
      </c>
      <c r="L291" s="41">
        <f t="shared" si="13"/>
        <v>538392.00050000008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v>242.28</v>
      </c>
      <c r="J296" s="18"/>
      <c r="K296" s="18">
        <v>15000</v>
      </c>
      <c r="L296" s="19">
        <f>SUM(F296:K296)</f>
        <v>15242.28</v>
      </c>
      <c r="M296" s="8"/>
      <c r="N296" s="265"/>
    </row>
    <row r="297" spans="1:14" s="3" customFormat="1" ht="12.2" customHeight="1" x14ac:dyDescent="0.15">
      <c r="A297" s="1" t="s">
        <v>439</v>
      </c>
      <c r="B297" s="2" t="s">
        <v>358</v>
      </c>
      <c r="C297" s="2" t="s">
        <v>291</v>
      </c>
      <c r="D297" s="2" t="s">
        <v>431</v>
      </c>
      <c r="E297" s="6">
        <v>1200</v>
      </c>
      <c r="F297" s="18">
        <v>60881.01</v>
      </c>
      <c r="G297" s="18">
        <v>17999.259999999998</v>
      </c>
      <c r="H297" s="18">
        <v>47123.48</v>
      </c>
      <c r="I297" s="18">
        <v>2517.61</v>
      </c>
      <c r="J297" s="18">
        <v>1537</v>
      </c>
      <c r="K297" s="18"/>
      <c r="L297" s="19">
        <f>SUM(F297:K297)</f>
        <v>130058.36</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10089.19</v>
      </c>
      <c r="G299" s="18">
        <v>2340.04</v>
      </c>
      <c r="H299" s="18">
        <v>425</v>
      </c>
      <c r="I299" s="18">
        <v>931.35</v>
      </c>
      <c r="J299" s="18"/>
      <c r="K299" s="18"/>
      <c r="L299" s="19">
        <f>SUM(F299:K299)</f>
        <v>13785.58</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v>1306.48</v>
      </c>
      <c r="I302" s="18">
        <v>3191.83</v>
      </c>
      <c r="J302" s="18">
        <v>12028.35</v>
      </c>
      <c r="K302" s="18"/>
      <c r="L302" s="19">
        <f t="shared" si="14"/>
        <v>16526.66</v>
      </c>
      <c r="M302" s="8"/>
      <c r="N302" s="265"/>
    </row>
    <row r="303" spans="1:14" s="3" customFormat="1" ht="12.2" customHeight="1" x14ac:dyDescent="0.15">
      <c r="A303" s="1" t="s">
        <v>444</v>
      </c>
      <c r="B303" s="2" t="s">
        <v>358</v>
      </c>
      <c r="C303" s="2" t="s">
        <v>296</v>
      </c>
      <c r="D303" s="2" t="s">
        <v>431</v>
      </c>
      <c r="E303" s="6">
        <v>2300</v>
      </c>
      <c r="F303" s="18"/>
      <c r="G303" s="18"/>
      <c r="H303" s="18">
        <v>29000</v>
      </c>
      <c r="I303" s="18"/>
      <c r="J303" s="18"/>
      <c r="K303" s="18"/>
      <c r="L303" s="19">
        <f t="shared" si="14"/>
        <v>29000</v>
      </c>
      <c r="M303" s="8"/>
      <c r="N303" s="265"/>
    </row>
    <row r="304" spans="1:14" s="3" customFormat="1" ht="12.2" customHeight="1" x14ac:dyDescent="0.15">
      <c r="A304" s="1" t="s">
        <v>445</v>
      </c>
      <c r="B304" s="2" t="s">
        <v>358</v>
      </c>
      <c r="C304" s="2" t="s">
        <v>297</v>
      </c>
      <c r="D304" s="2" t="s">
        <v>431</v>
      </c>
      <c r="E304" s="6">
        <v>2400</v>
      </c>
      <c r="F304" s="18"/>
      <c r="G304" s="18"/>
      <c r="H304" s="18"/>
      <c r="I304" s="18">
        <v>1443.86</v>
      </c>
      <c r="J304" s="18"/>
      <c r="K304" s="18"/>
      <c r="L304" s="19">
        <f t="shared" si="14"/>
        <v>1443.86</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v>11600</v>
      </c>
      <c r="I306" s="18"/>
      <c r="J306" s="18"/>
      <c r="K306" s="18"/>
      <c r="L306" s="19">
        <f t="shared" si="14"/>
        <v>11600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70970.2</v>
      </c>
      <c r="G310" s="42">
        <f t="shared" si="15"/>
        <v>20339.3</v>
      </c>
      <c r="H310" s="42">
        <f t="shared" si="15"/>
        <v>89454.96</v>
      </c>
      <c r="I310" s="42">
        <f t="shared" si="15"/>
        <v>8326.93</v>
      </c>
      <c r="J310" s="42">
        <f t="shared" si="15"/>
        <v>13565.35</v>
      </c>
      <c r="K310" s="42">
        <f t="shared" si="15"/>
        <v>15000</v>
      </c>
      <c r="L310" s="41">
        <f t="shared" si="15"/>
        <v>217656.74</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v>4293.3100000000004</v>
      </c>
      <c r="J315" s="18"/>
      <c r="K315" s="18">
        <v>500</v>
      </c>
      <c r="L315" s="19">
        <f>SUM(F315:K315)</f>
        <v>4793.3100000000004</v>
      </c>
      <c r="M315" s="8"/>
      <c r="N315" s="265"/>
    </row>
    <row r="316" spans="1:14" s="3" customFormat="1" ht="12.2" customHeight="1" x14ac:dyDescent="0.15">
      <c r="A316" s="1" t="s">
        <v>439</v>
      </c>
      <c r="B316" s="2" t="s">
        <v>359</v>
      </c>
      <c r="C316" s="2" t="s">
        <v>291</v>
      </c>
      <c r="D316" s="2" t="s">
        <v>431</v>
      </c>
      <c r="E316" s="6">
        <v>1200</v>
      </c>
      <c r="F316" s="18">
        <v>82629.05</v>
      </c>
      <c r="G316" s="18">
        <v>22914.16</v>
      </c>
      <c r="H316" s="18">
        <v>85129.11</v>
      </c>
      <c r="I316" s="18">
        <v>3125.31</v>
      </c>
      <c r="J316" s="18">
        <v>1908</v>
      </c>
      <c r="K316" s="18"/>
      <c r="L316" s="19">
        <f>SUM(F316:K316)</f>
        <v>195705.63</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17913.89</v>
      </c>
      <c r="G318" s="18">
        <v>4253.07</v>
      </c>
      <c r="H318" s="18"/>
      <c r="I318" s="18">
        <v>5886.91</v>
      </c>
      <c r="J318" s="18">
        <v>22109.27</v>
      </c>
      <c r="K318" s="18">
        <v>5929.34</v>
      </c>
      <c r="L318" s="19">
        <f>SUM(F318:K318)</f>
        <v>56092.479999999996</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1455</v>
      </c>
      <c r="G320" s="18">
        <v>108.62</v>
      </c>
      <c r="H320" s="18">
        <v>24881</v>
      </c>
      <c r="I320" s="18"/>
      <c r="J320" s="18"/>
      <c r="K320" s="18"/>
      <c r="L320" s="19">
        <f t="shared" ref="L320:L326" si="16">SUM(F320:K320)</f>
        <v>26444.62</v>
      </c>
      <c r="M320" s="8"/>
      <c r="N320" s="265"/>
    </row>
    <row r="321" spans="1:14" s="3" customFormat="1" ht="12.2" customHeight="1" x14ac:dyDescent="0.15">
      <c r="A321" s="1" t="s">
        <v>443</v>
      </c>
      <c r="B321" s="2" t="s">
        <v>359</v>
      </c>
      <c r="C321" s="2" t="s">
        <v>295</v>
      </c>
      <c r="D321" s="2" t="s">
        <v>431</v>
      </c>
      <c r="E321" s="6">
        <v>2200</v>
      </c>
      <c r="F321" s="18"/>
      <c r="G321" s="18"/>
      <c r="H321" s="18">
        <v>1621.84</v>
      </c>
      <c r="I321" s="18">
        <v>3962.27</v>
      </c>
      <c r="J321" s="18">
        <v>14931.75</v>
      </c>
      <c r="K321" s="18"/>
      <c r="L321" s="19">
        <f t="shared" si="16"/>
        <v>20515.86</v>
      </c>
      <c r="M321" s="8"/>
      <c r="N321" s="265"/>
    </row>
    <row r="322" spans="1:14" s="3" customFormat="1" ht="12.2" customHeight="1" x14ac:dyDescent="0.15">
      <c r="A322" s="1" t="s">
        <v>444</v>
      </c>
      <c r="B322" s="2" t="s">
        <v>359</v>
      </c>
      <c r="C322" s="2" t="s">
        <v>296</v>
      </c>
      <c r="D322" s="2" t="s">
        <v>431</v>
      </c>
      <c r="E322" s="6">
        <v>2300</v>
      </c>
      <c r="F322" s="18"/>
      <c r="G322" s="18"/>
      <c r="H322" s="18">
        <v>36000</v>
      </c>
      <c r="I322" s="18"/>
      <c r="J322" s="18"/>
      <c r="K322" s="18"/>
      <c r="L322" s="19">
        <f t="shared" si="16"/>
        <v>36000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14400</v>
      </c>
      <c r="I325" s="18"/>
      <c r="J325" s="18"/>
      <c r="K325" s="18"/>
      <c r="L325" s="19">
        <f t="shared" si="16"/>
        <v>14400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101997.94</v>
      </c>
      <c r="G329" s="42">
        <f t="shared" si="17"/>
        <v>27275.85</v>
      </c>
      <c r="H329" s="42">
        <f t="shared" si="17"/>
        <v>162031.95000000001</v>
      </c>
      <c r="I329" s="42">
        <f t="shared" si="17"/>
        <v>17267.8</v>
      </c>
      <c r="J329" s="42">
        <f t="shared" si="17"/>
        <v>38949.020000000004</v>
      </c>
      <c r="K329" s="42">
        <f t="shared" si="17"/>
        <v>6429.34</v>
      </c>
      <c r="L329" s="41">
        <f t="shared" si="17"/>
        <v>353951.89999999997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v>44173.5</v>
      </c>
      <c r="G334" s="18">
        <f>22924.31+130.51+126.89+105.14</f>
        <v>23286.85</v>
      </c>
      <c r="H334" s="18">
        <v>9346.7900000000009</v>
      </c>
      <c r="I334" s="18">
        <v>8618.6299999999992</v>
      </c>
      <c r="J334" s="18">
        <v>10924.72</v>
      </c>
      <c r="K334" s="18">
        <v>2044.01</v>
      </c>
      <c r="L334" s="19">
        <f t="shared" si="18"/>
        <v>98394.500000000015</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6800</v>
      </c>
      <c r="I337" s="18"/>
      <c r="J337" s="18"/>
      <c r="K337" s="18"/>
      <c r="L337" s="19">
        <f t="shared" si="18"/>
        <v>6800</v>
      </c>
      <c r="M337" s="8"/>
      <c r="N337" s="265"/>
    </row>
    <row r="338" spans="1:43" s="3" customFormat="1" ht="12.2" customHeight="1" thickTop="1" thickBot="1" x14ac:dyDescent="0.2">
      <c r="A338" s="50" t="s">
        <v>467</v>
      </c>
      <c r="B338" s="40">
        <v>14</v>
      </c>
      <c r="C338" s="51">
        <v>6</v>
      </c>
      <c r="D338" s="48" t="s">
        <v>431</v>
      </c>
      <c r="E338" s="51"/>
      <c r="F338" s="41">
        <f t="shared" ref="F338:K338" si="19">SUM(F333:F337)</f>
        <v>44173.5</v>
      </c>
      <c r="G338" s="41">
        <f t="shared" si="19"/>
        <v>23286.85</v>
      </c>
      <c r="H338" s="41">
        <f t="shared" si="19"/>
        <v>16146.79</v>
      </c>
      <c r="I338" s="41">
        <f t="shared" si="19"/>
        <v>8618.6299999999992</v>
      </c>
      <c r="J338" s="41">
        <f t="shared" si="19"/>
        <v>10924.72</v>
      </c>
      <c r="K338" s="41">
        <f t="shared" si="19"/>
        <v>2044.01</v>
      </c>
      <c r="L338" s="41">
        <f t="shared" si="18"/>
        <v>105194.50000000001</v>
      </c>
      <c r="M338" s="8"/>
      <c r="N338" s="265"/>
    </row>
    <row r="339" spans="1:43" s="3" customFormat="1" ht="12.2" customHeight="1" thickTop="1" x14ac:dyDescent="0.15">
      <c r="A339" s="38" t="s">
        <v>468</v>
      </c>
      <c r="B339" s="40">
        <v>14</v>
      </c>
      <c r="C339" s="40">
        <v>7</v>
      </c>
      <c r="D339" s="39" t="s">
        <v>431</v>
      </c>
      <c r="E339" s="40"/>
      <c r="F339" s="41">
        <f t="shared" ref="F339:L339" si="20">F291+F310+F329+F338</f>
        <v>529219.34400000004</v>
      </c>
      <c r="G339" s="41">
        <f t="shared" si="20"/>
        <v>163032.37700000001</v>
      </c>
      <c r="H339" s="41">
        <f t="shared" si="20"/>
        <v>375083.65250000003</v>
      </c>
      <c r="I339" s="41">
        <f t="shared" si="20"/>
        <v>44575.360500000003</v>
      </c>
      <c r="J339" s="41">
        <f t="shared" si="20"/>
        <v>79811.056500000006</v>
      </c>
      <c r="K339" s="41">
        <f t="shared" si="20"/>
        <v>23473.35</v>
      </c>
      <c r="L339" s="41">
        <f t="shared" si="20"/>
        <v>1215195.1405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529219.34400000004</v>
      </c>
      <c r="G353" s="41">
        <f>G339</f>
        <v>163032.37700000001</v>
      </c>
      <c r="H353" s="41">
        <f>H339</f>
        <v>375083.65250000003</v>
      </c>
      <c r="I353" s="41">
        <f>I339</f>
        <v>44575.360500000003</v>
      </c>
      <c r="J353" s="41">
        <f>J339</f>
        <v>79811.056500000006</v>
      </c>
      <c r="K353" s="47">
        <f>K339+K352</f>
        <v>23473.35</v>
      </c>
      <c r="L353" s="41">
        <f>L339+L352</f>
        <v>1215195.1405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250527.83-I359+18060.83</f>
        <v>116212.52999999998</v>
      </c>
      <c r="I359" s="18">
        <f>103308.8+18060.83+31006.5</f>
        <v>152376.13</v>
      </c>
      <c r="J359" s="18">
        <f>794.86</f>
        <v>794.86</v>
      </c>
      <c r="K359" s="18"/>
      <c r="L359" s="13">
        <f>SUM(F359:K359)</f>
        <v>269383.51999999996</v>
      </c>
      <c r="M359" s="8"/>
      <c r="N359" s="265"/>
    </row>
    <row r="360" spans="1:22" s="3" customFormat="1" ht="12.2" customHeight="1" x14ac:dyDescent="0.15">
      <c r="A360" s="1" t="s">
        <v>542</v>
      </c>
      <c r="B360" s="2" t="s">
        <v>366</v>
      </c>
      <c r="C360" s="6">
        <v>2</v>
      </c>
      <c r="D360" s="2" t="s">
        <v>431</v>
      </c>
      <c r="E360" s="6"/>
      <c r="F360" s="18"/>
      <c r="G360" s="18"/>
      <c r="H360" s="18">
        <f>207580.2-I360+14964.69</f>
        <v>96290.38</v>
      </c>
      <c r="I360" s="18">
        <f>85598.72+25691.1+14964.69</f>
        <v>126254.51000000001</v>
      </c>
      <c r="J360" s="18">
        <f>658.6</f>
        <v>658.6</v>
      </c>
      <c r="K360" s="18"/>
      <c r="L360" s="19">
        <f>SUM(F360:K360)</f>
        <v>223203.49000000002</v>
      </c>
      <c r="M360" s="8"/>
      <c r="N360" s="265"/>
    </row>
    <row r="361" spans="1:22" s="3" customFormat="1" ht="12.2" customHeight="1" x14ac:dyDescent="0.15">
      <c r="A361" s="3" t="s">
        <v>543</v>
      </c>
      <c r="B361" s="2" t="s">
        <v>366</v>
      </c>
      <c r="C361" s="6">
        <v>3</v>
      </c>
      <c r="D361" s="2" t="s">
        <v>431</v>
      </c>
      <c r="E361" s="6"/>
      <c r="F361" s="18"/>
      <c r="G361" s="18"/>
      <c r="H361" s="18">
        <f>257685.77-I361+18576.85</f>
        <v>119532.88999999998</v>
      </c>
      <c r="I361" s="18">
        <f>106260.48+31892.4+18576.85</f>
        <v>156729.73000000001</v>
      </c>
      <c r="J361" s="18">
        <f>817.57</f>
        <v>817.57</v>
      </c>
      <c r="K361" s="18"/>
      <c r="L361" s="19">
        <f>SUM(F361:K361)</f>
        <v>277080.19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332035.79999999993</v>
      </c>
      <c r="I363" s="47">
        <f t="shared" si="22"/>
        <v>435360.37</v>
      </c>
      <c r="J363" s="47">
        <f t="shared" si="22"/>
        <v>2271.0300000000002</v>
      </c>
      <c r="K363" s="47">
        <f t="shared" si="22"/>
        <v>0</v>
      </c>
      <c r="L363" s="47">
        <f t="shared" si="22"/>
        <v>769667.2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103308.8</v>
      </c>
      <c r="G368" s="18">
        <v>85598.720000000001</v>
      </c>
      <c r="H368" s="18">
        <v>106260.48</v>
      </c>
      <c r="I368" s="56">
        <f>SUM(F368:H368)</f>
        <v>295168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I359-F368</f>
        <v>49067.33</v>
      </c>
      <c r="G369" s="63">
        <f>I360-G368</f>
        <v>40655.790000000008</v>
      </c>
      <c r="H369" s="63">
        <f>I361-H368</f>
        <v>50469.250000000015</v>
      </c>
      <c r="I369" s="56">
        <f>SUM(F369:H369)</f>
        <v>140192.37000000002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152376.13</v>
      </c>
      <c r="G370" s="47">
        <f>SUM(G368:G369)</f>
        <v>126254.51000000001</v>
      </c>
      <c r="H370" s="47">
        <f>SUM(H368:H369)</f>
        <v>156729.73000000001</v>
      </c>
      <c r="I370" s="47">
        <f>SUM(I368:I369)</f>
        <v>435360.37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f>36320+229880+21045.25+16939.48</f>
        <v>304184.73</v>
      </c>
      <c r="I377" s="18"/>
      <c r="J377" s="18"/>
      <c r="K377" s="18"/>
      <c r="L377" s="13">
        <f t="shared" si="23"/>
        <v>304184.73</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f>138918.2</f>
        <v>138918.20000000001</v>
      </c>
      <c r="I380" s="18"/>
      <c r="J380" s="18"/>
      <c r="K380" s="18"/>
      <c r="L380" s="13">
        <f t="shared" si="23"/>
        <v>138918.20000000001</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443102.93</v>
      </c>
      <c r="I383" s="41">
        <f t="shared" si="24"/>
        <v>0</v>
      </c>
      <c r="J383" s="47">
        <f t="shared" si="24"/>
        <v>0</v>
      </c>
      <c r="K383" s="47">
        <f t="shared" si="24"/>
        <v>0</v>
      </c>
      <c r="L383" s="47">
        <f t="shared" si="24"/>
        <v>443102.93</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4"/>
      <c r="H389" s="4"/>
      <c r="I389" s="4"/>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500000</v>
      </c>
      <c r="H390" s="18">
        <v>24793.06</v>
      </c>
      <c r="I390" s="18">
        <v>-117694.87</v>
      </c>
      <c r="J390" s="24" t="s">
        <v>288</v>
      </c>
      <c r="K390" s="24" t="s">
        <v>288</v>
      </c>
      <c r="L390" s="56">
        <f t="shared" si="25"/>
        <v>407098.19000000006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500000</v>
      </c>
      <c r="H394" s="139">
        <f>SUM(H388:H393)</f>
        <v>24793.06</v>
      </c>
      <c r="I394" s="65">
        <f>SUM(I388:I393)</f>
        <v>-117694.87</v>
      </c>
      <c r="J394" s="45" t="s">
        <v>288</v>
      </c>
      <c r="K394" s="45" t="s">
        <v>288</v>
      </c>
      <c r="L394" s="47">
        <f>SUM(L388:L393)</f>
        <v>407098.19000000006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300000</v>
      </c>
      <c r="H398" s="18">
        <v>14628.48</v>
      </c>
      <c r="I398" s="18">
        <v>-71337.42</v>
      </c>
      <c r="J398" s="24" t="s">
        <v>288</v>
      </c>
      <c r="K398" s="24" t="s">
        <v>288</v>
      </c>
      <c r="L398" s="56">
        <f t="shared" si="26"/>
        <v>243291.06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2602.19</v>
      </c>
      <c r="I400" s="18">
        <v>-10441.620000000001</v>
      </c>
      <c r="J400" s="24" t="s">
        <v>288</v>
      </c>
      <c r="K400" s="24" t="s">
        <v>288</v>
      </c>
      <c r="L400" s="56">
        <f t="shared" si="26"/>
        <v>-7839.43</v>
      </c>
      <c r="M400" s="8"/>
      <c r="N400" s="265"/>
    </row>
    <row r="401" spans="1:21" s="3" customFormat="1" ht="12.2" customHeight="1" thickBot="1" x14ac:dyDescent="0.2">
      <c r="A401" s="79" t="s">
        <v>510</v>
      </c>
      <c r="B401" s="2" t="s">
        <v>381</v>
      </c>
      <c r="C401" s="6">
        <v>13</v>
      </c>
      <c r="D401" s="2" t="s">
        <v>432</v>
      </c>
      <c r="E401" s="6"/>
      <c r="F401" s="18"/>
      <c r="G401" s="18"/>
      <c r="H401" s="18">
        <v>191.26</v>
      </c>
      <c r="I401" s="18">
        <v>-1971.45</v>
      </c>
      <c r="J401" s="24" t="s">
        <v>288</v>
      </c>
      <c r="K401" s="24" t="s">
        <v>288</v>
      </c>
      <c r="L401" s="56">
        <f t="shared" si="26"/>
        <v>-1780.19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17421.929999999997</v>
      </c>
      <c r="I402" s="47">
        <f>SUM(I396:I401)</f>
        <v>-83750.489999999991</v>
      </c>
      <c r="J402" s="45" t="s">
        <v>288</v>
      </c>
      <c r="K402" s="45" t="s">
        <v>288</v>
      </c>
      <c r="L402" s="47">
        <f>SUM(L396:L401)</f>
        <v>233671.44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800000</v>
      </c>
      <c r="H409" s="47">
        <f>H394+H402+H408</f>
        <v>42214.99</v>
      </c>
      <c r="I409" s="47">
        <f>I394+I402+I408</f>
        <v>-201445.36</v>
      </c>
      <c r="J409" s="24" t="s">
        <v>288</v>
      </c>
      <c r="K409" s="24" t="s">
        <v>288</v>
      </c>
      <c r="L409" s="47">
        <f>L394+L402+L408</f>
        <v>640769.63000000012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f>132290+4385.74</f>
        <v>136675.74</v>
      </c>
      <c r="I416" s="18"/>
      <c r="J416" s="18"/>
      <c r="K416" s="18"/>
      <c r="L416" s="56">
        <f t="shared" si="27"/>
        <v>136675.74</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136675.74</v>
      </c>
      <c r="I420" s="139">
        <f t="shared" si="28"/>
        <v>0</v>
      </c>
      <c r="J420" s="139">
        <f t="shared" si="28"/>
        <v>0</v>
      </c>
      <c r="K420" s="139">
        <f t="shared" si="28"/>
        <v>0</v>
      </c>
      <c r="L420" s="47">
        <f t="shared" si="28"/>
        <v>136675.74</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v>2760</v>
      </c>
      <c r="I424" s="18"/>
      <c r="J424" s="18"/>
      <c r="K424" s="18"/>
      <c r="L424" s="56">
        <f t="shared" si="29"/>
        <v>2760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v>419.22</v>
      </c>
      <c r="I426" s="18"/>
      <c r="J426" s="18"/>
      <c r="K426" s="18"/>
      <c r="L426" s="56">
        <f t="shared" si="29"/>
        <v>419.22</v>
      </c>
      <c r="M426" s="8"/>
      <c r="N426" s="265"/>
    </row>
    <row r="427" spans="1:21" s="3" customFormat="1" ht="12.2" customHeight="1" thickBot="1" x14ac:dyDescent="0.2">
      <c r="A427" s="79" t="s">
        <v>510</v>
      </c>
      <c r="B427" s="6">
        <v>17</v>
      </c>
      <c r="C427" s="6">
        <v>13</v>
      </c>
      <c r="D427" s="2" t="s">
        <v>432</v>
      </c>
      <c r="E427" s="6"/>
      <c r="F427" s="18"/>
      <c r="G427" s="18"/>
      <c r="H427" s="18">
        <v>94.38</v>
      </c>
      <c r="I427" s="18"/>
      <c r="J427" s="18"/>
      <c r="K427" s="18"/>
      <c r="L427" s="56">
        <f t="shared" si="29"/>
        <v>94.38</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3273.6000000000004</v>
      </c>
      <c r="I428" s="47">
        <f t="shared" si="30"/>
        <v>0</v>
      </c>
      <c r="J428" s="47">
        <f t="shared" si="30"/>
        <v>0</v>
      </c>
      <c r="K428" s="47">
        <f t="shared" si="30"/>
        <v>0</v>
      </c>
      <c r="L428" s="47">
        <f t="shared" si="30"/>
        <v>3273.6000000000004</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139949.34</v>
      </c>
      <c r="I435" s="47">
        <f t="shared" si="32"/>
        <v>0</v>
      </c>
      <c r="J435" s="47">
        <f t="shared" si="32"/>
        <v>0</v>
      </c>
      <c r="K435" s="47">
        <f t="shared" si="32"/>
        <v>0</v>
      </c>
      <c r="L435" s="47">
        <f t="shared" si="32"/>
        <v>139949.34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3890524.5</v>
      </c>
      <c r="G440" s="18"/>
      <c r="H440" s="18"/>
      <c r="I440" s="56">
        <f t="shared" ref="I440:I446" si="33">SUM(F440:H440)</f>
        <v>3890524.5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3890524.5</v>
      </c>
      <c r="G447" s="13">
        <f>SUM(G440:G446)</f>
        <v>0</v>
      </c>
      <c r="H447" s="13">
        <f>SUM(H440:H446)</f>
        <v>0</v>
      </c>
      <c r="I447" s="13">
        <f>SUM(I440:I446)</f>
        <v>3890524.5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3890524.5</v>
      </c>
      <c r="G460" s="18"/>
      <c r="H460" s="18"/>
      <c r="I460" s="56">
        <f t="shared" si="34"/>
        <v>3890524.5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3890524.5</v>
      </c>
      <c r="G461" s="83">
        <f>SUM(G455:G460)</f>
        <v>0</v>
      </c>
      <c r="H461" s="83">
        <f>SUM(H455:H460)</f>
        <v>0</v>
      </c>
      <c r="I461" s="83">
        <f>SUM(I455:I460)</f>
        <v>3890524.5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3890524.5</v>
      </c>
      <c r="G462" s="42">
        <f>G453+G461</f>
        <v>0</v>
      </c>
      <c r="H462" s="42">
        <f>H453+H461</f>
        <v>0</v>
      </c>
      <c r="I462" s="42">
        <f>I453+I461</f>
        <v>3890524.5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3758248.15</v>
      </c>
      <c r="G466" s="18">
        <v>3690.58</v>
      </c>
      <c r="H466" s="18">
        <v>216925.54</v>
      </c>
      <c r="I466" s="18">
        <v>0</v>
      </c>
      <c r="J466" s="18">
        <v>3389704.21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44403046.329999998</v>
      </c>
      <c r="G469" s="18">
        <f>G194</f>
        <v>899931.75</v>
      </c>
      <c r="H469" s="18">
        <f>H194</f>
        <v>1240668.28</v>
      </c>
      <c r="I469" s="18">
        <f>I194</f>
        <v>0</v>
      </c>
      <c r="J469" s="18">
        <f>J194</f>
        <v>640769.63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44403046.329999998</v>
      </c>
      <c r="G471" s="53">
        <f>SUM(G469:G470)</f>
        <v>899931.75</v>
      </c>
      <c r="H471" s="53">
        <f>SUM(H469:H470)</f>
        <v>1240668.28</v>
      </c>
      <c r="I471" s="53">
        <f>SUM(I469:I470)</f>
        <v>0</v>
      </c>
      <c r="J471" s="53">
        <f>SUM(J469:J470)</f>
        <v>640769.63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44543027.239999995</v>
      </c>
      <c r="G473" s="18">
        <f>L363</f>
        <v>769667.2</v>
      </c>
      <c r="H473" s="18">
        <f>L339</f>
        <v>1215195.1405</v>
      </c>
      <c r="I473" s="18">
        <f>L383</f>
        <v>443102.93</v>
      </c>
      <c r="J473" s="18">
        <f>L435</f>
        <v>139949.34</v>
      </c>
      <c r="K473" s="24" t="s">
        <v>288</v>
      </c>
      <c r="L473" s="24" t="s">
        <v>288</v>
      </c>
      <c r="N473" s="264"/>
    </row>
    <row r="474" spans="1:14" s="52" customFormat="1" ht="12.2" customHeight="1" x14ac:dyDescent="0.2">
      <c r="A474" s="93" t="s">
        <v>613</v>
      </c>
      <c r="B474" s="75">
        <v>19</v>
      </c>
      <c r="C474" s="80">
        <v>6</v>
      </c>
      <c r="D474" s="2" t="s">
        <v>432</v>
      </c>
      <c r="E474" s="80"/>
      <c r="F474" s="18">
        <v>137804.62</v>
      </c>
      <c r="G474" s="18"/>
      <c r="H474" s="18"/>
      <c r="I474" s="18">
        <v>0.26</v>
      </c>
      <c r="J474" s="18"/>
      <c r="K474" s="24" t="s">
        <v>288</v>
      </c>
      <c r="L474" s="24" t="s">
        <v>288</v>
      </c>
      <c r="N474" s="264"/>
    </row>
    <row r="475" spans="1:14" s="52" customFormat="1" ht="12.2" customHeight="1" x14ac:dyDescent="0.2">
      <c r="A475" s="92" t="s">
        <v>426</v>
      </c>
      <c r="B475" s="75">
        <v>19</v>
      </c>
      <c r="C475" s="80">
        <v>7</v>
      </c>
      <c r="D475" s="2" t="s">
        <v>432</v>
      </c>
      <c r="E475" s="80"/>
      <c r="F475" s="53">
        <f>SUM(F473:F474)</f>
        <v>44680831.859999992</v>
      </c>
      <c r="G475" s="53">
        <f>SUM(G473:G474)</f>
        <v>769667.2</v>
      </c>
      <c r="H475" s="53">
        <f>SUM(H473:H474)</f>
        <v>1215195.1405</v>
      </c>
      <c r="I475" s="53">
        <f>SUM(I473:I474)</f>
        <v>443103.19</v>
      </c>
      <c r="J475" s="53">
        <f>SUM(J473:J474)</f>
        <v>139949.34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3480462.6200000048</v>
      </c>
      <c r="G477" s="53">
        <f>(G466+G471)- G475</f>
        <v>133955.13</v>
      </c>
      <c r="H477" s="53">
        <f>(H466+H471)- H475</f>
        <v>242398.67950000009</v>
      </c>
      <c r="I477" s="53">
        <f>(I466+I471)- I475</f>
        <v>-443103.19</v>
      </c>
      <c r="J477" s="53">
        <f>(J466+J471)- J475</f>
        <v>3890524.5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23650000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3.38</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12990000</v>
      </c>
      <c r="G496" s="18"/>
      <c r="H496" s="18"/>
      <c r="I496" s="18"/>
      <c r="J496" s="18"/>
      <c r="K496" s="53">
        <f>SUM(F496:J496)</f>
        <v>12990000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1185000</v>
      </c>
      <c r="G498" s="18"/>
      <c r="H498" s="18"/>
      <c r="I498" s="18"/>
      <c r="J498" s="18"/>
      <c r="K498" s="53">
        <f t="shared" si="35"/>
        <v>1185000</v>
      </c>
      <c r="L498" s="24" t="s">
        <v>288</v>
      </c>
      <c r="N498" s="264"/>
    </row>
    <row r="499" spans="1:14" s="52" customFormat="1" ht="12.2" customHeight="1" x14ac:dyDescent="0.2">
      <c r="A499" s="199" t="s">
        <v>622</v>
      </c>
      <c r="B499" s="200">
        <v>20</v>
      </c>
      <c r="C499" s="201">
        <v>9</v>
      </c>
      <c r="D499" s="202" t="s">
        <v>432</v>
      </c>
      <c r="E499" s="201"/>
      <c r="F499" s="203">
        <v>11805000</v>
      </c>
      <c r="G499" s="203"/>
      <c r="H499" s="203"/>
      <c r="I499" s="203"/>
      <c r="J499" s="203"/>
      <c r="K499" s="204">
        <f t="shared" si="35"/>
        <v>11805000</v>
      </c>
      <c r="L499" s="205" t="s">
        <v>288</v>
      </c>
      <c r="N499" s="264"/>
    </row>
    <row r="500" spans="1:14" s="52" customFormat="1" ht="12.2" customHeight="1" thickBot="1" x14ac:dyDescent="0.25">
      <c r="A500" s="22" t="s">
        <v>623</v>
      </c>
      <c r="B500" s="75">
        <v>20</v>
      </c>
      <c r="C500" s="115">
        <v>10</v>
      </c>
      <c r="D500" s="2" t="s">
        <v>432</v>
      </c>
      <c r="E500" s="115"/>
      <c r="F500" s="18">
        <v>1873881</v>
      </c>
      <c r="G500" s="18"/>
      <c r="H500" s="18"/>
      <c r="I500" s="18"/>
      <c r="J500" s="18"/>
      <c r="K500" s="53">
        <f t="shared" si="35"/>
        <v>1873881</v>
      </c>
      <c r="L500" s="24" t="s">
        <v>288</v>
      </c>
      <c r="N500" s="264"/>
    </row>
    <row r="501" spans="1:14" s="52" customFormat="1" ht="12.2" customHeight="1" thickTop="1" x14ac:dyDescent="0.2">
      <c r="A501" s="139" t="s">
        <v>624</v>
      </c>
      <c r="B501" s="44">
        <v>20</v>
      </c>
      <c r="C501" s="194">
        <v>11</v>
      </c>
      <c r="D501" s="39" t="s">
        <v>432</v>
      </c>
      <c r="E501" s="194"/>
      <c r="F501" s="42">
        <f>SUM(F499:F500)</f>
        <v>13678881</v>
      </c>
      <c r="G501" s="42">
        <f>SUM(G499:G500)</f>
        <v>0</v>
      </c>
      <c r="H501" s="42">
        <f>SUM(H499:H500)</f>
        <v>0</v>
      </c>
      <c r="I501" s="42">
        <f>SUM(I499:I500)</f>
        <v>0</v>
      </c>
      <c r="J501" s="42">
        <f>SUM(J499:J500)</f>
        <v>0</v>
      </c>
      <c r="K501" s="42">
        <f t="shared" si="35"/>
        <v>13678881</v>
      </c>
      <c r="L501" s="45" t="s">
        <v>288</v>
      </c>
      <c r="N501" s="264"/>
    </row>
    <row r="502" spans="1:14" s="52" customFormat="1" ht="12.2" customHeight="1" x14ac:dyDescent="0.2">
      <c r="A502" s="199" t="s">
        <v>651</v>
      </c>
      <c r="B502" s="200">
        <v>20</v>
      </c>
      <c r="C502" s="201">
        <v>12</v>
      </c>
      <c r="D502" s="202" t="s">
        <v>432</v>
      </c>
      <c r="E502" s="201"/>
      <c r="F502" s="203">
        <v>1185000</v>
      </c>
      <c r="G502" s="203"/>
      <c r="H502" s="203"/>
      <c r="I502" s="203"/>
      <c r="J502" s="203"/>
      <c r="K502" s="204">
        <f t="shared" si="35"/>
        <v>1185000</v>
      </c>
      <c r="L502" s="205" t="s">
        <v>288</v>
      </c>
      <c r="N502" s="264"/>
    </row>
    <row r="503" spans="1:14" s="52" customFormat="1" ht="12.2" customHeight="1" thickBot="1" x14ac:dyDescent="0.25">
      <c r="A503" s="22" t="s">
        <v>625</v>
      </c>
      <c r="B503" s="75">
        <v>20</v>
      </c>
      <c r="C503" s="115">
        <v>13</v>
      </c>
      <c r="D503" s="2" t="s">
        <v>432</v>
      </c>
      <c r="E503" s="115"/>
      <c r="F503" s="18">
        <v>395671</v>
      </c>
      <c r="G503" s="18"/>
      <c r="H503" s="18"/>
      <c r="I503" s="18"/>
      <c r="J503" s="18"/>
      <c r="K503" s="53">
        <f t="shared" si="35"/>
        <v>395671</v>
      </c>
      <c r="L503" s="24" t="s">
        <v>288</v>
      </c>
      <c r="N503" s="264"/>
    </row>
    <row r="504" spans="1:14" s="52" customFormat="1" ht="12.2" customHeight="1" thickTop="1" x14ac:dyDescent="0.2">
      <c r="A504" s="139" t="s">
        <v>626</v>
      </c>
      <c r="B504" s="44">
        <v>20</v>
      </c>
      <c r="C504" s="194">
        <v>14</v>
      </c>
      <c r="D504" s="39" t="s">
        <v>432</v>
      </c>
      <c r="E504" s="194"/>
      <c r="F504" s="42">
        <f>SUM(F502:F503)</f>
        <v>1580671</v>
      </c>
      <c r="G504" s="42">
        <f>SUM(G502:G503)</f>
        <v>0</v>
      </c>
      <c r="H504" s="42">
        <f>SUM(H502:H503)</f>
        <v>0</v>
      </c>
      <c r="I504" s="42">
        <f>SUM(I502:I503)</f>
        <v>0</v>
      </c>
      <c r="J504" s="42">
        <f>SUM(J502:J503)</f>
        <v>0</v>
      </c>
      <c r="K504" s="42">
        <f t="shared" si="35"/>
        <v>1580671</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2032531.99-F527</f>
        <v>1626025.5899999999</v>
      </c>
      <c r="G522" s="18">
        <f>1363935.36-G527</f>
        <v>1091148.29</v>
      </c>
      <c r="H522" s="18">
        <f>430984.18-H527</f>
        <v>344787.34399999998</v>
      </c>
      <c r="I522" s="18">
        <f>20964.01-I527</f>
        <v>16771.207999999999</v>
      </c>
      <c r="J522" s="18">
        <f>7684.24-J527</f>
        <v>6147.3919999999998</v>
      </c>
      <c r="K522" s="18">
        <f>998.18-K527</f>
        <v>798.54399999999998</v>
      </c>
      <c r="L522" s="88">
        <f>SUM(F522:K522)</f>
        <v>3085678.3680000002</v>
      </c>
      <c r="N522" s="264"/>
    </row>
    <row r="523" spans="1:14" s="52" customFormat="1" ht="12.2" customHeight="1" x14ac:dyDescent="0.2">
      <c r="A523" s="22" t="s">
        <v>634</v>
      </c>
      <c r="B523" s="105">
        <v>21</v>
      </c>
      <c r="C523" s="115">
        <v>2</v>
      </c>
      <c r="D523" s="2" t="s">
        <v>432</v>
      </c>
      <c r="E523" s="115"/>
      <c r="F523" s="18">
        <f>1008823.71-F528</f>
        <v>807058.97</v>
      </c>
      <c r="G523" s="18">
        <f>744123.04-G528</f>
        <v>595298.43000000005</v>
      </c>
      <c r="H523" s="18">
        <f>548988.3-H528</f>
        <v>439190.64</v>
      </c>
      <c r="I523" s="18">
        <f>8823.36-I528</f>
        <v>7058.6880000000001</v>
      </c>
      <c r="J523" s="18">
        <f>4296.8-J528</f>
        <v>3437.44</v>
      </c>
      <c r="K523" s="18">
        <f>827.07-K528</f>
        <v>661.65600000000006</v>
      </c>
      <c r="L523" s="88">
        <f>SUM(F523:K523)</f>
        <v>1852705.824</v>
      </c>
      <c r="N523" s="264"/>
    </row>
    <row r="524" spans="1:14" s="52" customFormat="1" ht="12.2" customHeight="1" thickBot="1" x14ac:dyDescent="0.25">
      <c r="A524" s="22" t="s">
        <v>635</v>
      </c>
      <c r="B524" s="105">
        <v>21</v>
      </c>
      <c r="C524" s="115">
        <v>3</v>
      </c>
      <c r="D524" s="2" t="s">
        <v>432</v>
      </c>
      <c r="E524" s="115"/>
      <c r="F524" s="18">
        <f>1071609.62-F529</f>
        <v>857287.70000000007</v>
      </c>
      <c r="G524" s="18">
        <f>667305.08-G529</f>
        <v>533844.05999999994</v>
      </c>
      <c r="H524" s="18">
        <f>1113815.81-H529</f>
        <v>891052.74800000002</v>
      </c>
      <c r="I524" s="18">
        <f>9344.65-I529</f>
        <v>7475.7199999999993</v>
      </c>
      <c r="J524" s="18">
        <f>4948.77-J529</f>
        <v>3959.0160000000005</v>
      </c>
      <c r="K524" s="18">
        <f>1326.7-K529</f>
        <v>1061.3600000000001</v>
      </c>
      <c r="L524" s="88">
        <f>SUM(F524:K524)</f>
        <v>2294680.6039999998</v>
      </c>
      <c r="N524" s="264"/>
    </row>
    <row r="525" spans="1:14" s="52" customFormat="1" ht="12.2" customHeight="1" thickTop="1" x14ac:dyDescent="0.2">
      <c r="A525" s="139" t="s">
        <v>63</v>
      </c>
      <c r="B525" s="107">
        <v>21</v>
      </c>
      <c r="C525" s="194">
        <v>4</v>
      </c>
      <c r="D525" s="195" t="s">
        <v>432</v>
      </c>
      <c r="E525" s="194"/>
      <c r="F525" s="108">
        <f>SUM(F522:F524)</f>
        <v>3290372.26</v>
      </c>
      <c r="G525" s="108">
        <f t="shared" ref="G525:L525" si="36">SUM(G522:G524)</f>
        <v>2220290.7800000003</v>
      </c>
      <c r="H525" s="108">
        <f t="shared" si="36"/>
        <v>1675030.7319999998</v>
      </c>
      <c r="I525" s="108">
        <f t="shared" si="36"/>
        <v>31305.616000000002</v>
      </c>
      <c r="J525" s="108">
        <f t="shared" si="36"/>
        <v>13543.848000000002</v>
      </c>
      <c r="K525" s="108">
        <f t="shared" si="36"/>
        <v>2521.5600000000004</v>
      </c>
      <c r="L525" s="89">
        <f t="shared" si="36"/>
        <v>7233064.7960000001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406506.4</f>
        <v>406506.4</v>
      </c>
      <c r="G527" s="18">
        <v>272787.07</v>
      </c>
      <c r="H527" s="18">
        <f>430984.18*0.2</f>
        <v>86196.83600000001</v>
      </c>
      <c r="I527" s="18">
        <f>20964.01*0.2</f>
        <v>4192.8019999999997</v>
      </c>
      <c r="J527" s="18">
        <f>7684.24*0.2</f>
        <v>1536.848</v>
      </c>
      <c r="K527" s="18">
        <f>998.18*0.2</f>
        <v>199.636</v>
      </c>
      <c r="L527" s="88">
        <f>SUM(F527:K527)</f>
        <v>771419.59200000006</v>
      </c>
      <c r="M527" s="8"/>
      <c r="N527" s="265"/>
    </row>
    <row r="528" spans="1:14" s="3" customFormat="1" ht="12.2" customHeight="1" x14ac:dyDescent="0.15">
      <c r="A528" s="22" t="s">
        <v>634</v>
      </c>
      <c r="B528" s="105">
        <v>21</v>
      </c>
      <c r="C528" s="115">
        <v>6</v>
      </c>
      <c r="D528" s="2" t="s">
        <v>432</v>
      </c>
      <c r="E528" s="115"/>
      <c r="F528" s="18">
        <v>201764.74</v>
      </c>
      <c r="G528" s="18">
        <v>148824.60999999999</v>
      </c>
      <c r="H528" s="18">
        <f>548988.3*0.2</f>
        <v>109797.66000000002</v>
      </c>
      <c r="I528" s="18">
        <f>8823.36*0.2</f>
        <v>1764.6720000000003</v>
      </c>
      <c r="J528" s="18">
        <f>4296.8*0.2</f>
        <v>859.36000000000013</v>
      </c>
      <c r="K528" s="18">
        <f>827.07*0.2</f>
        <v>165.41400000000002</v>
      </c>
      <c r="L528" s="88">
        <f>SUM(F528:K528)</f>
        <v>463176.45600000001</v>
      </c>
      <c r="M528" s="8"/>
      <c r="N528" s="265"/>
    </row>
    <row r="529" spans="1:14" s="3" customFormat="1" ht="12.2" customHeight="1" thickBot="1" x14ac:dyDescent="0.2">
      <c r="A529" s="22" t="s">
        <v>635</v>
      </c>
      <c r="B529" s="118">
        <v>21</v>
      </c>
      <c r="C529" s="118">
        <v>7</v>
      </c>
      <c r="D529" s="2" t="s">
        <v>432</v>
      </c>
      <c r="E529" s="118"/>
      <c r="F529" s="18">
        <f>214321.92</f>
        <v>214321.92000000001</v>
      </c>
      <c r="G529" s="18">
        <f>133461.02</f>
        <v>133461.01999999999</v>
      </c>
      <c r="H529" s="18">
        <f>1113815.31*0.2</f>
        <v>222763.06200000003</v>
      </c>
      <c r="I529" s="18">
        <f>9344.65*0.2</f>
        <v>1868.93</v>
      </c>
      <c r="J529" s="18">
        <f>4948.77*0.2</f>
        <v>989.75400000000013</v>
      </c>
      <c r="K529" s="18">
        <f>1326.7*0.2</f>
        <v>265.34000000000003</v>
      </c>
      <c r="L529" s="88">
        <f>SUM(F529:K529)</f>
        <v>573670.02600000007</v>
      </c>
      <c r="M529" s="8"/>
      <c r="N529" s="265"/>
    </row>
    <row r="530" spans="1:14" s="3" customFormat="1" ht="12.2" customHeight="1" thickTop="1" x14ac:dyDescent="0.15">
      <c r="A530" s="139" t="s">
        <v>65</v>
      </c>
      <c r="B530" s="107">
        <v>21</v>
      </c>
      <c r="C530" s="107">
        <v>8</v>
      </c>
      <c r="D530" s="158" t="s">
        <v>432</v>
      </c>
      <c r="E530" s="107"/>
      <c r="F530" s="89">
        <f>SUM(F527:F529)</f>
        <v>822593.06</v>
      </c>
      <c r="G530" s="89">
        <f t="shared" ref="G530:L530" si="37">SUM(G527:G529)</f>
        <v>555072.69999999995</v>
      </c>
      <c r="H530" s="89">
        <f t="shared" si="37"/>
        <v>418757.55800000008</v>
      </c>
      <c r="I530" s="89">
        <f t="shared" si="37"/>
        <v>7826.4040000000005</v>
      </c>
      <c r="J530" s="89">
        <f t="shared" si="37"/>
        <v>3385.9620000000004</v>
      </c>
      <c r="K530" s="89">
        <f t="shared" si="37"/>
        <v>630.3900000000001</v>
      </c>
      <c r="L530" s="89">
        <f t="shared" si="37"/>
        <v>1808266.074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50925</f>
        <v>50925</v>
      </c>
      <c r="G532" s="18">
        <f>F532*0.28</f>
        <v>14259.000000000002</v>
      </c>
      <c r="H532" s="18"/>
      <c r="I532" s="18"/>
      <c r="J532" s="18"/>
      <c r="K532" s="18"/>
      <c r="L532" s="88">
        <f>SUM(F532:K532)</f>
        <v>65184</v>
      </c>
      <c r="M532" s="8"/>
      <c r="N532" s="265"/>
    </row>
    <row r="533" spans="1:14" s="3" customFormat="1" ht="12.2" customHeight="1" x14ac:dyDescent="0.15">
      <c r="A533" s="22" t="s">
        <v>634</v>
      </c>
      <c r="B533" s="105">
        <v>21</v>
      </c>
      <c r="C533" s="105">
        <v>10</v>
      </c>
      <c r="D533" s="2" t="s">
        <v>432</v>
      </c>
      <c r="E533" s="105"/>
      <c r="F533" s="18">
        <f>42195</f>
        <v>42195</v>
      </c>
      <c r="G533" s="18">
        <f>F533*0.28</f>
        <v>11814.6</v>
      </c>
      <c r="H533" s="18"/>
      <c r="I533" s="18"/>
      <c r="J533" s="18"/>
      <c r="K533" s="18"/>
      <c r="L533" s="88">
        <f>SUM(F533:K533)</f>
        <v>54009.599999999999</v>
      </c>
      <c r="M533" s="8"/>
      <c r="N533" s="265"/>
    </row>
    <row r="534" spans="1:14" s="3" customFormat="1" ht="12.2" customHeight="1" thickBot="1" x14ac:dyDescent="0.2">
      <c r="A534" s="22" t="s">
        <v>635</v>
      </c>
      <c r="B534" s="105">
        <v>21</v>
      </c>
      <c r="C534" s="105">
        <v>11</v>
      </c>
      <c r="D534" s="2" t="s">
        <v>432</v>
      </c>
      <c r="E534" s="105"/>
      <c r="F534" s="18">
        <f>52380</f>
        <v>52380</v>
      </c>
      <c r="G534" s="18">
        <f>F534*0.28</f>
        <v>14666.400000000001</v>
      </c>
      <c r="H534" s="18"/>
      <c r="I534" s="18"/>
      <c r="J534" s="18"/>
      <c r="K534" s="18"/>
      <c r="L534" s="88">
        <f>SUM(F534:K534)</f>
        <v>67046.399999999994</v>
      </c>
      <c r="M534" s="8"/>
      <c r="N534" s="265"/>
    </row>
    <row r="535" spans="1:14" s="3" customFormat="1" ht="12.2" customHeight="1" thickTop="1" x14ac:dyDescent="0.15">
      <c r="A535" s="139" t="s">
        <v>67</v>
      </c>
      <c r="B535" s="107">
        <v>21</v>
      </c>
      <c r="C535" s="107">
        <v>12</v>
      </c>
      <c r="D535" s="158" t="s">
        <v>432</v>
      </c>
      <c r="E535" s="107"/>
      <c r="F535" s="89">
        <f>SUM(F532:F534)</f>
        <v>145500</v>
      </c>
      <c r="G535" s="89">
        <f t="shared" ref="G535:L535" si="38">SUM(G532:G534)</f>
        <v>40740</v>
      </c>
      <c r="H535" s="89">
        <f t="shared" si="38"/>
        <v>0</v>
      </c>
      <c r="I535" s="89">
        <f t="shared" si="38"/>
        <v>0</v>
      </c>
      <c r="J535" s="89">
        <f t="shared" si="38"/>
        <v>0</v>
      </c>
      <c r="K535" s="89">
        <f t="shared" si="38"/>
        <v>0</v>
      </c>
      <c r="L535" s="89">
        <f t="shared" si="38"/>
        <v>186240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2800</v>
      </c>
      <c r="I537" s="18"/>
      <c r="J537" s="18"/>
      <c r="K537" s="18"/>
      <c r="L537" s="88">
        <f>SUM(F537:K537)</f>
        <v>2800</v>
      </c>
      <c r="M537" s="8"/>
      <c r="N537" s="265"/>
    </row>
    <row r="538" spans="1:14" s="3" customFormat="1" ht="12.2" customHeight="1" x14ac:dyDescent="0.15">
      <c r="A538" s="22" t="s">
        <v>634</v>
      </c>
      <c r="B538" s="105">
        <v>21</v>
      </c>
      <c r="C538" s="105">
        <v>14</v>
      </c>
      <c r="D538" s="2" t="s">
        <v>432</v>
      </c>
      <c r="E538" s="105"/>
      <c r="F538" s="18"/>
      <c r="G538" s="18"/>
      <c r="H538" s="18">
        <v>2320</v>
      </c>
      <c r="I538" s="18"/>
      <c r="J538" s="18"/>
      <c r="K538" s="18"/>
      <c r="L538" s="88">
        <f>SUM(F538:K538)</f>
        <v>2320</v>
      </c>
      <c r="M538" s="8"/>
      <c r="N538" s="265"/>
    </row>
    <row r="539" spans="1:14" s="3" customFormat="1" ht="12.2" customHeight="1" thickBot="1" x14ac:dyDescent="0.2">
      <c r="A539" s="22" t="s">
        <v>635</v>
      </c>
      <c r="B539" s="105">
        <v>21</v>
      </c>
      <c r="C539" s="105">
        <v>15</v>
      </c>
      <c r="D539" s="2" t="s">
        <v>432</v>
      </c>
      <c r="E539" s="105"/>
      <c r="F539" s="18"/>
      <c r="G539" s="18"/>
      <c r="H539" s="18">
        <v>2880</v>
      </c>
      <c r="I539" s="18"/>
      <c r="J539" s="18"/>
      <c r="K539" s="18"/>
      <c r="L539" s="88">
        <f>SUM(F539:K539)</f>
        <v>2880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8000</v>
      </c>
      <c r="I540" s="89">
        <f t="shared" si="39"/>
        <v>0</v>
      </c>
      <c r="J540" s="89">
        <f t="shared" si="39"/>
        <v>0</v>
      </c>
      <c r="K540" s="89">
        <f t="shared" si="39"/>
        <v>0</v>
      </c>
      <c r="L540" s="89">
        <f t="shared" si="39"/>
        <v>8000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4">
        <v>28102.1</v>
      </c>
      <c r="G542" s="4">
        <v>4029.94</v>
      </c>
      <c r="H542" s="4">
        <v>8140.53</v>
      </c>
      <c r="I542" s="4">
        <v>30742.17</v>
      </c>
      <c r="J542" s="18"/>
      <c r="K542" s="18"/>
      <c r="L542" s="88">
        <f>SUM(F542:K542)</f>
        <v>71014.739999999991</v>
      </c>
      <c r="M542" s="8"/>
      <c r="N542" s="265"/>
    </row>
    <row r="543" spans="1:14" s="3" customFormat="1" ht="12.2" customHeight="1" x14ac:dyDescent="0.15">
      <c r="A543" s="22" t="s">
        <v>634</v>
      </c>
      <c r="B543" s="105">
        <v>21</v>
      </c>
      <c r="C543" s="105">
        <v>18</v>
      </c>
      <c r="D543" s="2" t="s">
        <v>432</v>
      </c>
      <c r="E543" s="105"/>
      <c r="F543" s="18">
        <v>23284.6</v>
      </c>
      <c r="G543" s="18">
        <v>3339.09</v>
      </c>
      <c r="H543" s="18">
        <v>6745.01</v>
      </c>
      <c r="I543" s="18">
        <v>3427.25</v>
      </c>
      <c r="J543" s="18"/>
      <c r="K543" s="18"/>
      <c r="L543" s="88">
        <f>SUM(F543:K543)</f>
        <v>36795.949999999997</v>
      </c>
      <c r="M543" s="8"/>
      <c r="N543" s="265"/>
    </row>
    <row r="544" spans="1:14" s="3" customFormat="1" ht="12.2" customHeight="1" thickBot="1" x14ac:dyDescent="0.2">
      <c r="A544" s="22" t="s">
        <v>635</v>
      </c>
      <c r="B544" s="105">
        <v>21</v>
      </c>
      <c r="C544" s="105">
        <v>19</v>
      </c>
      <c r="D544" s="2" t="s">
        <v>432</v>
      </c>
      <c r="E544" s="105"/>
      <c r="F544" s="18">
        <v>28905.02</v>
      </c>
      <c r="G544" s="18">
        <v>4145.08</v>
      </c>
      <c r="H544" s="18">
        <v>8373.1200000000008</v>
      </c>
      <c r="I544" s="18">
        <v>4254.5200000000004</v>
      </c>
      <c r="J544" s="18"/>
      <c r="K544" s="18"/>
      <c r="L544" s="88">
        <f>SUM(F544:K544)</f>
        <v>45677.740000000005</v>
      </c>
      <c r="M544" s="8"/>
      <c r="N544" s="265"/>
    </row>
    <row r="545" spans="1:14" s="3" customFormat="1" ht="12.2" customHeight="1" thickTop="1" thickBot="1" x14ac:dyDescent="0.2">
      <c r="A545" s="130" t="s">
        <v>71</v>
      </c>
      <c r="B545" s="190">
        <v>21</v>
      </c>
      <c r="C545" s="190">
        <v>20</v>
      </c>
      <c r="D545" s="191" t="s">
        <v>432</v>
      </c>
      <c r="E545" s="190"/>
      <c r="F545" s="192">
        <f>SUM(F543:F544)</f>
        <v>52189.619999999995</v>
      </c>
      <c r="G545" s="192">
        <f>SUM(G543:G544)</f>
        <v>7484.17</v>
      </c>
      <c r="H545" s="192">
        <f>SUM(H543:H544)</f>
        <v>15118.130000000001</v>
      </c>
      <c r="I545" s="192">
        <f>SUM(I543:I544)</f>
        <v>7681.77</v>
      </c>
      <c r="J545" s="192">
        <f t="shared" ref="J545:L545" si="40">SUM(J542:J544)</f>
        <v>0</v>
      </c>
      <c r="K545" s="192">
        <f t="shared" si="40"/>
        <v>0</v>
      </c>
      <c r="L545" s="192">
        <f t="shared" si="40"/>
        <v>153488.43</v>
      </c>
      <c r="M545" s="8"/>
      <c r="N545" s="265"/>
    </row>
    <row r="546" spans="1:14" s="3" customFormat="1" ht="12.2" customHeight="1" thickTop="1" x14ac:dyDescent="0.15">
      <c r="A546" s="98" t="s">
        <v>72</v>
      </c>
      <c r="B546" s="107">
        <v>21</v>
      </c>
      <c r="C546" s="107">
        <v>21</v>
      </c>
      <c r="D546" s="158" t="s">
        <v>432</v>
      </c>
      <c r="E546" s="107"/>
      <c r="F546" s="89">
        <f>F525+F530+F535+F540+F545</f>
        <v>4310654.9400000004</v>
      </c>
      <c r="G546" s="89">
        <f t="shared" ref="G546:L546" si="41">G525+G530+G535+G540+G545</f>
        <v>2823587.6500000004</v>
      </c>
      <c r="H546" s="89">
        <f t="shared" si="41"/>
        <v>2116906.42</v>
      </c>
      <c r="I546" s="89">
        <f t="shared" si="41"/>
        <v>46813.790000000008</v>
      </c>
      <c r="J546" s="89">
        <f t="shared" si="41"/>
        <v>16929.810000000001</v>
      </c>
      <c r="K546" s="89">
        <f t="shared" si="41"/>
        <v>3151.9500000000007</v>
      </c>
      <c r="L546" s="89">
        <f t="shared" si="41"/>
        <v>9389059.3000000007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3085678.3680000002</v>
      </c>
      <c r="G550" s="87">
        <f>L527</f>
        <v>771419.59200000006</v>
      </c>
      <c r="H550" s="87">
        <f>L532</f>
        <v>65184</v>
      </c>
      <c r="I550" s="87">
        <f>L537</f>
        <v>2800</v>
      </c>
      <c r="J550" s="87">
        <f>L542</f>
        <v>71014.739999999991</v>
      </c>
      <c r="K550" s="87">
        <f>SUM(F550:J550)</f>
        <v>3996096.7</v>
      </c>
      <c r="L550" s="24" t="s">
        <v>288</v>
      </c>
      <c r="M550" s="8"/>
      <c r="N550" s="265"/>
    </row>
    <row r="551" spans="1:14" s="3" customFormat="1" ht="12.2" customHeight="1" x14ac:dyDescent="0.15">
      <c r="A551" s="22" t="s">
        <v>634</v>
      </c>
      <c r="B551" s="75">
        <v>21</v>
      </c>
      <c r="C551" s="75">
        <v>23</v>
      </c>
      <c r="D551" s="2" t="s">
        <v>432</v>
      </c>
      <c r="E551" s="75"/>
      <c r="F551" s="87">
        <f>L523</f>
        <v>1852705.824</v>
      </c>
      <c r="G551" s="87">
        <f>L528</f>
        <v>463176.45600000001</v>
      </c>
      <c r="H551" s="87">
        <f>L533</f>
        <v>54009.599999999999</v>
      </c>
      <c r="I551" s="87">
        <f>L538</f>
        <v>2320</v>
      </c>
      <c r="J551" s="87">
        <f>L543</f>
        <v>36795.949999999997</v>
      </c>
      <c r="K551" s="87">
        <f>SUM(F551:J551)</f>
        <v>2409007.8300000005</v>
      </c>
      <c r="L551" s="24" t="s">
        <v>288</v>
      </c>
      <c r="M551" s="8"/>
      <c r="N551" s="265"/>
    </row>
    <row r="552" spans="1:14" s="3" customFormat="1" ht="12.2" customHeight="1" thickBot="1" x14ac:dyDescent="0.2">
      <c r="A552" s="22" t="s">
        <v>635</v>
      </c>
      <c r="B552" s="75">
        <v>21</v>
      </c>
      <c r="C552" s="75">
        <v>24</v>
      </c>
      <c r="D552" s="2" t="s">
        <v>432</v>
      </c>
      <c r="E552" s="75"/>
      <c r="F552" s="87">
        <f>L524</f>
        <v>2294680.6039999998</v>
      </c>
      <c r="G552" s="87">
        <f>L529</f>
        <v>573670.02600000007</v>
      </c>
      <c r="H552" s="87">
        <f>L534</f>
        <v>67046.399999999994</v>
      </c>
      <c r="I552" s="87">
        <f>L539</f>
        <v>2880</v>
      </c>
      <c r="J552" s="87">
        <f>L544</f>
        <v>45677.740000000005</v>
      </c>
      <c r="K552" s="87">
        <f>SUM(F552:J552)</f>
        <v>2983954.77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7233064.7960000001</v>
      </c>
      <c r="G553" s="89">
        <f t="shared" si="42"/>
        <v>1808266.074</v>
      </c>
      <c r="H553" s="89">
        <f t="shared" si="42"/>
        <v>186240</v>
      </c>
      <c r="I553" s="89">
        <f t="shared" si="42"/>
        <v>8000</v>
      </c>
      <c r="J553" s="89">
        <f t="shared" si="42"/>
        <v>153488.43</v>
      </c>
      <c r="K553" s="89">
        <f t="shared" si="42"/>
        <v>9389059.3000000007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23478</v>
      </c>
      <c r="H576" s="18">
        <v>73250</v>
      </c>
      <c r="I576" s="87">
        <f>SUM(F576:H576)</f>
        <v>96728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33668.79</v>
      </c>
      <c r="G580" s="18"/>
      <c r="H580" s="18"/>
      <c r="I580" s="87">
        <f t="shared" si="47"/>
        <v>33668.79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70361.14</v>
      </c>
      <c r="G581" s="18">
        <v>110004.9</v>
      </c>
      <c r="H581" s="18">
        <f>296777.15-55324.2</f>
        <v>241452.95</v>
      </c>
      <c r="I581" s="87">
        <f t="shared" si="47"/>
        <v>421818.99</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199341.42</v>
      </c>
      <c r="H583" s="18">
        <f>285331.67+55324</f>
        <v>340655.67</v>
      </c>
      <c r="I583" s="87">
        <f t="shared" si="47"/>
        <v>539997.09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98991.14</v>
      </c>
      <c r="G584" s="18">
        <v>50758.26</v>
      </c>
      <c r="H584" s="18">
        <v>270751.53000000003</v>
      </c>
      <c r="I584" s="87">
        <f t="shared" si="47"/>
        <v>420500.93000000005</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503490.01</v>
      </c>
      <c r="I586" s="87">
        <f t="shared" si="47"/>
        <v>503490.01</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234878.35+65626.61</f>
        <v>300504.96000000002</v>
      </c>
      <c r="I592" s="18">
        <f>194613.49+54376.33</f>
        <v>248989.82</v>
      </c>
      <c r="J592" s="18">
        <f>241589.16+67501.65</f>
        <v>309090.81</v>
      </c>
      <c r="K592" s="104">
        <f t="shared" ref="K592:K598" si="48">SUM(H592:J592)</f>
        <v>858585.59000000008</v>
      </c>
      <c r="L592" s="24" t="s">
        <v>288</v>
      </c>
      <c r="M592" s="8"/>
      <c r="N592" s="265"/>
    </row>
    <row r="593" spans="1:14" s="3" customFormat="1" ht="12.2" customHeight="1" x14ac:dyDescent="0.15">
      <c r="A593" s="3" t="s">
        <v>638</v>
      </c>
      <c r="B593" s="75">
        <v>23</v>
      </c>
      <c r="C593" s="75">
        <v>2</v>
      </c>
      <c r="D593" s="2" t="s">
        <v>432</v>
      </c>
      <c r="E593" s="75"/>
      <c r="F593" s="102">
        <v>2722</v>
      </c>
      <c r="G593" s="103" t="s">
        <v>97</v>
      </c>
      <c r="H593" s="18">
        <f>44408.91</f>
        <v>44408.91</v>
      </c>
      <c r="I593" s="18">
        <f>36795.95</f>
        <v>36795.949999999997</v>
      </c>
      <c r="J593" s="18">
        <f>45677.73</f>
        <v>45677.73</v>
      </c>
      <c r="K593" s="104">
        <f t="shared" si="48"/>
        <v>126882.59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f>16667.08</f>
        <v>16667.080000000002</v>
      </c>
      <c r="K594" s="104">
        <f t="shared" si="48"/>
        <v>16667.080000000002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f>6825.02</f>
        <v>6825.02</v>
      </c>
      <c r="J595" s="18">
        <f>52461.85</f>
        <v>52461.85</v>
      </c>
      <c r="K595" s="104">
        <f t="shared" si="48"/>
        <v>59286.869999999995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2820.87</f>
        <v>2820.87</v>
      </c>
      <c r="I596" s="18">
        <f>3151.96</f>
        <v>3151.96</v>
      </c>
      <c r="J596" s="18">
        <f>5810.17</f>
        <v>5810.17</v>
      </c>
      <c r="K596" s="104">
        <f t="shared" si="48"/>
        <v>11783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347734.74</v>
      </c>
      <c r="I599" s="108">
        <f>SUM(I592:I598)</f>
        <v>295762.75000000006</v>
      </c>
      <c r="J599" s="108">
        <f>SUM(J592:J598)</f>
        <v>429707.63999999996</v>
      </c>
      <c r="K599" s="108">
        <f>SUM(K592:K598)</f>
        <v>1073205.1299999999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224648.92-13168.4</f>
        <v>211480.52000000002</v>
      </c>
      <c r="I605" s="18">
        <f>126593.81-10910.96</f>
        <v>115682.85</v>
      </c>
      <c r="J605" s="18">
        <f>260440.58-13544.62</f>
        <v>246895.96</v>
      </c>
      <c r="K605" s="104">
        <f>SUM(H605:J605)</f>
        <v>574059.32999999996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211480.52000000002</v>
      </c>
      <c r="I606" s="108">
        <f>SUM(I603:I605)</f>
        <v>115682.85</v>
      </c>
      <c r="J606" s="108">
        <f>SUM(J603:J605)</f>
        <v>246895.96</v>
      </c>
      <c r="K606" s="108">
        <f>SUM(K603:K605)</f>
        <v>574059.32999999996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6850</f>
        <v>6850</v>
      </c>
      <c r="G612" s="18">
        <f>1581.03</f>
        <v>1581.03</v>
      </c>
      <c r="H612" s="18"/>
      <c r="I612" s="18">
        <f>907.4</f>
        <v>907.4</v>
      </c>
      <c r="J612" s="18"/>
      <c r="K612" s="18"/>
      <c r="L612" s="88">
        <f>SUM(F612:K612)</f>
        <v>9338.43</v>
      </c>
      <c r="M612" s="8"/>
      <c r="N612" s="265"/>
    </row>
    <row r="613" spans="1:14" s="3" customFormat="1" ht="12.2" customHeight="1" x14ac:dyDescent="0.15">
      <c r="A613" s="22" t="s">
        <v>634</v>
      </c>
      <c r="B613" s="75">
        <v>23</v>
      </c>
      <c r="C613" s="75">
        <v>14</v>
      </c>
      <c r="D613" s="2" t="s">
        <v>432</v>
      </c>
      <c r="E613" s="75"/>
      <c r="F613" s="18">
        <f>41864.16</f>
        <v>41864.160000000003</v>
      </c>
      <c r="G613" s="18">
        <f>11077.47</f>
        <v>11077.47</v>
      </c>
      <c r="H613" s="18"/>
      <c r="I613" s="18">
        <f>902.6</f>
        <v>902.6</v>
      </c>
      <c r="J613" s="18"/>
      <c r="K613" s="18"/>
      <c r="L613" s="88">
        <f>SUM(F613:K613)</f>
        <v>53844.23</v>
      </c>
      <c r="M613" s="8"/>
      <c r="N613" s="265"/>
    </row>
    <row r="614" spans="1:14" s="3" customFormat="1" ht="12.2" customHeight="1" thickBot="1" x14ac:dyDescent="0.2">
      <c r="A614" s="22" t="s">
        <v>645</v>
      </c>
      <c r="B614" s="75">
        <v>23</v>
      </c>
      <c r="C614" s="75">
        <v>15</v>
      </c>
      <c r="D614" s="2" t="s">
        <v>432</v>
      </c>
      <c r="E614" s="75"/>
      <c r="F614" s="18">
        <f>67542.1</f>
        <v>67542.100000000006</v>
      </c>
      <c r="G614" s="18">
        <f>19446.83</f>
        <v>19446.830000000002</v>
      </c>
      <c r="H614" s="18"/>
      <c r="I614" s="18">
        <f>1225.96</f>
        <v>1225.96</v>
      </c>
      <c r="J614" s="18"/>
      <c r="K614" s="18"/>
      <c r="L614" s="88">
        <f>SUM(F614:K614)</f>
        <v>88214.890000000014</v>
      </c>
      <c r="M614" s="8"/>
      <c r="N614" s="265"/>
    </row>
    <row r="615" spans="1:14" s="3" customFormat="1" ht="12.2" customHeight="1" thickTop="1" x14ac:dyDescent="0.15">
      <c r="A615" s="98" t="s">
        <v>340</v>
      </c>
      <c r="B615" s="107">
        <v>23</v>
      </c>
      <c r="C615" s="107">
        <v>16</v>
      </c>
      <c r="D615" s="39" t="s">
        <v>432</v>
      </c>
      <c r="E615" s="107"/>
      <c r="F615" s="108">
        <f t="shared" ref="F615:L615" si="49">SUM(F612:F614)</f>
        <v>116256.26000000001</v>
      </c>
      <c r="G615" s="108">
        <f t="shared" si="49"/>
        <v>32105.33</v>
      </c>
      <c r="H615" s="108">
        <f t="shared" si="49"/>
        <v>0</v>
      </c>
      <c r="I615" s="108">
        <f t="shared" si="49"/>
        <v>3035.96</v>
      </c>
      <c r="J615" s="108">
        <f t="shared" si="49"/>
        <v>0</v>
      </c>
      <c r="K615" s="108">
        <f t="shared" si="49"/>
        <v>0</v>
      </c>
      <c r="L615" s="89">
        <f t="shared" si="49"/>
        <v>151397.55000000002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3553627.7800000003</v>
      </c>
      <c r="H618" s="109">
        <f>SUM(F52)</f>
        <v>3553627.7800000003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157664.73000000001</v>
      </c>
      <c r="H619" s="109">
        <f>SUM(G52)</f>
        <v>157664.73000000001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178097.74</v>
      </c>
      <c r="H620" s="109">
        <f>SUM(H52)</f>
        <v>178097.74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3890524.5</v>
      </c>
      <c r="H622" s="109">
        <f>SUM(J52)</f>
        <v>3890524.5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3480462.62</v>
      </c>
      <c r="H623" s="109">
        <f>F477</f>
        <v>3480462.6200000048</v>
      </c>
      <c r="I623" s="121" t="s">
        <v>101</v>
      </c>
      <c r="J623" s="109">
        <f t="shared" ref="J623:J656" si="50">G623-H623</f>
        <v>-4.6566128730773926E-9</v>
      </c>
      <c r="K623" s="109"/>
      <c r="L623" s="109"/>
      <c r="M623" s="8"/>
    </row>
    <row r="624" spans="1:14" s="3" customFormat="1" ht="12.2" customHeight="1" x14ac:dyDescent="0.15">
      <c r="A624" s="97"/>
      <c r="B624" s="105"/>
      <c r="C624" s="119"/>
      <c r="D624" s="119"/>
      <c r="E624" s="119"/>
      <c r="F624" s="119" t="s">
        <v>866</v>
      </c>
      <c r="G624" s="109">
        <f>G51</f>
        <v>133955.13</v>
      </c>
      <c r="H624" s="109">
        <f>G477</f>
        <v>133955.13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242398.68</v>
      </c>
      <c r="H625" s="109">
        <f>H477</f>
        <v>242398.67950000009</v>
      </c>
      <c r="I625" s="121" t="s">
        <v>103</v>
      </c>
      <c r="J625" s="109">
        <f t="shared" si="50"/>
        <v>4.9999990733340383E-4</v>
      </c>
      <c r="K625" s="109"/>
      <c r="L625" s="109"/>
      <c r="M625" s="8"/>
    </row>
    <row r="626" spans="1:13" s="3" customFormat="1" ht="12.2" customHeight="1" x14ac:dyDescent="0.15">
      <c r="A626" s="97"/>
      <c r="B626" s="105"/>
      <c r="C626" s="105"/>
      <c r="D626" s="105"/>
      <c r="E626" s="105"/>
      <c r="F626" s="120" t="s">
        <v>868</v>
      </c>
      <c r="G626" s="109">
        <f>I51</f>
        <v>-443103.19</v>
      </c>
      <c r="H626" s="109">
        <f>I477</f>
        <v>-443103.19</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3890524.5</v>
      </c>
      <c r="H627" s="109">
        <f>J477</f>
        <v>3890524.5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44403046.329999998</v>
      </c>
      <c r="H628" s="104">
        <f>SUM(F469)</f>
        <v>44403046.329999998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899931.75</v>
      </c>
      <c r="H629" s="104">
        <f>SUM(G469)</f>
        <v>899931.75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1240668.28</v>
      </c>
      <c r="H630" s="104">
        <f>SUM(H469)</f>
        <v>1240668.28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640769.63</v>
      </c>
      <c r="H632" s="104">
        <f>SUM(J469)</f>
        <v>640769.63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44543027.239999995</v>
      </c>
      <c r="H633" s="104">
        <f>SUM(F473)</f>
        <v>44543027.239999995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1215195.1405</v>
      </c>
      <c r="H634" s="104">
        <f>SUM(H473)</f>
        <v>1215195.1405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435360.37</v>
      </c>
      <c r="H635" s="104">
        <f>I370</f>
        <v>435360.37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769667.2</v>
      </c>
      <c r="H636" s="104">
        <f>SUM(G473)</f>
        <v>769667.2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443102.93</v>
      </c>
      <c r="H637" s="104">
        <f>SUM(I473)</f>
        <v>443102.93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640769.63000000012</v>
      </c>
      <c r="H638" s="164">
        <f>SUM(J469)</f>
        <v>640769.63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139949.34</v>
      </c>
      <c r="H639" s="164">
        <f>SUM(J473)</f>
        <v>139949.34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3890524.5</v>
      </c>
      <c r="H640" s="104">
        <f>SUM(F462)</f>
        <v>3890524.5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3890524.5</v>
      </c>
      <c r="H643" s="104">
        <f>SUM(I462)</f>
        <v>3890524.5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42214.99</v>
      </c>
      <c r="H645" s="104">
        <f>H409</f>
        <v>42214.99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800000</v>
      </c>
      <c r="H646" s="104">
        <f>G409</f>
        <v>800000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640769.63</v>
      </c>
      <c r="H647" s="104">
        <f>L409</f>
        <v>640769.63000000012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1073205.1299999999</v>
      </c>
      <c r="H648" s="104">
        <f>L209+L227+L245</f>
        <v>1073205.1299999999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574059.32999999996</v>
      </c>
      <c r="H649" s="104">
        <f>(J258+J339)-(J256+J337)</f>
        <v>574059.32649999997</v>
      </c>
      <c r="I649" s="140" t="s">
        <v>699</v>
      </c>
      <c r="J649" s="109">
        <f t="shared" si="50"/>
        <v>3.4999999916180968E-3</v>
      </c>
      <c r="K649" s="85"/>
      <c r="L649" s="88"/>
      <c r="M649" s="8"/>
    </row>
    <row r="650" spans="1:13" s="3" customFormat="1" ht="12.2" customHeight="1" x14ac:dyDescent="0.15">
      <c r="A650" s="22"/>
      <c r="B650" s="105"/>
      <c r="C650" s="105"/>
      <c r="D650" s="105"/>
      <c r="E650" s="105"/>
      <c r="F650" s="120" t="s">
        <v>387</v>
      </c>
      <c r="G650" s="109">
        <f>L209</f>
        <v>347734.73950000003</v>
      </c>
      <c r="H650" s="104">
        <f>H599</f>
        <v>347734.74</v>
      </c>
      <c r="I650" s="140" t="s">
        <v>388</v>
      </c>
      <c r="J650" s="109">
        <f t="shared" si="50"/>
        <v>-4.9999996554106474E-4</v>
      </c>
      <c r="K650" s="85"/>
      <c r="L650" s="88"/>
      <c r="M650" s="8"/>
    </row>
    <row r="651" spans="1:13" s="3" customFormat="1" ht="12.2" customHeight="1" x14ac:dyDescent="0.15">
      <c r="A651" s="22"/>
      <c r="B651" s="105"/>
      <c r="C651" s="105"/>
      <c r="D651" s="105"/>
      <c r="E651" s="105"/>
      <c r="F651" s="120" t="s">
        <v>392</v>
      </c>
      <c r="G651" s="109">
        <f>L227</f>
        <v>295762.74929999997</v>
      </c>
      <c r="H651" s="104">
        <f>I599</f>
        <v>295762.75000000006</v>
      </c>
      <c r="I651" s="140" t="s">
        <v>389</v>
      </c>
      <c r="J651" s="109">
        <f t="shared" si="50"/>
        <v>-7.0000009145587683E-4</v>
      </c>
      <c r="K651" s="85"/>
      <c r="L651" s="88"/>
      <c r="M651" s="8"/>
    </row>
    <row r="652" spans="1:13" s="3" customFormat="1" ht="12.2" customHeight="1" x14ac:dyDescent="0.15">
      <c r="A652" s="22"/>
      <c r="B652" s="105"/>
      <c r="C652" s="105"/>
      <c r="D652" s="105"/>
      <c r="E652" s="105"/>
      <c r="F652" s="120" t="s">
        <v>393</v>
      </c>
      <c r="G652" s="109">
        <f>L245</f>
        <v>429707.64119999995</v>
      </c>
      <c r="H652" s="104">
        <f>J599</f>
        <v>429707.63999999996</v>
      </c>
      <c r="I652" s="140" t="s">
        <v>390</v>
      </c>
      <c r="J652" s="109">
        <f t="shared" si="50"/>
        <v>1.1999999987892807E-3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800000</v>
      </c>
      <c r="H656" s="104">
        <f>K267+K348</f>
        <v>800000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4.0000081062316895E-3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16395636.923</v>
      </c>
      <c r="G661" s="19">
        <f>(L230+L310+L360)</f>
        <v>11915516.4691</v>
      </c>
      <c r="H661" s="19">
        <f>(L248+L329+L361)</f>
        <v>15148290.1084</v>
      </c>
      <c r="I661" s="19">
        <f>SUM(F661:H661)</f>
        <v>43459443.500500001</v>
      </c>
      <c r="J661" s="13"/>
      <c r="K661" s="13"/>
      <c r="L661" s="13"/>
      <c r="M661" s="9"/>
    </row>
    <row r="662" spans="1:13" s="3" customFormat="1" ht="12.2" customHeight="1" x14ac:dyDescent="0.2">
      <c r="A662" s="1" t="s">
        <v>127</v>
      </c>
      <c r="F662" s="19">
        <f>(L359/IF(SUM(L359:L361)=0,1,SUM(L359:L361))*(SUM(G97:G110)))</f>
        <v>21668.527999999998</v>
      </c>
      <c r="G662" s="19">
        <f>(L360/IF(SUM(L359:L361)=0,1,SUM(L359:L361))*(SUM(G97:G110)))</f>
        <v>17953.923360874938</v>
      </c>
      <c r="H662" s="19">
        <f>(L361/IF(SUM(L359:L361)=0,1,SUM(L359:L361))*(SUM(G97:G110)))</f>
        <v>22287.628639125069</v>
      </c>
      <c r="I662" s="19">
        <f>SUM(F662:H662)</f>
        <v>61910.080000000009</v>
      </c>
      <c r="J662"/>
      <c r="K662" s="13"/>
      <c r="L662" s="13"/>
      <c r="M662" s="8"/>
    </row>
    <row r="663" spans="1:13" s="3" customFormat="1" ht="12.2" customHeight="1" x14ac:dyDescent="0.2">
      <c r="A663" s="1" t="s">
        <v>128</v>
      </c>
      <c r="F663" s="19">
        <f>(L209+L288)-(J209+J288)</f>
        <v>342579.22950000002</v>
      </c>
      <c r="G663" s="19">
        <f>(L227+L307)-(J227+J307)</f>
        <v>291491.04929999996</v>
      </c>
      <c r="H663" s="19">
        <f>(L245+L326)-(J245+J326)</f>
        <v>424404.84119999997</v>
      </c>
      <c r="I663" s="19">
        <f>SUM(F663:H663)</f>
        <v>1058475.1199999999</v>
      </c>
      <c r="J663"/>
      <c r="K663" s="13"/>
      <c r="L663" s="13"/>
      <c r="M663" s="9"/>
    </row>
    <row r="664" spans="1:13" s="3" customFormat="1" ht="12.2" customHeight="1" x14ac:dyDescent="0.15">
      <c r="A664" s="197" t="s">
        <v>129</v>
      </c>
      <c r="B664" s="169"/>
      <c r="C664" s="169"/>
      <c r="D664" s="169"/>
      <c r="E664" s="169"/>
      <c r="F664" s="198">
        <f>SUM(F576:F588)+SUM(H603:H605)+SUM(L612)</f>
        <v>423840.02</v>
      </c>
      <c r="G664" s="198">
        <f>SUM(G576:G588)+SUM(I603:I605)+L613</f>
        <v>553109.66</v>
      </c>
      <c r="H664" s="198">
        <f>SUM(H576:H588)+SUM(J603:J605)+L614</f>
        <v>1764711.0100000002</v>
      </c>
      <c r="I664" s="19">
        <f>SUM(F664:H664)</f>
        <v>2741660.6900000004</v>
      </c>
      <c r="J664" s="13"/>
      <c r="K664" s="13"/>
      <c r="L664" s="13"/>
      <c r="M664" s="9"/>
    </row>
    <row r="665" spans="1:13" s="3" customFormat="1" ht="12.2" customHeight="1" x14ac:dyDescent="0.15">
      <c r="A665" s="1" t="s">
        <v>130</v>
      </c>
      <c r="F665" s="19">
        <f>F661-SUM(F662:F664)</f>
        <v>15607549.145500001</v>
      </c>
      <c r="G665" s="19">
        <f>G661-SUM(G662:G664)</f>
        <v>11052961.836439125</v>
      </c>
      <c r="H665" s="19">
        <f>H661-SUM(H662:H664)</f>
        <v>12936886.628560875</v>
      </c>
      <c r="I665" s="19">
        <f>I661-SUM(I662:I664)</f>
        <v>39597397.6105</v>
      </c>
      <c r="J665" s="13"/>
      <c r="K665" s="13"/>
      <c r="L665" s="13"/>
      <c r="M665" s="8"/>
    </row>
    <row r="666" spans="1:13" s="3" customFormat="1" ht="12.2" customHeight="1" x14ac:dyDescent="0.2">
      <c r="A666" s="1" t="s">
        <v>131</v>
      </c>
      <c r="F666" s="245">
        <v>522.38</v>
      </c>
      <c r="G666" s="246">
        <v>463.89</v>
      </c>
      <c r="H666" s="246">
        <v>601.59</v>
      </c>
      <c r="I666" s="19">
        <f>SUM(F666:H666)</f>
        <v>1587.8600000000001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29877.77</v>
      </c>
      <c r="G668" s="19">
        <f>ROUND(G665/G666,2)</f>
        <v>23826.69</v>
      </c>
      <c r="H668" s="19">
        <f>ROUND(H665/H666,2)</f>
        <v>21504.49</v>
      </c>
      <c r="I668" s="19">
        <f>ROUND(I665/I666,2)</f>
        <v>24937.59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-16.22</v>
      </c>
      <c r="I671" s="19">
        <f>SUM(F671:H671)</f>
        <v>-16.22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29877.77</v>
      </c>
      <c r="G673" s="19">
        <f>ROUND((G665+G670)/(G666+G671),2)</f>
        <v>23826.69</v>
      </c>
      <c r="H673" s="19">
        <f>ROUND((H665+H670)/(H666+H671),2)</f>
        <v>22100.36</v>
      </c>
      <c r="I673" s="19">
        <f>ROUND((I665+I670)/(I666+I671),2)</f>
        <v>25194.95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9" sqref="H1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23107.510000000002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12648.75</f>
        <v>12648.75</v>
      </c>
      <c r="F9" s="349" t="s">
        <v>1644</v>
      </c>
    </row>
    <row r="10" spans="2:8" x14ac:dyDescent="0.25">
      <c r="B10" s="348"/>
      <c r="C10" s="348"/>
      <c r="D10" s="348"/>
      <c r="E10" s="348"/>
      <c r="F10" s="348"/>
    </row>
    <row r="11" spans="2:8" x14ac:dyDescent="0.25">
      <c r="B11" s="348"/>
      <c r="C11" s="352" t="s">
        <v>1648</v>
      </c>
      <c r="D11" s="349" t="s">
        <v>1651</v>
      </c>
      <c r="E11" s="336">
        <f>5931.88+4526.88</f>
        <v>10458.76</v>
      </c>
      <c r="F11" s="349" t="s">
        <v>1645</v>
      </c>
    </row>
    <row r="12" spans="2:8" x14ac:dyDescent="0.25">
      <c r="B12" s="348"/>
      <c r="C12" s="348"/>
      <c r="D12" s="349"/>
      <c r="E12" s="348"/>
      <c r="F12" s="348"/>
    </row>
    <row r="13" spans="2:8" x14ac:dyDescent="0.25">
      <c r="B13" s="348"/>
      <c r="C13" s="349" t="s">
        <v>1638</v>
      </c>
      <c r="D13" s="349" t="s">
        <v>1652</v>
      </c>
      <c r="E13" s="336">
        <v>0</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Lebanon</v>
      </c>
      <c r="C5" s="376"/>
      <c r="D5" s="376"/>
      <c r="E5" s="376"/>
      <c r="F5" s="376"/>
    </row>
    <row r="8" spans="1:9" ht="18" x14ac:dyDescent="0.25">
      <c r="A8" s="312" t="s">
        <v>1568</v>
      </c>
      <c r="F8" s="319" t="s">
        <v>1586</v>
      </c>
    </row>
    <row r="9" spans="1:9" ht="15" x14ac:dyDescent="0.2">
      <c r="A9" s="310" t="s">
        <v>1569</v>
      </c>
      <c r="B9" s="313">
        <f>'DOE25'!G97</f>
        <v>29824.6</v>
      </c>
      <c r="F9" s="310" t="s">
        <v>1582</v>
      </c>
    </row>
    <row r="10" spans="1:9" ht="15" x14ac:dyDescent="0.2">
      <c r="A10" s="310" t="s">
        <v>1570</v>
      </c>
      <c r="B10" s="313">
        <f>'DOE25'!G112-'DOE25'!G97</f>
        <v>32085.480000000003</v>
      </c>
      <c r="F10" s="310" t="s">
        <v>1583</v>
      </c>
    </row>
    <row r="11" spans="1:9" ht="15" x14ac:dyDescent="0.2">
      <c r="A11" s="310" t="s">
        <v>1571</v>
      </c>
      <c r="B11" s="313">
        <f>'DOE25'!G140</f>
        <v>8526.93</v>
      </c>
      <c r="F11" s="310" t="s">
        <v>1584</v>
      </c>
    </row>
    <row r="12" spans="1:9" ht="15" x14ac:dyDescent="0.2">
      <c r="A12" s="310" t="s">
        <v>1572</v>
      </c>
      <c r="B12" s="313">
        <f>'DOE25'!G170</f>
        <v>829494.74</v>
      </c>
      <c r="F12" s="310" t="s">
        <v>1585</v>
      </c>
    </row>
    <row r="13" spans="1:9" ht="15" x14ac:dyDescent="0.2">
      <c r="A13" s="310" t="s">
        <v>1573</v>
      </c>
      <c r="B13" s="313">
        <f>'DOE25'!G193-'DOE25'!G180</f>
        <v>0</v>
      </c>
      <c r="F13" s="310" t="s">
        <v>1595</v>
      </c>
    </row>
    <row r="14" spans="1:9" ht="18" x14ac:dyDescent="0.25">
      <c r="A14" s="312" t="s">
        <v>732</v>
      </c>
      <c r="B14" s="314">
        <f>SUM(B9:B13)</f>
        <v>899931.75</v>
      </c>
    </row>
    <row r="16" spans="1:9" ht="18" x14ac:dyDescent="0.25">
      <c r="A16" s="312" t="s">
        <v>786</v>
      </c>
      <c r="F16" s="319" t="s">
        <v>1587</v>
      </c>
    </row>
    <row r="17" spans="1:6" ht="15" x14ac:dyDescent="0.2">
      <c r="A17" s="310" t="s">
        <v>1574</v>
      </c>
      <c r="B17" s="313">
        <f>'DOE25'!L363-'DOE25'!L362</f>
        <v>769667.2</v>
      </c>
      <c r="F17" s="310" t="s">
        <v>1588</v>
      </c>
    </row>
    <row r="18" spans="1:6" ht="15" x14ac:dyDescent="0.2">
      <c r="A18" s="310" t="s">
        <v>1575</v>
      </c>
      <c r="B18" s="323"/>
      <c r="F18" s="319" t="s">
        <v>1612</v>
      </c>
    </row>
    <row r="19" spans="1:6" ht="18" x14ac:dyDescent="0.25">
      <c r="A19" s="312" t="s">
        <v>725</v>
      </c>
      <c r="B19" s="314">
        <f>SUM(B17:B18)</f>
        <v>769667.2</v>
      </c>
    </row>
    <row r="21" spans="1:6" ht="18.75" thickBot="1" x14ac:dyDescent="0.3">
      <c r="A21" s="312" t="s">
        <v>1576</v>
      </c>
    </row>
    <row r="22" spans="1:6" ht="18.75" thickTop="1" x14ac:dyDescent="0.25">
      <c r="A22" s="312" t="s">
        <v>1577</v>
      </c>
      <c r="B22" s="318">
        <f>B14-B19</f>
        <v>130264.55000000005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3690.58</v>
      </c>
      <c r="F31" s="310" t="s">
        <v>1592</v>
      </c>
    </row>
    <row r="33" spans="1:6" ht="15" x14ac:dyDescent="0.2">
      <c r="A33" s="310" t="s">
        <v>1635</v>
      </c>
      <c r="B33" s="313">
        <f>'DOE25'!G477</f>
        <v>133955.13</v>
      </c>
      <c r="F33" s="310" t="s">
        <v>1593</v>
      </c>
    </row>
    <row r="36" spans="1:6" ht="15" x14ac:dyDescent="0.2">
      <c r="A36" s="310" t="s">
        <v>1579</v>
      </c>
      <c r="B36" s="324">
        <v>33958.47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54" sqref="C5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Lebanon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11721033.900000002</v>
      </c>
      <c r="C9" s="228">
        <f>'DOE25'!G198+'DOE25'!G216+'DOE25'!G234+'DOE25'!G277+'DOE25'!G296+'DOE25'!G315</f>
        <v>6750021.3400000008</v>
      </c>
    </row>
    <row r="10" spans="1:3" x14ac:dyDescent="0.2">
      <c r="A10" t="s">
        <v>775</v>
      </c>
      <c r="B10" s="239">
        <v>10148809</v>
      </c>
      <c r="C10" s="239">
        <f>C9-C11-C12</f>
        <v>5932464.3919999991</v>
      </c>
    </row>
    <row r="11" spans="1:3" x14ac:dyDescent="0.2">
      <c r="A11" t="s">
        <v>776</v>
      </c>
      <c r="B11" s="239">
        <v>915558.84</v>
      </c>
      <c r="C11" s="239">
        <f>B11*0.52</f>
        <v>476090.5968</v>
      </c>
    </row>
    <row r="12" spans="1:3" x14ac:dyDescent="0.2">
      <c r="A12" t="s">
        <v>777</v>
      </c>
      <c r="B12" s="239">
        <f>B9-B10-B11</f>
        <v>656666.06000000227</v>
      </c>
      <c r="C12" s="239">
        <f>B12*0.52</f>
        <v>341466.3512000012</v>
      </c>
    </row>
    <row r="13" spans="1:3" x14ac:dyDescent="0.2">
      <c r="A13" t="str">
        <f>IF(B9=B13,IF(C9=C13,"Check Total OK","Check Total Error"),"Check Total Error")</f>
        <v>Check Total OK</v>
      </c>
      <c r="B13" s="230">
        <f>SUM(B10:B12)</f>
        <v>11721033.900000002</v>
      </c>
      <c r="C13" s="230">
        <f>SUM(C10:C12)</f>
        <v>6750021.3400000008</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4112965.335</v>
      </c>
      <c r="C18" s="228">
        <f>'DOE25'!G199+'DOE25'!G217+'DOE25'!G235+'DOE25'!G278+'DOE25'!G297+'DOE25'!G316</f>
        <v>2775363.4899999998</v>
      </c>
    </row>
    <row r="19" spans="1:3" x14ac:dyDescent="0.2">
      <c r="A19" t="s">
        <v>775</v>
      </c>
      <c r="B19" s="239">
        <f>1650191.47+555804.71</f>
        <v>2205996.1799999997</v>
      </c>
      <c r="C19" s="239">
        <f>C18-C20-C21</f>
        <v>1783739.5293999994</v>
      </c>
    </row>
    <row r="20" spans="1:3" x14ac:dyDescent="0.2">
      <c r="A20" t="s">
        <v>776</v>
      </c>
      <c r="B20" s="239">
        <v>1501523.49</v>
      </c>
      <c r="C20" s="239">
        <f>B20*0.52</f>
        <v>780792.21480000007</v>
      </c>
    </row>
    <row r="21" spans="1:3" x14ac:dyDescent="0.2">
      <c r="A21" t="s">
        <v>777</v>
      </c>
      <c r="B21" s="239">
        <f>B18-B19-B20</f>
        <v>405445.66500000027</v>
      </c>
      <c r="C21" s="239">
        <f>B21*0.52</f>
        <v>210831.74580000015</v>
      </c>
    </row>
    <row r="22" spans="1:3" x14ac:dyDescent="0.2">
      <c r="A22" t="str">
        <f>IF(B18=B22,IF(C18=C22,"Check Total OK","Check Total Error"),"Check Total Error")</f>
        <v>Check Total OK</v>
      </c>
      <c r="B22" s="230">
        <f>SUM(B19:B21)</f>
        <v>4112965.335</v>
      </c>
      <c r="C22" s="230">
        <f>SUM(C19:C21)</f>
        <v>2775363.4899999998</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586075.92899999989</v>
      </c>
      <c r="C36" s="234">
        <f>'DOE25'!G201+'DOE25'!G219+'DOE25'!G237+'DOE25'!G280+'DOE25'!G299+'DOE25'!G318</f>
        <v>141620.49700000003</v>
      </c>
    </row>
    <row r="37" spans="1:3" x14ac:dyDescent="0.2">
      <c r="A37" t="s">
        <v>775</v>
      </c>
      <c r="B37" s="239">
        <f>63386+31103.29+118828.54</f>
        <v>213317.83000000002</v>
      </c>
      <c r="C37" s="239">
        <f>B37*0.52</f>
        <v>110925.27160000001</v>
      </c>
    </row>
    <row r="38" spans="1:3" x14ac:dyDescent="0.2">
      <c r="A38" t="s">
        <v>776</v>
      </c>
      <c r="B38" s="239"/>
      <c r="C38" s="239"/>
    </row>
    <row r="39" spans="1:3" x14ac:dyDescent="0.2">
      <c r="A39" t="s">
        <v>777</v>
      </c>
      <c r="B39" s="239">
        <f>B36-B37</f>
        <v>372758.09899999987</v>
      </c>
      <c r="C39" s="239">
        <f>C36-C37</f>
        <v>30695.225400000025</v>
      </c>
    </row>
    <row r="40" spans="1:3" x14ac:dyDescent="0.2">
      <c r="A40" t="str">
        <f>IF(B36=B40,IF(C36=C40,"Check Total OK","Check Total Error"),"Check Total Error")</f>
        <v>Check Total OK</v>
      </c>
      <c r="B40" s="230">
        <f>SUM(B37:B39)</f>
        <v>586075.92899999989</v>
      </c>
      <c r="C40" s="230">
        <f>SUM(C37:C39)</f>
        <v>141620.49700000003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Lebanon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28871888.440000001</v>
      </c>
      <c r="D5" s="20">
        <f>SUM('DOE25'!L198:L201)+SUM('DOE25'!L216:L219)+SUM('DOE25'!L234:L237)-F5-G5-H5</f>
        <v>28608448.110000003</v>
      </c>
      <c r="E5" s="242"/>
      <c r="F5" s="243"/>
      <c r="G5" s="53">
        <f>SUM('DOE25'!J198:J201)+SUM('DOE25'!J216:J219)+SUM('DOE25'!J234:J237)</f>
        <v>186031.34</v>
      </c>
      <c r="H5" s="53">
        <f>SUM('DOE25'!K198:K201)+SUM('DOE25'!K216:K219)+SUM('DOE25'!K234:K237)</f>
        <v>77408.990000000005</v>
      </c>
      <c r="I5" s="255"/>
    </row>
    <row r="6" spans="1:9" x14ac:dyDescent="0.2">
      <c r="A6" s="32">
        <v>2100</v>
      </c>
      <c r="B6" t="s">
        <v>796</v>
      </c>
      <c r="C6" s="274">
        <f t="shared" si="0"/>
        <v>1858670.99</v>
      </c>
      <c r="D6" s="20">
        <f>'DOE25'!L203+'DOE25'!L221+'DOE25'!L239-F6-G6-H6</f>
        <v>1807686.02</v>
      </c>
      <c r="E6" s="242"/>
      <c r="F6" s="243">
        <f>46300</f>
        <v>46300</v>
      </c>
      <c r="G6" s="53">
        <f>'DOE25'!J203+'DOE25'!J221+'DOE25'!J239</f>
        <v>3564.97</v>
      </c>
      <c r="H6" s="53">
        <f>'DOE25'!K203+'DOE25'!K221+'DOE25'!K239</f>
        <v>1120</v>
      </c>
      <c r="I6" s="255"/>
    </row>
    <row r="7" spans="1:9" x14ac:dyDescent="0.2">
      <c r="A7" s="32">
        <v>2200</v>
      </c>
      <c r="B7" t="s">
        <v>821</v>
      </c>
      <c r="C7" s="274">
        <f t="shared" si="0"/>
        <v>2608691.41</v>
      </c>
      <c r="D7" s="20">
        <f>'DOE25'!L204+'DOE25'!L222+'DOE25'!L240-F7-G7-H7</f>
        <v>2344729.4300000002</v>
      </c>
      <c r="E7" s="242"/>
      <c r="F7" s="243"/>
      <c r="G7" s="53">
        <f>'DOE25'!J204+'DOE25'!J222+'DOE25'!J240</f>
        <v>263281.98</v>
      </c>
      <c r="H7" s="53">
        <f>'DOE25'!K204+'DOE25'!K222+'DOE25'!K240</f>
        <v>679.99999999999989</v>
      </c>
      <c r="I7" s="255"/>
    </row>
    <row r="8" spans="1:9" x14ac:dyDescent="0.2">
      <c r="A8" s="32">
        <v>2300</v>
      </c>
      <c r="B8" t="s">
        <v>797</v>
      </c>
      <c r="C8" s="274">
        <f t="shared" si="0"/>
        <v>1126033.8600000001</v>
      </c>
      <c r="D8" s="242"/>
      <c r="E8" s="20">
        <f>'DOE25'!L205+'DOE25'!L223+'DOE25'!L241-F8-G8-H8-D9-D11</f>
        <v>954135.73</v>
      </c>
      <c r="F8" s="243">
        <f>84298.21+50111.28+17247.32</f>
        <v>151656.81</v>
      </c>
      <c r="G8" s="53">
        <f>'DOE25'!J205+'DOE25'!J223+'DOE25'!J241</f>
        <v>2910.8499999999985</v>
      </c>
      <c r="H8" s="53">
        <f>'DOE25'!K205+'DOE25'!K223+'DOE25'!K241</f>
        <v>17330.469999999998</v>
      </c>
      <c r="I8" s="255"/>
    </row>
    <row r="9" spans="1:9" ht="14.25" x14ac:dyDescent="0.2">
      <c r="A9" s="32">
        <v>2310</v>
      </c>
      <c r="B9" s="184" t="s">
        <v>888</v>
      </c>
      <c r="C9" s="274">
        <f t="shared" si="0"/>
        <v>241596.29</v>
      </c>
      <c r="D9" s="243">
        <v>241596.29</v>
      </c>
      <c r="E9" s="242"/>
      <c r="F9" s="252"/>
      <c r="G9" s="252"/>
      <c r="H9" s="252"/>
      <c r="I9" s="255"/>
    </row>
    <row r="10" spans="1:9" ht="14.25" x14ac:dyDescent="0.2">
      <c r="A10" s="32">
        <v>2317</v>
      </c>
      <c r="B10" s="184" t="s">
        <v>889</v>
      </c>
      <c r="C10" s="274">
        <f t="shared" si="0"/>
        <v>22450</v>
      </c>
      <c r="D10" s="242"/>
      <c r="E10" s="243">
        <v>22450</v>
      </c>
      <c r="F10" s="252"/>
      <c r="G10" s="252"/>
      <c r="H10" s="252"/>
      <c r="I10" s="255"/>
    </row>
    <row r="11" spans="1:9" ht="14.25" x14ac:dyDescent="0.2">
      <c r="A11" s="32">
        <v>2321</v>
      </c>
      <c r="B11" s="184" t="s">
        <v>890</v>
      </c>
      <c r="C11" s="274">
        <f t="shared" si="0"/>
        <v>312687.5</v>
      </c>
      <c r="D11" s="243">
        <v>312687.5</v>
      </c>
      <c r="E11" s="242"/>
      <c r="F11" s="252"/>
      <c r="G11" s="252"/>
      <c r="H11" s="252"/>
      <c r="I11" s="255"/>
    </row>
    <row r="12" spans="1:9" x14ac:dyDescent="0.2">
      <c r="A12" s="32">
        <v>2400</v>
      </c>
      <c r="B12" t="s">
        <v>711</v>
      </c>
      <c r="C12" s="274">
        <f t="shared" si="0"/>
        <v>2144923.7000000002</v>
      </c>
      <c r="D12" s="20">
        <f>'DOE25'!L206+'DOE25'!L224+'DOE25'!L242-F12-G12-H12</f>
        <v>2119593.16</v>
      </c>
      <c r="E12" s="242"/>
      <c r="F12" s="243"/>
      <c r="G12" s="53">
        <f>'DOE25'!J206+'DOE25'!J224+'DOE25'!J242</f>
        <v>10959.84</v>
      </c>
      <c r="H12" s="53">
        <f>'DOE25'!K206+'DOE25'!K224+'DOE25'!K242</f>
        <v>14370.7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3342078.34</v>
      </c>
      <c r="D14" s="20">
        <f>'DOE25'!L208+'DOE25'!L226+'DOE25'!L244-F14-G14-H14</f>
        <v>3055205.22</v>
      </c>
      <c r="E14" s="242"/>
      <c r="F14" s="243">
        <f>77144+70560+52437.43+38877+31820+1173.52+968.7</f>
        <v>272980.65000000002</v>
      </c>
      <c r="G14" s="53">
        <f>'DOE25'!J208+'DOE25'!J226+'DOE25'!J244</f>
        <v>12769.28</v>
      </c>
      <c r="H14" s="53">
        <f>'DOE25'!K208+'DOE25'!K226+'DOE25'!K244</f>
        <v>1123.19</v>
      </c>
      <c r="I14" s="255"/>
    </row>
    <row r="15" spans="1:9" x14ac:dyDescent="0.2">
      <c r="A15" s="32">
        <v>2700</v>
      </c>
      <c r="B15" t="s">
        <v>799</v>
      </c>
      <c r="C15" s="274">
        <f t="shared" si="0"/>
        <v>1073205.1299999999</v>
      </c>
      <c r="D15" s="20">
        <f>'DOE25'!L209+'DOE25'!L227+'DOE25'!L245-F15-G15-H15</f>
        <v>905281.89999999991</v>
      </c>
      <c r="E15" s="242"/>
      <c r="F15" s="243">
        <f>150513.72</f>
        <v>150513.72</v>
      </c>
      <c r="G15" s="53">
        <f>'DOE25'!J209+'DOE25'!J227+'DOE25'!J245</f>
        <v>14730.009999999998</v>
      </c>
      <c r="H15" s="53">
        <f>'DOE25'!K209+'DOE25'!K227+'DOE25'!K245</f>
        <v>2679.5</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15000</v>
      </c>
      <c r="D17" s="20">
        <f>'DOE25'!L252-F17-G17-H17</f>
        <v>15000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165430.57999999999</v>
      </c>
      <c r="D22" s="242"/>
      <c r="E22" s="242"/>
      <c r="F22" s="242"/>
      <c r="G22" s="53">
        <f>'DOE25'!L256+'DOE25'!L337</f>
        <v>165430.57999999999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1951997</v>
      </c>
      <c r="D25" s="242"/>
      <c r="E25" s="242"/>
      <c r="F25" s="254"/>
      <c r="G25" s="252"/>
      <c r="H25" s="252"/>
      <c r="I25" s="253">
        <f>'DOE25'!L261+'DOE25'!L262+'DOE25'!L342+'DOE25'!L343</f>
        <v>1951997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474499.19999999995</v>
      </c>
      <c r="D29" s="282">
        <f>'DOE25'!L359+'DOE25'!L360+'DOE25'!L361-'DOE25'!I368-F29-G29-H29</f>
        <v>174614.86999999991</v>
      </c>
      <c r="E29" s="242"/>
      <c r="F29" s="243">
        <f>592781.3-295168</f>
        <v>297613.30000000005</v>
      </c>
      <c r="G29" s="53">
        <f>'DOE25'!J359+'DOE25'!J360+'DOE25'!J361</f>
        <v>2271.0300000000002</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1208395.1405000002</v>
      </c>
      <c r="D31" s="20">
        <f>'DOE25'!L291+'DOE25'!L310+'DOE25'!L329+'DOE25'!L334+'DOE25'!L335+'DOE25'!L336-F31-G31-H31</f>
        <v>952440.97400000005</v>
      </c>
      <c r="E31" s="242"/>
      <c r="F31" s="243">
        <f>100000+52669.76</f>
        <v>152669.76000000001</v>
      </c>
      <c r="G31" s="53">
        <f>'DOE25'!J291+'DOE25'!J310+'DOE25'!J329+'DOE25'!J334+'DOE25'!J335+'DOE25'!J336</f>
        <v>79811.056500000006</v>
      </c>
      <c r="H31" s="53">
        <f>'DOE25'!K291+'DOE25'!K310+'DOE25'!K329+'DOE25'!K334+'DOE25'!K335+'DOE25'!K336</f>
        <v>23473.35</v>
      </c>
      <c r="I31" s="255"/>
    </row>
    <row r="32" spans="1:9" ht="12" thickBot="1" x14ac:dyDescent="0.25">
      <c r="C32" s="275"/>
      <c r="G32" s="250"/>
      <c r="H32" s="250"/>
      <c r="I32" s="257"/>
    </row>
    <row r="33" spans="1:9" ht="12" thickTop="1" x14ac:dyDescent="0.2">
      <c r="B33" t="s">
        <v>809</v>
      </c>
      <c r="D33" s="244">
        <f t="shared" ref="D33:I33" si="1">SUM(D5:D31)</f>
        <v>40537283.473999999</v>
      </c>
      <c r="E33" s="244">
        <f t="shared" si="1"/>
        <v>976585.73</v>
      </c>
      <c r="F33" s="244">
        <f t="shared" si="1"/>
        <v>1071734.2400000002</v>
      </c>
      <c r="G33" s="244">
        <f t="shared" si="1"/>
        <v>741760.93650000007</v>
      </c>
      <c r="H33" s="244">
        <f t="shared" si="1"/>
        <v>138186.20000000001</v>
      </c>
      <c r="I33" s="244">
        <f t="shared" si="1"/>
        <v>1951997</v>
      </c>
    </row>
    <row r="35" spans="1:9" ht="12" thickBot="1" x14ac:dyDescent="0.25">
      <c r="B35" s="250" t="s">
        <v>831</v>
      </c>
      <c r="D35" s="251">
        <f>E33</f>
        <v>976585.73</v>
      </c>
      <c r="E35" s="247"/>
      <c r="F35" s="328" t="s">
        <v>1617</v>
      </c>
      <c r="G35" s="329"/>
      <c r="H35" s="329"/>
      <c r="I35" s="329"/>
    </row>
    <row r="36" spans="1:9" ht="12" thickTop="1" x14ac:dyDescent="0.2">
      <c r="B36" t="s">
        <v>810</v>
      </c>
      <c r="D36" s="20">
        <f>D33</f>
        <v>40537283.473999999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Lebanon</v>
      </c>
      <c r="B2" s="126">
        <f>'DOE25'!B2</f>
        <v>295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16126253.403000001</v>
      </c>
      <c r="G4" s="299">
        <f>'DOE25'!L212+'DOE25'!L291</f>
        <v>16126253.403000001</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f>SUM('DOE25'!F576:F588)</f>
        <v>203021.07</v>
      </c>
      <c r="E5" s="290"/>
      <c r="F5" s="303">
        <f>D5+E5</f>
        <v>203021.07</v>
      </c>
      <c r="G5" s="293"/>
      <c r="H5" s="293"/>
      <c r="I5" s="385"/>
      <c r="N5"/>
    </row>
    <row r="6" spans="1:18" x14ac:dyDescent="0.2">
      <c r="A6" s="126" t="str" cm="1">
        <f t="array" ref="A6">IFERROR(INDEX('School Tables'!$A$4:$G$325,'School Tables'!$J4,3),"")</f>
        <v>Hanover Street School</v>
      </c>
      <c r="B6" s="300">
        <f>IFERROR(VLOOKUP(A6,'School Tables'!$C$3:$D$365,2,FALSE),"")</f>
        <v>21335</v>
      </c>
      <c r="C6" s="293" t="str">
        <f>IFERROR(INDEX('School Tables'!$B$3:$B$365,MATCH('School Level Expenditures'!B6,'School Tables'!$D$3:$D$365,0)),"")</f>
        <v>Lebanon</v>
      </c>
      <c r="D6" s="290">
        <f>(G4*0.55)-(D5*0.55)-E6</f>
        <v>8551533.9486500006</v>
      </c>
      <c r="E6" s="290">
        <f>('DOE25'!H154+'DOE25'!H155)*0.55</f>
        <v>206243.83450000003</v>
      </c>
      <c r="F6" s="303">
        <f t="shared" ref="F6:F20" si="0">D6+E6</f>
        <v>8757777.7831500005</v>
      </c>
      <c r="G6" s="293"/>
      <c r="H6" s="293"/>
      <c r="I6" s="385"/>
      <c r="N6"/>
    </row>
    <row r="7" spans="1:18" x14ac:dyDescent="0.2">
      <c r="A7" s="126" t="str" cm="1">
        <f t="array" ref="A7">IFERROR(INDEX('School Tables'!$A$4:$G$325,'School Tables'!$J5,3),"")</f>
        <v>Mt. Lebanon School</v>
      </c>
      <c r="B7" s="300">
        <f>IFERROR(VLOOKUP(A7,'School Tables'!$C$3:$D$365,2,FALSE),"")</f>
        <v>21355</v>
      </c>
      <c r="C7" s="293" t="str">
        <f>IFERROR(INDEX('School Tables'!$B$3:$B$365,MATCH('School Level Expenditures'!B7,'School Tables'!$D$3:$D$365,0)),"")</f>
        <v>Lebanon</v>
      </c>
      <c r="D7" s="290">
        <f>(G4*0.45)-(D5*0.45)-E7</f>
        <v>7155056.1703500012</v>
      </c>
      <c r="E7" s="290">
        <f>('DOE25'!H155+'DOE25'!H156)*0.45</f>
        <v>10398.379500000001</v>
      </c>
      <c r="F7" s="303">
        <f t="shared" si="0"/>
        <v>7165454.549850001</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15909611.189000003</v>
      </c>
      <c r="E21" s="338">
        <f>SUM(E5:E20)</f>
        <v>216642.21400000004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11692312.9791</v>
      </c>
      <c r="G24" s="299">
        <f>'DOE25'!L230+'DOE25'!L310</f>
        <v>11692312.9791</v>
      </c>
      <c r="H24" s="340">
        <f>F24-G24</f>
        <v>0</v>
      </c>
      <c r="I24" s="384" t="str">
        <f>IF(H24=0,"","ISSUES!! Please review page 8 and 12 totals in comparison with total on this page")</f>
        <v/>
      </c>
      <c r="N24"/>
    </row>
    <row r="25" spans="1:14" x14ac:dyDescent="0.2">
      <c r="A25" s="126" t="s">
        <v>1548</v>
      </c>
      <c r="B25" s="300">
        <v>99999</v>
      </c>
      <c r="C25" s="293" t="s">
        <v>1548</v>
      </c>
      <c r="D25" s="290">
        <f>SUM('DOE25'!G576:G589)</f>
        <v>383582.58</v>
      </c>
      <c r="E25" s="290"/>
      <c r="F25" s="303">
        <f>D25+E25</f>
        <v>383582.58</v>
      </c>
      <c r="G25" s="293"/>
      <c r="H25" s="293"/>
      <c r="I25" s="385"/>
      <c r="N25"/>
    </row>
    <row r="26" spans="1:14" x14ac:dyDescent="0.2">
      <c r="A26" s="126" t="str" cm="1">
        <f t="array" ref="A26">IFERROR(INDEX('School Tables'!$L$4:$R$75,'School Tables'!$U4,3),"")</f>
        <v>Lebanon Middle School</v>
      </c>
      <c r="B26" s="300">
        <f>IFERROR(VLOOKUP(A26,'School Tables'!$N$4:$O$75,2,FALSE),"")</f>
        <v>21370</v>
      </c>
      <c r="C26" s="293" t="str">
        <f>IFERROR(INDEX('School Tables'!$M$4:$M$75,MATCH('School Level Expenditures'!A26,'School Tables'!$N$4:$N$75,0)),"")</f>
        <v>Lebanon</v>
      </c>
      <c r="D26" s="290">
        <f>'DOE25'!L230-D25</f>
        <v>11091073.6591</v>
      </c>
      <c r="E26" s="290">
        <f>'DOE25'!L310</f>
        <v>217656.74</v>
      </c>
      <c r="F26" s="303">
        <f t="shared" ref="F26:F32" si="1">D26+E26</f>
        <v>11308730.3991</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11474656.2391</v>
      </c>
      <c r="E33" s="338">
        <f>SUM(E25:E32)</f>
        <v>217656.74</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14871209.918400001</v>
      </c>
      <c r="G36" s="299">
        <f>'DOE25'!L248+'DOE25'!L329</f>
        <v>14871209.918400001</v>
      </c>
      <c r="H36" s="340">
        <f>F36-G36</f>
        <v>0</v>
      </c>
      <c r="I36" s="384" t="str">
        <f>IF(H36=0,"","ISSUES!! Please review page 9 and 13 totals in comparison with total on this page")</f>
        <v/>
      </c>
      <c r="N36"/>
    </row>
    <row r="37" spans="1:14" x14ac:dyDescent="0.2">
      <c r="A37" s="126" t="s">
        <v>1548</v>
      </c>
      <c r="B37" s="300">
        <v>99999</v>
      </c>
      <c r="C37" s="293" t="s">
        <v>1548</v>
      </c>
      <c r="D37" s="290">
        <f>SUM('DOE25'!H576:H588)</f>
        <v>1429600.1600000001</v>
      </c>
      <c r="E37" s="290"/>
      <c r="F37" s="303">
        <f>D37+E37</f>
        <v>1429600.1600000001</v>
      </c>
      <c r="G37" s="293"/>
      <c r="H37" s="293"/>
      <c r="I37" s="385"/>
      <c r="N37"/>
    </row>
    <row r="38" spans="1:14" x14ac:dyDescent="0.2">
      <c r="A38" s="126" t="str" cm="1">
        <f t="array" ref="A38">IFERROR(INDEX('School Tables'!$W$4:$AC$100,'School Tables'!$AF4,3),"")</f>
        <v>Lebanon High School</v>
      </c>
      <c r="B38" s="300">
        <f>IFERROR(VLOOKUP(A38,'School Tables'!$Y$4:$Z$100,2,FALSE),"")</f>
        <v>21360</v>
      </c>
      <c r="C38" s="293" t="str">
        <f>IFERROR(INDEX('School Tables'!$X$4:$X$100,MATCH('School Level Expenditures'!A38,'School Tables'!$Y$4:$Y$100,0)),"")</f>
        <v>Lebanon</v>
      </c>
      <c r="D38" s="290">
        <f>'DOE25'!L248-D37</f>
        <v>13087657.8584</v>
      </c>
      <c r="E38" s="290">
        <f>'DOE25'!L329</f>
        <v>353951.89999999997</v>
      </c>
      <c r="F38" s="303">
        <f>D38+E38</f>
        <v>13441609.758400001</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ref="F39:F42" si="2">D39+E39</f>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14517258.0184</v>
      </c>
      <c r="E43" s="339">
        <f>SUM(E37:E42)</f>
        <v>353951.89999999997</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Lebanon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3528027.0700000003</v>
      </c>
      <c r="D8" s="95">
        <f>'DOE25'!G9</f>
        <v>0</v>
      </c>
      <c r="E8" s="95">
        <f>'DOE25'!H9</f>
        <v>0</v>
      </c>
      <c r="F8" s="95">
        <f>'DOE25'!I9</f>
        <v>0</v>
      </c>
      <c r="G8" s="95">
        <f>'DOE25'!J9</f>
        <v>3890524.5</v>
      </c>
      <c r="H8" s="124">
        <f>SUM(C8:G8)</f>
        <v>7418551.5700000003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t="e">
        <f>'DOE25'!#REF!</f>
        <v>#REF!</v>
      </c>
      <c r="F11" s="95">
        <f>'DOE25'!I12</f>
        <v>0</v>
      </c>
      <c r="G11" s="95">
        <f>'DOE25'!J12</f>
        <v>0</v>
      </c>
      <c r="H11" s="124" t="e">
        <f t="shared" si="0"/>
        <v>#REF!</v>
      </c>
      <c r="I11" s="124"/>
    </row>
    <row r="12" spans="1:9" x14ac:dyDescent="0.2">
      <c r="A12" s="1" t="s">
        <v>143</v>
      </c>
      <c r="B12" s="6">
        <v>140</v>
      </c>
      <c r="C12" s="95">
        <f>'DOE25'!F13</f>
        <v>25600.71</v>
      </c>
      <c r="D12" s="95">
        <f>'DOE25'!G13</f>
        <v>153167.07</v>
      </c>
      <c r="E12" s="95">
        <f>'DOE25'!H13</f>
        <v>178097.74</v>
      </c>
      <c r="F12" s="95">
        <f>'DOE25'!I13</f>
        <v>0</v>
      </c>
      <c r="G12" s="95">
        <f>'DOE25'!J13</f>
        <v>0</v>
      </c>
      <c r="H12" s="124">
        <f t="shared" si="0"/>
        <v>356865.52</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4497.66</v>
      </c>
      <c r="E15" s="95">
        <f>'DOE25'!H16</f>
        <v>0</v>
      </c>
      <c r="F15" s="95">
        <f>'DOE25'!I16</f>
        <v>0</v>
      </c>
      <c r="G15" s="24" t="s">
        <v>288</v>
      </c>
      <c r="H15" s="124">
        <f t="shared" si="0"/>
        <v>4497.66</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3553627.7800000003</v>
      </c>
      <c r="D18" s="41">
        <f>SUM(D8:D17)</f>
        <v>157664.73000000001</v>
      </c>
      <c r="E18" s="41" t="e">
        <f>SUM(E8:E17)</f>
        <v>#REF!</v>
      </c>
      <c r="F18" s="41">
        <f>SUM(F8:F17)</f>
        <v>0</v>
      </c>
      <c r="G18" s="41">
        <f>SUM(G8:G17)</f>
        <v>3890524.5</v>
      </c>
      <c r="H18" s="41" t="e">
        <f t="shared" si="0"/>
        <v>#REF!</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279828.96000000002</v>
      </c>
      <c r="D21" s="95">
        <f>'DOE25'!G22</f>
        <v>-112398.68</v>
      </c>
      <c r="E21" s="95">
        <f>'DOE25'!H22</f>
        <v>-64300.94</v>
      </c>
      <c r="F21" s="95">
        <f>'DOE25'!I22</f>
        <v>443103.19</v>
      </c>
      <c r="G21" s="95">
        <f>'DOE25'!J22</f>
        <v>0</v>
      </c>
      <c r="H21" s="124">
        <f t="shared" ref="H21:H31" si="1">SUM(C21:G21)</f>
        <v>546232.53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-206663.8</v>
      </c>
      <c r="D23" s="95">
        <f>'DOE25'!G24</f>
        <v>98012.5</v>
      </c>
      <c r="E23" s="95">
        <f>'DOE25'!H24</f>
        <v>0</v>
      </c>
      <c r="F23" s="95">
        <f>'DOE25'!I30</f>
        <v>0</v>
      </c>
      <c r="G23" s="95">
        <f>'DOE25'!J24</f>
        <v>0</v>
      </c>
      <c r="H23" s="124">
        <f t="shared" si="1"/>
        <v>-108651.29999999999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38095.78</v>
      </c>
      <c r="E29" s="95">
        <f>'DOE25'!H30</f>
        <v>0</v>
      </c>
      <c r="F29" s="95" t="e">
        <f>'DOE25'!#REF!</f>
        <v>#REF!</v>
      </c>
      <c r="G29" s="24" t="s">
        <v>288</v>
      </c>
      <c r="H29" s="124" t="e">
        <f t="shared" si="1"/>
        <v>#REF!</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73165.160000000033</v>
      </c>
      <c r="D31" s="41">
        <f>SUM(D21:D30)</f>
        <v>23709.600000000006</v>
      </c>
      <c r="E31" s="41">
        <f>SUM(E21:E30)</f>
        <v>-64300.94</v>
      </c>
      <c r="F31" s="41" t="e">
        <f>SUM(F21:F30)</f>
        <v>#REF!</v>
      </c>
      <c r="G31" s="41">
        <f>SUM(G21:G30)</f>
        <v>0</v>
      </c>
      <c r="H31" s="41" t="e">
        <f t="shared" si="1"/>
        <v>#REF!</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600000</v>
      </c>
      <c r="D43" s="95">
        <f>'DOE25'!G44</f>
        <v>0</v>
      </c>
      <c r="E43" s="95">
        <f>'DOE25'!H44</f>
        <v>0</v>
      </c>
      <c r="F43" s="95">
        <f>'DOE25'!I44</f>
        <v>0</v>
      </c>
      <c r="G43" s="24" t="s">
        <v>288</v>
      </c>
      <c r="H43" s="124">
        <f t="shared" si="2"/>
        <v>600000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862858</v>
      </c>
      <c r="D45" s="24" t="s">
        <v>288</v>
      </c>
      <c r="E45" s="24" t="s">
        <v>288</v>
      </c>
      <c r="F45" s="24" t="s">
        <v>288</v>
      </c>
      <c r="G45" s="24" t="s">
        <v>288</v>
      </c>
      <c r="H45" s="124">
        <f t="shared" si="2"/>
        <v>862858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129457.47</v>
      </c>
      <c r="E47" s="95" t="e">
        <f>'DOE25'!#REF!</f>
        <v>#REF!</v>
      </c>
      <c r="F47" s="95">
        <f>'DOE25'!I48</f>
        <v>-443103.19</v>
      </c>
      <c r="G47" s="95">
        <f>'DOE25'!J48</f>
        <v>3890524.5</v>
      </c>
      <c r="H47" s="124" t="e">
        <f t="shared" si="2"/>
        <v>#REF!</v>
      </c>
      <c r="I47" s="124"/>
    </row>
    <row r="48" spans="1:9" x14ac:dyDescent="0.2">
      <c r="A48" s="1" t="s">
        <v>882</v>
      </c>
      <c r="B48" s="6">
        <v>753</v>
      </c>
      <c r="C48" s="95">
        <f>'DOE25'!F49</f>
        <v>750000</v>
      </c>
      <c r="D48" s="95">
        <f>'DOE25'!G49</f>
        <v>4497.66</v>
      </c>
      <c r="E48" s="95">
        <f>'DOE25'!H48</f>
        <v>242398.68</v>
      </c>
      <c r="F48" s="95">
        <f>'DOE25'!I49</f>
        <v>0</v>
      </c>
      <c r="G48" s="95">
        <f>'DOE25'!J49</f>
        <v>0</v>
      </c>
      <c r="H48" s="124">
        <f t="shared" si="2"/>
        <v>996896.34000000008</v>
      </c>
      <c r="I48" s="124"/>
    </row>
    <row r="49" spans="1:9" ht="12" thickBot="1" x14ac:dyDescent="0.25">
      <c r="A49" s="29" t="s">
        <v>883</v>
      </c>
      <c r="B49" s="71">
        <v>770</v>
      </c>
      <c r="C49" s="95">
        <f>'DOE25'!F50</f>
        <v>1267604.6200000001</v>
      </c>
      <c r="D49" s="24" t="s">
        <v>288</v>
      </c>
      <c r="E49" s="24" t="s">
        <v>288</v>
      </c>
      <c r="F49" s="24" t="s">
        <v>288</v>
      </c>
      <c r="G49" s="24" t="s">
        <v>288</v>
      </c>
      <c r="H49" s="124">
        <f t="shared" si="2"/>
        <v>1267604.6200000001</v>
      </c>
      <c r="I49" s="124"/>
    </row>
    <row r="50" spans="1:9" ht="12.75" thickTop="1" thickBot="1" x14ac:dyDescent="0.25">
      <c r="A50" s="38" t="s">
        <v>884</v>
      </c>
      <c r="B50" s="48"/>
      <c r="C50" s="41">
        <f>SUM(C34:C49)</f>
        <v>3480462.62</v>
      </c>
      <c r="D50" s="41">
        <f>SUM(D34:D49)</f>
        <v>133955.13</v>
      </c>
      <c r="E50" s="41" t="e">
        <f>SUM(E34:E49)</f>
        <v>#REF!</v>
      </c>
      <c r="F50" s="41">
        <f>SUM(F34:F49)</f>
        <v>-443103.19</v>
      </c>
      <c r="G50" s="41">
        <f>SUM(G34:G49)</f>
        <v>3890524.5</v>
      </c>
      <c r="H50" s="41" t="e">
        <f t="shared" si="2"/>
        <v>#REF!</v>
      </c>
      <c r="I50" s="124"/>
    </row>
    <row r="51" spans="1:9" ht="12" thickTop="1" x14ac:dyDescent="0.2">
      <c r="A51" s="38" t="s">
        <v>885</v>
      </c>
      <c r="B51" s="2"/>
      <c r="C51" s="41">
        <f>C50+C31</f>
        <v>3553627.7800000003</v>
      </c>
      <c r="D51" s="41">
        <f>D50+D31</f>
        <v>157664.73000000001</v>
      </c>
      <c r="E51" s="41" t="e">
        <f>E50+E31</f>
        <v>#REF!</v>
      </c>
      <c r="F51" s="41" t="e">
        <f>F50+F31</f>
        <v>#REF!</v>
      </c>
      <c r="G51" s="41">
        <f>G50+G31</f>
        <v>3890524.5</v>
      </c>
      <c r="H51" s="41" t="e">
        <f t="shared" si="2"/>
        <v>#REF!</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30102239</v>
      </c>
      <c r="D56" s="95">
        <f>'DOE25'!G60</f>
        <v>0</v>
      </c>
      <c r="E56" s="95">
        <f>'DOE25'!H60</f>
        <v>0</v>
      </c>
      <c r="F56" s="95">
        <f>'DOE25'!I60</f>
        <v>0</v>
      </c>
      <c r="G56" s="95">
        <f>'DOE25'!J60</f>
        <v>0</v>
      </c>
      <c r="H56" s="124">
        <f t="shared" ref="H56:H63" si="3">SUM(C56:G56)</f>
        <v>30102239</v>
      </c>
      <c r="I56"/>
    </row>
    <row r="57" spans="1:9" x14ac:dyDescent="0.2">
      <c r="A57" s="1" t="s">
        <v>164</v>
      </c>
      <c r="B57" s="6" t="s">
        <v>165</v>
      </c>
      <c r="C57" s="95">
        <f>'DOE25'!F79</f>
        <v>5010257.67</v>
      </c>
      <c r="D57" s="24" t="s">
        <v>288</v>
      </c>
      <c r="E57" s="95">
        <f>'DOE25'!H79</f>
        <v>0</v>
      </c>
      <c r="F57" s="24" t="s">
        <v>288</v>
      </c>
      <c r="G57" s="24" t="s">
        <v>288</v>
      </c>
      <c r="H57" s="124">
        <f t="shared" si="3"/>
        <v>5010257.67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5300.43</v>
      </c>
      <c r="D59" s="95">
        <f>'DOE25'!G96</f>
        <v>0</v>
      </c>
      <c r="E59" s="95">
        <f>'DOE25'!H96</f>
        <v>0</v>
      </c>
      <c r="F59" s="95">
        <f>'DOE25'!I96</f>
        <v>0</v>
      </c>
      <c r="G59" s="95">
        <f>'DOE25'!J96</f>
        <v>42214.99</v>
      </c>
      <c r="H59" s="124">
        <f t="shared" si="3"/>
        <v>47515.42</v>
      </c>
      <c r="I59"/>
    </row>
    <row r="60" spans="1:9" x14ac:dyDescent="0.2">
      <c r="A60" s="1" t="s">
        <v>170</v>
      </c>
      <c r="B60" s="118" t="s">
        <v>171</v>
      </c>
      <c r="C60" s="24" t="s">
        <v>288</v>
      </c>
      <c r="D60" s="95">
        <f>'DOE25'!G97</f>
        <v>29824.6</v>
      </c>
      <c r="E60" s="24" t="s">
        <v>288</v>
      </c>
      <c r="F60" s="24" t="s">
        <v>288</v>
      </c>
      <c r="G60" s="24" t="s">
        <v>288</v>
      </c>
      <c r="H60" s="124">
        <f t="shared" si="3"/>
        <v>29824.6</v>
      </c>
      <c r="I60"/>
    </row>
    <row r="61" spans="1:9" ht="12" thickBot="1" x14ac:dyDescent="0.25">
      <c r="A61" s="1" t="s">
        <v>172</v>
      </c>
      <c r="B61" s="118" t="s">
        <v>173</v>
      </c>
      <c r="C61" s="95">
        <f>SUM('DOE25'!F98:F110)</f>
        <v>645822.07999999996</v>
      </c>
      <c r="D61" s="95">
        <f>SUM('DOE25'!G98:G110)</f>
        <v>32085.48</v>
      </c>
      <c r="E61" s="95">
        <f>SUM('DOE25'!H98:H110)</f>
        <v>111082.57</v>
      </c>
      <c r="F61" s="95">
        <f>SUM('DOE25'!I98:I110)</f>
        <v>0</v>
      </c>
      <c r="G61" s="95">
        <f>SUM('DOE25'!J98:J110)</f>
        <v>-201445.36</v>
      </c>
      <c r="H61" s="124">
        <f t="shared" si="3"/>
        <v>587544.7699999999</v>
      </c>
      <c r="I61"/>
    </row>
    <row r="62" spans="1:9" ht="12.75" thickTop="1" thickBot="1" x14ac:dyDescent="0.25">
      <c r="A62" s="29" t="s">
        <v>174</v>
      </c>
      <c r="B62" s="6"/>
      <c r="C62" s="130">
        <f>SUM(C57:C61)</f>
        <v>5661380.1799999997</v>
      </c>
      <c r="D62" s="130">
        <f>SUM(D57:D61)</f>
        <v>61910.080000000002</v>
      </c>
      <c r="E62" s="130">
        <f>SUM(E57:E61)</f>
        <v>111082.57</v>
      </c>
      <c r="F62" s="130">
        <f>SUM(F57:F61)</f>
        <v>0</v>
      </c>
      <c r="G62" s="130">
        <f>SUM(G57:G61)</f>
        <v>-159230.37</v>
      </c>
      <c r="H62" s="124">
        <f t="shared" si="3"/>
        <v>5675142.46</v>
      </c>
      <c r="I62"/>
    </row>
    <row r="63" spans="1:9" ht="12" thickTop="1" x14ac:dyDescent="0.2">
      <c r="A63" s="29" t="s">
        <v>175</v>
      </c>
      <c r="B63" s="6"/>
      <c r="C63" s="22">
        <f>C56+C62</f>
        <v>35763619.18</v>
      </c>
      <c r="D63" s="22">
        <f>D56+D62</f>
        <v>61910.080000000002</v>
      </c>
      <c r="E63" s="22">
        <f>E56+E62</f>
        <v>111082.57</v>
      </c>
      <c r="F63" s="22">
        <f>F56+F62</f>
        <v>0</v>
      </c>
      <c r="G63" s="22">
        <f>G56+G62</f>
        <v>-159230.37</v>
      </c>
      <c r="H63" s="124">
        <f t="shared" si="3"/>
        <v>35777381.460000001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2793325.45</v>
      </c>
      <c r="D66" s="24" t="s">
        <v>288</v>
      </c>
      <c r="E66" s="24" t="s">
        <v>288</v>
      </c>
      <c r="F66" s="24" t="s">
        <v>288</v>
      </c>
      <c r="G66" s="24" t="s">
        <v>288</v>
      </c>
      <c r="H66" s="124">
        <f t="shared" ref="H66:H81" si="4">SUM(C66:G66)</f>
        <v>2793325.45</v>
      </c>
      <c r="I66"/>
    </row>
    <row r="67" spans="1:9" x14ac:dyDescent="0.2">
      <c r="A67" s="1" t="s">
        <v>770</v>
      </c>
      <c r="B67" s="6">
        <v>3112</v>
      </c>
      <c r="C67" s="95">
        <f>'DOE25'!F118</f>
        <v>4396112</v>
      </c>
      <c r="D67" s="24"/>
      <c r="E67" s="24"/>
      <c r="F67" s="24"/>
      <c r="G67" s="24"/>
      <c r="H67" s="124">
        <f t="shared" si="4"/>
        <v>4396112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6698.52</v>
      </c>
      <c r="D69" s="95">
        <f>'DOE25'!G120</f>
        <v>0</v>
      </c>
      <c r="E69" s="95">
        <f>'DOE25'!H120</f>
        <v>0</v>
      </c>
      <c r="F69" s="95">
        <f>'DOE25'!I120</f>
        <v>0</v>
      </c>
      <c r="G69" s="95">
        <f>'DOE25'!J120</f>
        <v>0</v>
      </c>
      <c r="H69" s="124">
        <f t="shared" si="4"/>
        <v>6698.52</v>
      </c>
      <c r="I69"/>
    </row>
    <row r="70" spans="1:9" ht="12" thickTop="1" x14ac:dyDescent="0.2">
      <c r="A70" s="29" t="s">
        <v>252</v>
      </c>
      <c r="B70" s="2"/>
      <c r="C70" s="139">
        <f>SUM(C66:C69)</f>
        <v>7196135.9699999997</v>
      </c>
      <c r="D70" s="139">
        <f>D69</f>
        <v>0</v>
      </c>
      <c r="E70" s="139">
        <f>E69</f>
        <v>0</v>
      </c>
      <c r="F70" s="139">
        <f>F69</f>
        <v>0</v>
      </c>
      <c r="G70" s="139">
        <f>G69</f>
        <v>0</v>
      </c>
      <c r="H70" s="124">
        <f t="shared" si="4"/>
        <v>7196135.9699999997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526592.04</v>
      </c>
      <c r="D72" s="24" t="s">
        <v>288</v>
      </c>
      <c r="E72" s="24" t="s">
        <v>288</v>
      </c>
      <c r="F72" s="95">
        <f>'DOE25'!I123</f>
        <v>0</v>
      </c>
      <c r="G72" s="24" t="s">
        <v>288</v>
      </c>
      <c r="H72" s="124">
        <f t="shared" si="4"/>
        <v>526592.04</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430359.49</v>
      </c>
      <c r="D75" s="24" t="s">
        <v>288</v>
      </c>
      <c r="E75" s="24" t="s">
        <v>288</v>
      </c>
      <c r="F75" s="24" t="s">
        <v>288</v>
      </c>
      <c r="G75" s="24" t="s">
        <v>288</v>
      </c>
      <c r="H75" s="124">
        <f t="shared" si="4"/>
        <v>430359.49</v>
      </c>
      <c r="I75"/>
    </row>
    <row r="76" spans="1:9" x14ac:dyDescent="0.2">
      <c r="A76" s="1" t="s">
        <v>257</v>
      </c>
      <c r="B76" s="6" t="s">
        <v>179</v>
      </c>
      <c r="C76" s="95">
        <f>SUM('DOE25'!F127:F130)</f>
        <v>201467.30000000002</v>
      </c>
      <c r="D76" s="24" t="s">
        <v>288</v>
      </c>
      <c r="E76" s="95">
        <f>SUM('DOE25'!H127:H130)</f>
        <v>0</v>
      </c>
      <c r="F76" s="95">
        <f>SUM('DOE25'!I127:I130)</f>
        <v>0</v>
      </c>
      <c r="G76" s="24" t="s">
        <v>288</v>
      </c>
      <c r="H76" s="124">
        <f t="shared" si="4"/>
        <v>201467.30000000002</v>
      </c>
      <c r="I76"/>
    </row>
    <row r="77" spans="1:9" ht="12" thickBot="1" x14ac:dyDescent="0.25">
      <c r="A77" s="1" t="s">
        <v>258</v>
      </c>
      <c r="B77" s="6" t="s">
        <v>180</v>
      </c>
      <c r="C77" s="95">
        <f>SUM('DOE25'!F131:F135)</f>
        <v>0</v>
      </c>
      <c r="D77" s="95">
        <f>SUM('DOE25'!G131:G135)</f>
        <v>8526.93</v>
      </c>
      <c r="E77" s="95">
        <f>SUM('DOE25'!H131:H135)</f>
        <v>65475.39</v>
      </c>
      <c r="F77" s="95">
        <f>SUM('DOE25'!I131:I135)</f>
        <v>0</v>
      </c>
      <c r="G77" s="95">
        <f>SUM('DOE25'!J131:J135)</f>
        <v>0</v>
      </c>
      <c r="H77" s="124">
        <f t="shared" si="4"/>
        <v>74002.320000000007</v>
      </c>
      <c r="I77"/>
    </row>
    <row r="78" spans="1:9" ht="12.75" thickTop="1" thickBot="1" x14ac:dyDescent="0.25">
      <c r="A78" s="29" t="s">
        <v>259</v>
      </c>
      <c r="B78" s="6"/>
      <c r="C78" s="130">
        <f>SUM(C72:C77)</f>
        <v>1158418.83</v>
      </c>
      <c r="D78" s="130">
        <f>SUM(D72:D77)</f>
        <v>8526.93</v>
      </c>
      <c r="E78" s="130">
        <f>SUM(E72:E77)</f>
        <v>65475.39</v>
      </c>
      <c r="F78" s="130">
        <f>SUM(F72:F77)</f>
        <v>0</v>
      </c>
      <c r="G78" s="130">
        <f>SUM(G72:G77)</f>
        <v>0</v>
      </c>
      <c r="H78" s="124">
        <f t="shared" si="4"/>
        <v>1232421.1499999999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8354554.7999999998</v>
      </c>
      <c r="D81" s="130">
        <f>SUM(D79:D80)+D78+D70</f>
        <v>8526.93</v>
      </c>
      <c r="E81" s="130">
        <f>SUM(E79:E80)+E78+E70</f>
        <v>65475.39</v>
      </c>
      <c r="F81" s="130">
        <f>SUM(F79:F80)+F78+F70</f>
        <v>0</v>
      </c>
      <c r="G81" s="130">
        <f>SUM(G79:G80)+G78+G70</f>
        <v>0</v>
      </c>
      <c r="H81" s="130">
        <f t="shared" si="4"/>
        <v>8428557.1199999992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157489.59</v>
      </c>
      <c r="D88" s="326">
        <f>SUM('DOE25'!G153:G162)</f>
        <v>829494.74</v>
      </c>
      <c r="E88" s="326">
        <f>SUM('DOE25'!H153:H162)</f>
        <v>1064110.32</v>
      </c>
      <c r="F88" s="326">
        <f>SUM('DOE25'!I153:I162)</f>
        <v>0</v>
      </c>
      <c r="G88" s="24" t="s">
        <v>288</v>
      </c>
      <c r="H88" s="124">
        <f t="shared" si="5"/>
        <v>2051094.65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3618.76</v>
      </c>
      <c r="D90" s="24" t="s">
        <v>288</v>
      </c>
      <c r="E90" s="24" t="s">
        <v>288</v>
      </c>
      <c r="F90" s="24" t="s">
        <v>288</v>
      </c>
      <c r="G90" s="24" t="s">
        <v>288</v>
      </c>
      <c r="H90" s="124">
        <f t="shared" si="5"/>
        <v>3618.76</v>
      </c>
    </row>
    <row r="91" spans="1:9" ht="12.75" thickTop="1" thickBot="1" x14ac:dyDescent="0.25">
      <c r="A91" s="33" t="s">
        <v>750</v>
      </c>
      <c r="C91" s="131">
        <f>SUM(C85:C90)</f>
        <v>161108.35</v>
      </c>
      <c r="D91" s="131">
        <f>SUM(D85:D90)</f>
        <v>829494.74</v>
      </c>
      <c r="E91" s="131">
        <f>SUM(E85:E90)</f>
        <v>1064110.32</v>
      </c>
      <c r="F91" s="131">
        <f>SUM(F85:F90)</f>
        <v>0</v>
      </c>
      <c r="G91" s="24" t="s">
        <v>288</v>
      </c>
      <c r="H91" s="124">
        <f t="shared" si="5"/>
        <v>2054713.4100000001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800000</v>
      </c>
      <c r="H96" s="124">
        <f t="shared" si="5"/>
        <v>800000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123764</v>
      </c>
      <c r="D99" s="95">
        <f>'DOE25'!G186</f>
        <v>0</v>
      </c>
      <c r="E99" s="95">
        <f>'DOE25'!H186</f>
        <v>0</v>
      </c>
      <c r="F99" s="95">
        <f>'DOE25'!I186</f>
        <v>0</v>
      </c>
      <c r="G99" s="24" t="s">
        <v>288</v>
      </c>
      <c r="H99" s="124">
        <f t="shared" si="5"/>
        <v>123764</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123764</v>
      </c>
      <c r="D103" s="86">
        <f>SUM(D93:D102)</f>
        <v>0</v>
      </c>
      <c r="E103" s="86">
        <f>SUM(E93:E102)</f>
        <v>0</v>
      </c>
      <c r="F103" s="86">
        <f>SUM(F93:F102)</f>
        <v>0</v>
      </c>
      <c r="G103" s="86">
        <f>SUM(G93:G102)</f>
        <v>800000</v>
      </c>
      <c r="H103" s="86">
        <f t="shared" si="5"/>
        <v>923764</v>
      </c>
    </row>
    <row r="104" spans="1:8" ht="12.75" thickTop="1" thickBot="1" x14ac:dyDescent="0.25">
      <c r="A104" s="33" t="s">
        <v>761</v>
      </c>
      <c r="C104" s="86">
        <f>C63+C81+C91+C103</f>
        <v>44403046.329999998</v>
      </c>
      <c r="D104" s="86">
        <f>D63+D81+D91+D103</f>
        <v>899931.75</v>
      </c>
      <c r="E104" s="86">
        <f>E63+E81+E91+E103</f>
        <v>1240668.28</v>
      </c>
      <c r="F104" s="86">
        <f>F63+F81+F91+F103</f>
        <v>0</v>
      </c>
      <c r="G104" s="86">
        <f>G63+G81+G103</f>
        <v>640769.63</v>
      </c>
      <c r="H104" s="86">
        <f t="shared" si="5"/>
        <v>47184415.990000002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18894647.469999999</v>
      </c>
      <c r="D109" s="24" t="s">
        <v>288</v>
      </c>
      <c r="E109" s="95">
        <f>('DOE25'!L277)+('DOE25'!L296)+('DOE25'!L315)</f>
        <v>318622.99000000005</v>
      </c>
      <c r="F109" s="24" t="s">
        <v>288</v>
      </c>
      <c r="G109" s="24" t="s">
        <v>288</v>
      </c>
      <c r="H109" s="124">
        <f t="shared" ref="H109:H115" si="6">SUM(C109:G109)</f>
        <v>19213270.459999997</v>
      </c>
    </row>
    <row r="110" spans="1:8" x14ac:dyDescent="0.2">
      <c r="A110" t="s">
        <v>198</v>
      </c>
      <c r="B110" s="32" t="s">
        <v>199</v>
      </c>
      <c r="C110" s="95">
        <f>('DOE25'!L199)+('DOE25'!L217)+('DOE25'!L235)</f>
        <v>8548089.1899999995</v>
      </c>
      <c r="D110" s="24" t="s">
        <v>288</v>
      </c>
      <c r="E110" s="95">
        <f>('DOE25'!L278)+('DOE25'!L297)+('DOE25'!L316)</f>
        <v>493241.70449999999</v>
      </c>
      <c r="F110" s="24" t="s">
        <v>288</v>
      </c>
      <c r="G110" s="24" t="s">
        <v>288</v>
      </c>
      <c r="H110" s="124">
        <f t="shared" si="6"/>
        <v>9041330.8944999985</v>
      </c>
    </row>
    <row r="111" spans="1:8" x14ac:dyDescent="0.2">
      <c r="A111" t="s">
        <v>200</v>
      </c>
      <c r="B111" s="32" t="s">
        <v>165</v>
      </c>
      <c r="C111" s="95">
        <f>('DOE25'!L200)+('DOE25'!L218)+('DOE25'!L236)</f>
        <v>503490.01</v>
      </c>
      <c r="D111" s="24" t="s">
        <v>288</v>
      </c>
      <c r="E111" s="95">
        <f>('DOE25'!L279)+('DOE25'!L298)+('DOE25'!L317)</f>
        <v>0</v>
      </c>
      <c r="F111" s="24" t="s">
        <v>288</v>
      </c>
      <c r="G111" s="24" t="s">
        <v>288</v>
      </c>
      <c r="H111" s="124">
        <f t="shared" si="6"/>
        <v>503490.01</v>
      </c>
    </row>
    <row r="112" spans="1:8" x14ac:dyDescent="0.2">
      <c r="A112" t="s">
        <v>201</v>
      </c>
      <c r="B112" s="32" t="s">
        <v>167</v>
      </c>
      <c r="C112" s="95">
        <f>('DOE25'!L201)+('DOE25'!L219)+('DOE25'!L237)</f>
        <v>925661.7699999999</v>
      </c>
      <c r="D112" s="24" t="s">
        <v>288</v>
      </c>
      <c r="E112" s="95">
        <f>+('DOE25'!L280)+('DOE25'!L299)+('DOE25'!L318)</f>
        <v>73258.975999999995</v>
      </c>
      <c r="F112" s="24" t="s">
        <v>288</v>
      </c>
      <c r="G112" s="24" t="s">
        <v>288</v>
      </c>
      <c r="H112" s="124">
        <f t="shared" si="6"/>
        <v>998920.74599999993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15000</v>
      </c>
      <c r="D114" s="24" t="s">
        <v>288</v>
      </c>
      <c r="E114" s="95">
        <f>+ SUM('DOE25'!L334:L336)</f>
        <v>98394.500000000015</v>
      </c>
      <c r="F114" s="24" t="s">
        <v>288</v>
      </c>
      <c r="G114" s="24" t="s">
        <v>288</v>
      </c>
      <c r="H114" s="124">
        <f t="shared" si="6"/>
        <v>113394.50000000001</v>
      </c>
    </row>
    <row r="115" spans="1:8" ht="12.75" thickTop="1" thickBot="1" x14ac:dyDescent="0.25">
      <c r="A115" s="33" t="s">
        <v>205</v>
      </c>
      <c r="C115" s="86">
        <f>SUM(C109:C114)</f>
        <v>28886888.439999998</v>
      </c>
      <c r="D115" s="86">
        <f>SUM(D109:D114)</f>
        <v>0</v>
      </c>
      <c r="E115" s="86">
        <f>SUM(E109:E114)</f>
        <v>983518.17050000001</v>
      </c>
      <c r="F115" s="86">
        <f>SUM(F109:F114)</f>
        <v>0</v>
      </c>
      <c r="G115" s="86">
        <f>SUM(G109:G114)</f>
        <v>0</v>
      </c>
      <c r="H115" s="86">
        <f t="shared" si="6"/>
        <v>29870406.610499997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1858670.99</v>
      </c>
      <c r="D118" s="24" t="s">
        <v>288</v>
      </c>
      <c r="E118" s="95">
        <f>+('DOE25'!L282)+('DOE25'!L301)+('DOE25'!L320)</f>
        <v>26444.62</v>
      </c>
      <c r="F118" s="24" t="s">
        <v>288</v>
      </c>
      <c r="G118" s="24" t="s">
        <v>288</v>
      </c>
      <c r="H118" s="124">
        <f t="shared" ref="H118:H145" si="7">SUM(C118:G118)</f>
        <v>1885115.61</v>
      </c>
    </row>
    <row r="119" spans="1:8" x14ac:dyDescent="0.2">
      <c r="A119" t="s">
        <v>208</v>
      </c>
      <c r="B119" s="32" t="s">
        <v>209</v>
      </c>
      <c r="C119" s="95">
        <f>('DOE25'!L204)+('DOE25'!L222)+('DOE25'!L240)</f>
        <v>2608691.41</v>
      </c>
      <c r="D119" s="24" t="s">
        <v>288</v>
      </c>
      <c r="E119" s="95">
        <f>+('DOE25'!L283)+('DOE25'!L302)+('DOE25'!L321)</f>
        <v>56988.490000000005</v>
      </c>
      <c r="F119" s="24" t="s">
        <v>288</v>
      </c>
      <c r="G119" s="24" t="s">
        <v>288</v>
      </c>
      <c r="H119" s="124">
        <f t="shared" si="7"/>
        <v>2665679.9000000004</v>
      </c>
    </row>
    <row r="120" spans="1:8" x14ac:dyDescent="0.2">
      <c r="A120" t="s">
        <v>210</v>
      </c>
      <c r="B120" s="32" t="s">
        <v>211</v>
      </c>
      <c r="C120" s="95">
        <f>('DOE25'!L205)+('DOE25'!L223)+('DOE25'!L241)</f>
        <v>1680317.6500000001</v>
      </c>
      <c r="D120" s="24" t="s">
        <v>288</v>
      </c>
      <c r="E120" s="95">
        <f>+('DOE25'!L284)+('DOE25'!L303)+('DOE25'!L322)</f>
        <v>100000</v>
      </c>
      <c r="F120" s="24" t="s">
        <v>288</v>
      </c>
      <c r="G120" s="24" t="s">
        <v>288</v>
      </c>
      <c r="H120" s="124">
        <f t="shared" si="7"/>
        <v>1780317.6500000001</v>
      </c>
    </row>
    <row r="121" spans="1:8" x14ac:dyDescent="0.2">
      <c r="A121" t="s">
        <v>212</v>
      </c>
      <c r="B121" s="32" t="s">
        <v>213</v>
      </c>
      <c r="C121" s="95">
        <f>('DOE25'!L206)+('DOE25'!L224)+('DOE25'!L242)</f>
        <v>2144923.7000000002</v>
      </c>
      <c r="D121" s="24" t="s">
        <v>288</v>
      </c>
      <c r="E121" s="95">
        <f>+('DOE25'!L285)+('DOE25'!L304)+('DOE25'!L323)</f>
        <v>1443.86</v>
      </c>
      <c r="F121" s="24" t="s">
        <v>288</v>
      </c>
      <c r="G121" s="24" t="s">
        <v>288</v>
      </c>
      <c r="H121" s="124">
        <f t="shared" si="7"/>
        <v>2146367.56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3342078.34</v>
      </c>
      <c r="D123" s="24" t="s">
        <v>288</v>
      </c>
      <c r="E123" s="95">
        <f>+('DOE25'!L287)+('DOE25'!L306)+('DOE25'!L325)</f>
        <v>40000</v>
      </c>
      <c r="F123" s="24" t="s">
        <v>288</v>
      </c>
      <c r="G123" s="24" t="s">
        <v>288</v>
      </c>
      <c r="H123" s="124">
        <f t="shared" si="7"/>
        <v>3382078.34</v>
      </c>
    </row>
    <row r="124" spans="1:8" x14ac:dyDescent="0.2">
      <c r="A124" t="s">
        <v>218</v>
      </c>
      <c r="B124" s="32" t="s">
        <v>219</v>
      </c>
      <c r="C124" s="95">
        <f>('DOE25'!L209)+('DOE25'!L227)+('DOE25'!L245+'DOE25'!L255)</f>
        <v>1110829.1299999999</v>
      </c>
      <c r="D124" s="24" t="s">
        <v>288</v>
      </c>
      <c r="E124" s="95">
        <f>+('DOE25'!L288)+('DOE25'!L307)+('DOE25'!L326)</f>
        <v>0</v>
      </c>
      <c r="F124" s="24" t="s">
        <v>288</v>
      </c>
      <c r="G124" s="24" t="s">
        <v>288</v>
      </c>
      <c r="H124" s="124">
        <f t="shared" si="7"/>
        <v>1110829.1299999999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769667.2</v>
      </c>
      <c r="E127" s="24" t="s">
        <v>288</v>
      </c>
      <c r="F127" s="24" t="s">
        <v>288</v>
      </c>
      <c r="G127" s="24" t="s">
        <v>288</v>
      </c>
      <c r="H127" s="124">
        <f t="shared" si="7"/>
        <v>769667.2</v>
      </c>
    </row>
    <row r="128" spans="1:8" ht="12.75" thickTop="1" thickBot="1" x14ac:dyDescent="0.25">
      <c r="A128" s="33" t="s">
        <v>226</v>
      </c>
      <c r="C128" s="86">
        <f>SUM(C118:C127)</f>
        <v>12745511.219999999</v>
      </c>
      <c r="D128" s="86">
        <f>SUM(D118:D127)</f>
        <v>769667.2</v>
      </c>
      <c r="E128" s="86">
        <f>SUM(E118:E127)</f>
        <v>224876.96999999997</v>
      </c>
      <c r="F128" s="86">
        <f>SUM(F118:F127)</f>
        <v>0</v>
      </c>
      <c r="G128" s="86">
        <f>SUM(G118:G127)</f>
        <v>0</v>
      </c>
      <c r="H128" s="86">
        <f t="shared" si="7"/>
        <v>13740055.389999999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158630.57999999999</v>
      </c>
      <c r="D130" s="24" t="s">
        <v>288</v>
      </c>
      <c r="E130" s="129">
        <f>'DOE25'!L337</f>
        <v>6800</v>
      </c>
      <c r="F130" s="129">
        <f>SUM('DOE25'!L375:'DOE25'!L381)</f>
        <v>443102.93</v>
      </c>
      <c r="G130" s="24" t="s">
        <v>288</v>
      </c>
      <c r="H130" s="124">
        <f t="shared" si="7"/>
        <v>608533.51</v>
      </c>
    </row>
    <row r="131" spans="1:8" x14ac:dyDescent="0.2">
      <c r="A131" t="s">
        <v>229</v>
      </c>
      <c r="B131" s="32">
        <v>5110</v>
      </c>
      <c r="C131" s="95">
        <f>'DOE25'!L261</f>
        <v>1345497</v>
      </c>
      <c r="D131" s="24" t="s">
        <v>288</v>
      </c>
      <c r="E131" s="129">
        <f>'DOE25'!L342</f>
        <v>0</v>
      </c>
      <c r="F131" s="24" t="s">
        <v>288</v>
      </c>
      <c r="G131" s="24" t="s">
        <v>288</v>
      </c>
      <c r="H131" s="124">
        <f t="shared" si="7"/>
        <v>1345497</v>
      </c>
    </row>
    <row r="132" spans="1:8" x14ac:dyDescent="0.2">
      <c r="A132" t="s">
        <v>230</v>
      </c>
      <c r="B132" s="32">
        <v>5120</v>
      </c>
      <c r="C132" s="95">
        <f>'DOE25'!L262</f>
        <v>606500</v>
      </c>
      <c r="D132" s="24" t="s">
        <v>288</v>
      </c>
      <c r="E132" s="129">
        <f>'DOE25'!L343</f>
        <v>0</v>
      </c>
      <c r="F132" s="24" t="s">
        <v>288</v>
      </c>
      <c r="G132" s="24" t="s">
        <v>288</v>
      </c>
      <c r="H132" s="124">
        <f t="shared" si="7"/>
        <v>606500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407098.19000000006</v>
      </c>
      <c r="D138" s="24" t="s">
        <v>288</v>
      </c>
      <c r="E138" s="24" t="s">
        <v>288</v>
      </c>
      <c r="F138" s="24" t="s">
        <v>288</v>
      </c>
      <c r="G138" s="24" t="s">
        <v>288</v>
      </c>
      <c r="H138" s="124">
        <f t="shared" si="7"/>
        <v>407098.19000000006</v>
      </c>
    </row>
    <row r="139" spans="1:8" x14ac:dyDescent="0.2">
      <c r="A139" t="s">
        <v>239</v>
      </c>
      <c r="B139" s="32">
        <v>5252</v>
      </c>
      <c r="C139" s="95">
        <f>'DOE25'!L402</f>
        <v>233671.44</v>
      </c>
      <c r="D139" s="24" t="s">
        <v>288</v>
      </c>
      <c r="E139" s="24" t="s">
        <v>288</v>
      </c>
      <c r="F139" s="24" t="s">
        <v>288</v>
      </c>
      <c r="G139" s="24" t="s">
        <v>288</v>
      </c>
      <c r="H139" s="124">
        <f t="shared" si="7"/>
        <v>233671.44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159230.36999999988</v>
      </c>
      <c r="D141" s="24" t="s">
        <v>288</v>
      </c>
      <c r="E141" s="24" t="s">
        <v>288</v>
      </c>
      <c r="F141" s="24" t="s">
        <v>288</v>
      </c>
      <c r="G141" s="24" t="s">
        <v>288</v>
      </c>
      <c r="H141" s="124">
        <f t="shared" si="7"/>
        <v>159230.36999999988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2910627.58</v>
      </c>
      <c r="D144" s="141">
        <f>SUM(D130:D143)</f>
        <v>0</v>
      </c>
      <c r="E144" s="141">
        <f>SUM(E130:E143)</f>
        <v>6800</v>
      </c>
      <c r="F144" s="141">
        <f>SUM(F130:F143)</f>
        <v>443102.93</v>
      </c>
      <c r="G144" s="141">
        <f>SUM(G130:G143)</f>
        <v>0</v>
      </c>
      <c r="H144" s="141">
        <f t="shared" si="7"/>
        <v>3360530.5100000002</v>
      </c>
    </row>
    <row r="145" spans="1:9" ht="12.75" thickTop="1" thickBot="1" x14ac:dyDescent="0.25">
      <c r="A145" s="33" t="s">
        <v>244</v>
      </c>
      <c r="C145" s="86">
        <f>(C115+C128+C144)</f>
        <v>44543027.239999995</v>
      </c>
      <c r="D145" s="86">
        <f>(D115+D128+D144)</f>
        <v>769667.2</v>
      </c>
      <c r="E145" s="86">
        <f>(E115+E128+E144)</f>
        <v>1215195.1405</v>
      </c>
      <c r="F145" s="86">
        <f>(F115+F128+F144)</f>
        <v>443102.93</v>
      </c>
      <c r="G145" s="86">
        <f>(G115+G128+G144)</f>
        <v>0</v>
      </c>
      <c r="H145" s="86">
        <f t="shared" si="7"/>
        <v>46970992.510499999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1/12</v>
      </c>
      <c r="C152" s="152">
        <f>'DOE25'!G492</f>
        <v>0</v>
      </c>
      <c r="D152" s="152">
        <f>'DOE25'!H492</f>
        <v>0</v>
      </c>
      <c r="E152" s="152">
        <f>'DOE25'!I492</f>
        <v>0</v>
      </c>
      <c r="F152" s="152">
        <f>'DOE25'!J492</f>
        <v>0</v>
      </c>
      <c r="G152" s="24" t="s">
        <v>288</v>
      </c>
    </row>
    <row r="153" spans="1:9" x14ac:dyDescent="0.2">
      <c r="A153" s="136" t="s">
        <v>29</v>
      </c>
      <c r="B153" s="152" t="str">
        <f>'DOE25'!F493</f>
        <v>1/32</v>
      </c>
      <c r="C153" s="152">
        <f>'DOE25'!G493</f>
        <v>0</v>
      </c>
      <c r="D153" s="152">
        <f>'DOE25'!H493</f>
        <v>0</v>
      </c>
      <c r="E153" s="152">
        <f>'DOE25'!I493</f>
        <v>0</v>
      </c>
      <c r="F153" s="152">
        <f>'DOE25'!J493</f>
        <v>0</v>
      </c>
      <c r="G153" s="24" t="s">
        <v>288</v>
      </c>
    </row>
    <row r="154" spans="1:9" x14ac:dyDescent="0.2">
      <c r="A154" s="136" t="s">
        <v>30</v>
      </c>
      <c r="B154" s="137">
        <f>'DOE25'!F494</f>
        <v>23650000</v>
      </c>
      <c r="C154" s="137">
        <f>'DOE25'!G494</f>
        <v>0</v>
      </c>
      <c r="D154" s="137">
        <f>'DOE25'!H494</f>
        <v>0</v>
      </c>
      <c r="E154" s="137">
        <f>'DOE25'!I494</f>
        <v>0</v>
      </c>
      <c r="F154" s="137">
        <f>'DOE25'!J494</f>
        <v>0</v>
      </c>
      <c r="G154" s="24" t="s">
        <v>288</v>
      </c>
    </row>
    <row r="155" spans="1:9" x14ac:dyDescent="0.2">
      <c r="A155" s="136" t="s">
        <v>31</v>
      </c>
      <c r="B155" s="137">
        <f>'DOE25'!F495</f>
        <v>3.38</v>
      </c>
      <c r="C155" s="137">
        <f>'DOE25'!G495</f>
        <v>0</v>
      </c>
      <c r="D155" s="137">
        <f>'DOE25'!H495</f>
        <v>0</v>
      </c>
      <c r="E155" s="137">
        <f>'DOE25'!I495</f>
        <v>0</v>
      </c>
      <c r="F155" s="137">
        <f>'DOE25'!J495</f>
        <v>0</v>
      </c>
      <c r="G155" s="24" t="s">
        <v>288</v>
      </c>
    </row>
    <row r="156" spans="1:9" x14ac:dyDescent="0.2">
      <c r="A156" s="22" t="s">
        <v>32</v>
      </c>
      <c r="B156" s="137">
        <f>'DOE25'!F496</f>
        <v>12990000</v>
      </c>
      <c r="C156" s="137">
        <f>'DOE25'!G496</f>
        <v>0</v>
      </c>
      <c r="D156" s="137">
        <f>'DOE25'!H496</f>
        <v>0</v>
      </c>
      <c r="E156" s="137">
        <f>'DOE25'!I496</f>
        <v>0</v>
      </c>
      <c r="F156" s="137">
        <f>'DOE25'!J496</f>
        <v>0</v>
      </c>
      <c r="G156" s="138">
        <f>SUM(B156:F156)</f>
        <v>12990000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1185000</v>
      </c>
      <c r="C158" s="137">
        <f>'DOE25'!G498</f>
        <v>0</v>
      </c>
      <c r="D158" s="137">
        <f>'DOE25'!H498</f>
        <v>0</v>
      </c>
      <c r="E158" s="137">
        <f>'DOE25'!I498</f>
        <v>0</v>
      </c>
      <c r="F158" s="137">
        <f>'DOE25'!J498</f>
        <v>0</v>
      </c>
      <c r="G158" s="138">
        <f t="shared" si="8"/>
        <v>1185000</v>
      </c>
    </row>
    <row r="159" spans="1:9" x14ac:dyDescent="0.2">
      <c r="A159" s="22" t="s">
        <v>35</v>
      </c>
      <c r="B159" s="137">
        <f>'DOE25'!F499</f>
        <v>11805000</v>
      </c>
      <c r="C159" s="137">
        <f>'DOE25'!G499</f>
        <v>0</v>
      </c>
      <c r="D159" s="137">
        <f>'DOE25'!H499</f>
        <v>0</v>
      </c>
      <c r="E159" s="137">
        <f>'DOE25'!I499</f>
        <v>0</v>
      </c>
      <c r="F159" s="137">
        <f>'DOE25'!J499</f>
        <v>0</v>
      </c>
      <c r="G159" s="138">
        <f t="shared" si="8"/>
        <v>11805000</v>
      </c>
    </row>
    <row r="160" spans="1:9" x14ac:dyDescent="0.2">
      <c r="A160" s="22" t="s">
        <v>36</v>
      </c>
      <c r="B160" s="137">
        <f>'DOE25'!F500</f>
        <v>1873881</v>
      </c>
      <c r="C160" s="137">
        <f>'DOE25'!G500</f>
        <v>0</v>
      </c>
      <c r="D160" s="137">
        <f>'DOE25'!H500</f>
        <v>0</v>
      </c>
      <c r="E160" s="137">
        <f>'DOE25'!I500</f>
        <v>0</v>
      </c>
      <c r="F160" s="137">
        <f>'DOE25'!J500</f>
        <v>0</v>
      </c>
      <c r="G160" s="138">
        <f t="shared" si="8"/>
        <v>1873881</v>
      </c>
    </row>
    <row r="161" spans="1:7" x14ac:dyDescent="0.2">
      <c r="A161" s="22" t="s">
        <v>37</v>
      </c>
      <c r="B161" s="137">
        <f>'DOE25'!F501</f>
        <v>13678881</v>
      </c>
      <c r="C161" s="137">
        <f>'DOE25'!G501</f>
        <v>0</v>
      </c>
      <c r="D161" s="137">
        <f>'DOE25'!H501</f>
        <v>0</v>
      </c>
      <c r="E161" s="137">
        <f>'DOE25'!I501</f>
        <v>0</v>
      </c>
      <c r="F161" s="137">
        <f>'DOE25'!J501</f>
        <v>0</v>
      </c>
      <c r="G161" s="138">
        <f t="shared" si="8"/>
        <v>13678881</v>
      </c>
    </row>
    <row r="162" spans="1:7" x14ac:dyDescent="0.2">
      <c r="A162" s="22" t="s">
        <v>38</v>
      </c>
      <c r="B162" s="137">
        <f>'DOE25'!F502</f>
        <v>1185000</v>
      </c>
      <c r="C162" s="137">
        <f>'DOE25'!G502</f>
        <v>0</v>
      </c>
      <c r="D162" s="137">
        <f>'DOE25'!H502</f>
        <v>0</v>
      </c>
      <c r="E162" s="137">
        <f>'DOE25'!I502</f>
        <v>0</v>
      </c>
      <c r="F162" s="137">
        <f>'DOE25'!J502</f>
        <v>0</v>
      </c>
      <c r="G162" s="138">
        <f t="shared" si="8"/>
        <v>1185000</v>
      </c>
    </row>
    <row r="163" spans="1:7" x14ac:dyDescent="0.2">
      <c r="A163" s="22" t="s">
        <v>39</v>
      </c>
      <c r="B163" s="137">
        <f>'DOE25'!F503</f>
        <v>395671</v>
      </c>
      <c r="C163" s="137">
        <f>'DOE25'!G503</f>
        <v>0</v>
      </c>
      <c r="D163" s="137">
        <f>'DOE25'!H503</f>
        <v>0</v>
      </c>
      <c r="E163" s="137">
        <f>'DOE25'!I503</f>
        <v>0</v>
      </c>
      <c r="F163" s="137">
        <f>'DOE25'!J503</f>
        <v>0</v>
      </c>
      <c r="G163" s="138">
        <f t="shared" si="8"/>
        <v>395671</v>
      </c>
    </row>
    <row r="164" spans="1:7" x14ac:dyDescent="0.2">
      <c r="A164" s="22" t="s">
        <v>246</v>
      </c>
      <c r="B164" s="137">
        <f>'DOE25'!F504</f>
        <v>1580671</v>
      </c>
      <c r="C164" s="137">
        <f>'DOE25'!G504</f>
        <v>0</v>
      </c>
      <c r="D164" s="137">
        <f>'DOE25'!H504</f>
        <v>0</v>
      </c>
      <c r="E164" s="137">
        <f>'DOE25'!I504</f>
        <v>0</v>
      </c>
      <c r="F164" s="137">
        <f>'DOE25'!J504</f>
        <v>0</v>
      </c>
      <c r="G164" s="138">
        <f t="shared" si="8"/>
        <v>1580671</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Lebanon</v>
      </c>
    </row>
    <row r="3" spans="1:4" x14ac:dyDescent="0.2">
      <c r="B3" s="187" t="s">
        <v>1799</v>
      </c>
    </row>
    <row r="4" spans="1:4" x14ac:dyDescent="0.2">
      <c r="B4" t="s">
        <v>61</v>
      </c>
      <c r="C4" s="178">
        <f>IF('DOE25'!F666+'DOE25'!F671=0,0,ROUND('DOE25'!F673,0))</f>
        <v>29878</v>
      </c>
    </row>
    <row r="5" spans="1:4" x14ac:dyDescent="0.2">
      <c r="B5" t="s">
        <v>700</v>
      </c>
      <c r="C5" s="178">
        <f>IF('DOE25'!G666+'DOE25'!G671=0,0,ROUND('DOE25'!G673,0))</f>
        <v>23827</v>
      </c>
    </row>
    <row r="6" spans="1:4" x14ac:dyDescent="0.2">
      <c r="B6" t="s">
        <v>62</v>
      </c>
      <c r="C6" s="178">
        <f>IF('DOE25'!H666+'DOE25'!H671=0,0,ROUND('DOE25'!H673,0))</f>
        <v>22100</v>
      </c>
    </row>
    <row r="7" spans="1:4" x14ac:dyDescent="0.2">
      <c r="B7" t="s">
        <v>701</v>
      </c>
      <c r="C7" s="178">
        <f>IF('DOE25'!I666+'DOE25'!I671=0,0,ROUND('DOE25'!I673,0))</f>
        <v>25195</v>
      </c>
    </row>
    <row r="9" spans="1:4" x14ac:dyDescent="0.2">
      <c r="A9" s="186" t="s">
        <v>94</v>
      </c>
      <c r="B9" s="187" t="s">
        <v>1800</v>
      </c>
      <c r="C9" s="180" t="s">
        <v>720</v>
      </c>
      <c r="D9" s="180" t="s">
        <v>721</v>
      </c>
    </row>
    <row r="10" spans="1:4" x14ac:dyDescent="0.2">
      <c r="A10">
        <v>1100</v>
      </c>
      <c r="B10" t="s">
        <v>702</v>
      </c>
      <c r="C10" s="178">
        <f>ROUND('DOE25'!L198+'DOE25'!L216+'DOE25'!L234+'DOE25'!L277+'DOE25'!L296+'DOE25'!L315,0)</f>
        <v>19213270</v>
      </c>
      <c r="D10" s="181">
        <f>ROUND((C10/$C$28)*100,1)</f>
        <v>43.5</v>
      </c>
    </row>
    <row r="11" spans="1:4" x14ac:dyDescent="0.2">
      <c r="A11">
        <v>1200</v>
      </c>
      <c r="B11" t="s">
        <v>703</v>
      </c>
      <c r="C11" s="178">
        <f>ROUND('DOE25'!L199+'DOE25'!L217+'DOE25'!L235+'DOE25'!L278+'DOE25'!L297+'DOE25'!L316,0)</f>
        <v>9041331</v>
      </c>
      <c r="D11" s="181">
        <f>ROUND((C11/$C$28)*100,1)</f>
        <v>20.5</v>
      </c>
    </row>
    <row r="12" spans="1:4" x14ac:dyDescent="0.2">
      <c r="A12">
        <v>1300</v>
      </c>
      <c r="B12" t="s">
        <v>704</v>
      </c>
      <c r="C12" s="178">
        <f>ROUND('DOE25'!L200+'DOE25'!L218+'DOE25'!L236+'DOE25'!L279+'DOE25'!L298+'DOE25'!L317,0)</f>
        <v>503490</v>
      </c>
      <c r="D12" s="181">
        <f>ROUND((C12/$C$28)*100,1)</f>
        <v>1.1000000000000001</v>
      </c>
    </row>
    <row r="13" spans="1:4" x14ac:dyDescent="0.2">
      <c r="A13">
        <v>1400</v>
      </c>
      <c r="B13" t="s">
        <v>705</v>
      </c>
      <c r="C13" s="178">
        <f>ROUND('DOE25'!L201+'DOE25'!L219+'DOE25'!L237+'DOE25'!L280+'DOE25'!L299+'DOE25'!L318,0)</f>
        <v>998921</v>
      </c>
      <c r="D13" s="181">
        <f>ROUND((C13/$C$28)*100,1)</f>
        <v>2.2999999999999998</v>
      </c>
    </row>
    <row r="14" spans="1:4" x14ac:dyDescent="0.2">
      <c r="D14" s="181"/>
    </row>
    <row r="15" spans="1:4" x14ac:dyDescent="0.2">
      <c r="A15">
        <v>2100</v>
      </c>
      <c r="B15" t="s">
        <v>706</v>
      </c>
      <c r="C15" s="178">
        <f>ROUND('DOE25'!L203+'DOE25'!L221+'DOE25'!L239+'DOE25'!L282+'DOE25'!L301+'DOE25'!L320,0)</f>
        <v>1885116</v>
      </c>
      <c r="D15" s="181">
        <f t="shared" ref="D15:D27" si="0">ROUND((C15/$C$28)*100,1)</f>
        <v>4.3</v>
      </c>
    </row>
    <row r="16" spans="1:4" x14ac:dyDescent="0.2">
      <c r="A16">
        <v>2200</v>
      </c>
      <c r="B16" t="s">
        <v>707</v>
      </c>
      <c r="C16" s="178">
        <f>ROUND('DOE25'!L204+'DOE25'!L222+'DOE25'!L240+'DOE25'!L283+'DOE25'!L302+'DOE25'!L321,0)</f>
        <v>2665680</v>
      </c>
      <c r="D16" s="181">
        <f t="shared" si="0"/>
        <v>6</v>
      </c>
    </row>
    <row r="17" spans="1:4" x14ac:dyDescent="0.2">
      <c r="A17" s="182" t="s">
        <v>723</v>
      </c>
      <c r="B17" t="s">
        <v>738</v>
      </c>
      <c r="C17" s="178">
        <f>ROUND('DOE25'!L205+'DOE25'!L210+'DOE25'!L223+'DOE25'!L228+'DOE25'!L241+'DOE25'!L246+'DOE25'!L284+'DOE25'!L289+'DOE25'!L303+'DOE25'!L308+'DOE25'!L322+'DOE25'!L327,0)</f>
        <v>1780318</v>
      </c>
      <c r="D17" s="181">
        <f t="shared" si="0"/>
        <v>4</v>
      </c>
    </row>
    <row r="18" spans="1:4" x14ac:dyDescent="0.2">
      <c r="A18">
        <v>2400</v>
      </c>
      <c r="B18" t="s">
        <v>711</v>
      </c>
      <c r="C18" s="178">
        <f>ROUND('DOE25'!L206+'DOE25'!L224+'DOE25'!L242+'DOE25'!L285+'DOE25'!L304+'DOE25'!L323,0)</f>
        <v>2146368</v>
      </c>
      <c r="D18" s="181">
        <f t="shared" si="0"/>
        <v>4.9000000000000004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3382078</v>
      </c>
      <c r="D20" s="181">
        <f t="shared" si="0"/>
        <v>7.7</v>
      </c>
    </row>
    <row r="21" spans="1:4" x14ac:dyDescent="0.2">
      <c r="A21">
        <v>2700</v>
      </c>
      <c r="B21" t="s">
        <v>710</v>
      </c>
      <c r="C21" s="178">
        <f>ROUND('DOE25'!L209+'DOE25'!L227+'DOE25'!L245+'DOE25'!L288+'DOE25'!L307+'DOE25'!L326,0)</f>
        <v>1073205</v>
      </c>
      <c r="D21" s="181">
        <f t="shared" si="0"/>
        <v>2.4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151019</v>
      </c>
      <c r="D24" s="181">
        <f t="shared" si="0"/>
        <v>0.3</v>
      </c>
    </row>
    <row r="25" spans="1:4" x14ac:dyDescent="0.2">
      <c r="A25">
        <v>5120</v>
      </c>
      <c r="B25" t="s">
        <v>716</v>
      </c>
      <c r="C25" s="178">
        <f>ROUND('DOE25'!L262+'DOE25'!L343,0)</f>
        <v>606500</v>
      </c>
      <c r="D25" s="181">
        <f t="shared" si="0"/>
        <v>1.4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707756.92</v>
      </c>
      <c r="D27" s="181">
        <f t="shared" si="0"/>
        <v>1.6</v>
      </c>
    </row>
    <row r="28" spans="1:4" x14ac:dyDescent="0.2">
      <c r="B28" s="186" t="s">
        <v>719</v>
      </c>
      <c r="C28" s="179">
        <f>SUM(C10:C27)</f>
        <v>44155052.920000002</v>
      </c>
      <c r="D28" s="183">
        <f>ROUND(SUM(D10:D27),0)</f>
        <v>100</v>
      </c>
    </row>
    <row r="29" spans="1:4" x14ac:dyDescent="0.2">
      <c r="A29">
        <v>4000</v>
      </c>
      <c r="B29" t="s">
        <v>724</v>
      </c>
      <c r="C29" s="178">
        <f>ROUND('DOE25'!L256+'DOE25'!L337+'DOE25'!L375+'DOE25'!L376+'DOE25'!L377+'DOE25'!L378+'DOE25'!L379+'DOE25'!L380+'DOE25'!L381,0)</f>
        <v>608534</v>
      </c>
    </row>
    <row r="30" spans="1:4" x14ac:dyDescent="0.2">
      <c r="B30" s="186" t="s">
        <v>725</v>
      </c>
      <c r="C30" s="179">
        <f>SUM(C28:C29)</f>
        <v>44763586.920000002</v>
      </c>
    </row>
    <row r="31" spans="1:4" x14ac:dyDescent="0.2">
      <c r="B31" s="33"/>
      <c r="C31" s="179"/>
    </row>
    <row r="32" spans="1:4" x14ac:dyDescent="0.2">
      <c r="A32">
        <v>5100</v>
      </c>
      <c r="B32" s="33" t="s">
        <v>726</v>
      </c>
      <c r="C32" s="179">
        <f>ROUND('DOE25'!L261+'DOE25'!L342,0)</f>
        <v>1345497</v>
      </c>
    </row>
    <row r="34" spans="1:4" x14ac:dyDescent="0.2">
      <c r="A34" s="186" t="s">
        <v>94</v>
      </c>
      <c r="B34" s="187" t="s">
        <v>1801</v>
      </c>
      <c r="C34" s="180" t="s">
        <v>720</v>
      </c>
      <c r="D34" s="180" t="s">
        <v>721</v>
      </c>
    </row>
    <row r="35" spans="1:4" x14ac:dyDescent="0.2">
      <c r="A35">
        <v>1100</v>
      </c>
      <c r="B35" s="184" t="s">
        <v>727</v>
      </c>
      <c r="C35" s="178">
        <f>ROUND('DOE25'!F60+'DOE25'!G60+'DOE25'!H60+'DOE25'!I60+'DOE25'!J60,0)</f>
        <v>30102239</v>
      </c>
      <c r="D35" s="181">
        <f t="shared" ref="D35:D40" si="1">ROUND((C35/$C$41)*100,1)</f>
        <v>65.2</v>
      </c>
    </row>
    <row r="36" spans="1:4" x14ac:dyDescent="0.2">
      <c r="B36" s="184" t="s">
        <v>739</v>
      </c>
      <c r="C36" s="178">
        <f>SUM('DOE25'!F112:J112)-SUM('DOE25'!G97:G110)+('DOE25'!F175+'DOE25'!F176+'DOE25'!I175+'DOE25'!I176)-C35</f>
        <v>5613232.3800000027</v>
      </c>
      <c r="D36" s="181">
        <f t="shared" si="1"/>
        <v>12.2</v>
      </c>
    </row>
    <row r="37" spans="1:4" x14ac:dyDescent="0.2">
      <c r="A37" s="182" t="s">
        <v>835</v>
      </c>
      <c r="B37" s="184" t="s">
        <v>728</v>
      </c>
      <c r="C37" s="178">
        <f>ROUND('DOE25'!F117+'DOE25'!F118,0)</f>
        <v>7189437</v>
      </c>
      <c r="D37" s="181">
        <f t="shared" si="1"/>
        <v>15.6</v>
      </c>
    </row>
    <row r="38" spans="1:4" x14ac:dyDescent="0.2">
      <c r="A38" s="182" t="s">
        <v>734</v>
      </c>
      <c r="B38" s="184" t="s">
        <v>729</v>
      </c>
      <c r="C38" s="178">
        <f>ROUND(SUM('DOE25'!F140:J140)-SUM('DOE25'!F117:F119),0)</f>
        <v>1239120</v>
      </c>
      <c r="D38" s="181">
        <f t="shared" si="1"/>
        <v>2.7</v>
      </c>
    </row>
    <row r="39" spans="1:4" x14ac:dyDescent="0.2">
      <c r="A39">
        <v>4000</v>
      </c>
      <c r="B39" s="184" t="s">
        <v>730</v>
      </c>
      <c r="C39" s="178">
        <f>ROUND('DOE25'!F170+'DOE25'!G170+'DOE25'!H170+'DOE25'!I170,0)</f>
        <v>2054713</v>
      </c>
      <c r="D39" s="181">
        <f t="shared" si="1"/>
        <v>4.4000000000000004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46198741.380000003</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Lebanon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37</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201</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f>IF('School Level Expenditures'!$B$2='School Tables'!L40,'School Tables'!S40,"")</f>
        <v>37</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f>IF('School Level Expenditures'!$B$2='School Tables'!W46,'School Tables'!AD46,"")</f>
        <v>43</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f>IF('School Level Expenditures'!$B$2=A118,'School Tables'!H118,"")</f>
        <v>115</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f>IF('School Level Expenditures'!$B$2=A204,'School Tables'!H204,"")</f>
        <v>201</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2022-09-26T12:56:44Z</cp:lastPrinted>
  <dcterms:created xsi:type="dcterms:W3CDTF">1997-12-04T19:04:30Z</dcterms:created>
  <dcterms:modified xsi:type="dcterms:W3CDTF">2022-12-19T16:18:20Z</dcterms:modified>
</cp:coreProperties>
</file>